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2" i="1" l="1"/>
  <c r="BF33" i="1"/>
  <c r="BF34" i="1"/>
  <c r="BF35" i="1"/>
  <c r="BF36" i="1"/>
  <c r="BF37" i="1"/>
  <c r="BF31" i="1"/>
  <c r="BB62" i="1"/>
  <c r="BB61" i="1"/>
  <c r="BB60" i="1"/>
  <c r="BA58" i="1"/>
  <c r="AZ62" i="1"/>
  <c r="AZ61" i="1"/>
  <c r="AZ60" i="1"/>
  <c r="AZ58" i="1"/>
  <c r="AZ49" i="1"/>
  <c r="AZ48" i="1"/>
  <c r="AZ46" i="1"/>
  <c r="BA46" i="1" s="1"/>
  <c r="AZ45" i="1"/>
  <c r="AZ44" i="1"/>
  <c r="BC33" i="1"/>
  <c r="BC32" i="1"/>
  <c r="AZ33" i="1"/>
  <c r="AZ32" i="1"/>
  <c r="BA17" i="1"/>
  <c r="BA16" i="1"/>
  <c r="BA18" i="1" s="1"/>
  <c r="AZ17" i="1"/>
  <c r="AZ16" i="1"/>
  <c r="AZ9" i="1"/>
  <c r="AZ8" i="1"/>
  <c r="AZ7" i="1"/>
  <c r="AQ49" i="1"/>
  <c r="AR49" i="1"/>
  <c r="AP48" i="1"/>
  <c r="AM52" i="1"/>
  <c r="AL51" i="1"/>
  <c r="AM48" i="1"/>
  <c r="AL47" i="1"/>
  <c r="AR32" i="1"/>
  <c r="AM38" i="1"/>
  <c r="AN38" i="1"/>
  <c r="AL37" i="1"/>
  <c r="AN34" i="1"/>
  <c r="AM34" i="1" s="1"/>
  <c r="AL33" i="1"/>
  <c r="AQ22" i="1"/>
  <c r="AQ21" i="1"/>
  <c r="AL16" i="1"/>
  <c r="AL15" i="1"/>
  <c r="AL7" i="1"/>
  <c r="AA34" i="1"/>
  <c r="AA35" i="1"/>
  <c r="AA36" i="1"/>
  <c r="AA37" i="1"/>
  <c r="AA38" i="1"/>
  <c r="AA39" i="1"/>
  <c r="AA40" i="1"/>
  <c r="AA41" i="1"/>
  <c r="AA33" i="1"/>
  <c r="X27" i="1"/>
  <c r="AB17" i="1"/>
  <c r="AB16" i="1"/>
  <c r="X15" i="1"/>
  <c r="X16" i="1"/>
  <c r="X17" i="1"/>
  <c r="X18" i="1"/>
  <c r="X19" i="1"/>
  <c r="X14" i="1"/>
  <c r="W15" i="1"/>
  <c r="W16" i="1"/>
  <c r="W17" i="1"/>
  <c r="W18" i="1"/>
  <c r="W19" i="1"/>
  <c r="W14" i="1"/>
  <c r="N30" i="1"/>
  <c r="K41" i="1"/>
  <c r="L32" i="1" s="1"/>
  <c r="M32" i="1" s="1"/>
  <c r="N31" i="1"/>
  <c r="N32" i="1"/>
  <c r="O32" i="1" s="1"/>
  <c r="N33" i="1"/>
  <c r="N34" i="1"/>
  <c r="N35" i="1"/>
  <c r="N36" i="1"/>
  <c r="N37" i="1"/>
  <c r="N38" i="1"/>
  <c r="N39" i="1"/>
  <c r="N40" i="1"/>
  <c r="Q4" i="1"/>
  <c r="P15" i="1"/>
  <c r="Q15" i="1" s="1"/>
  <c r="P16" i="1"/>
  <c r="Q16" i="1" s="1"/>
  <c r="P17" i="1"/>
  <c r="Q17" i="1" s="1"/>
  <c r="P18" i="1"/>
  <c r="Q18" i="1" s="1"/>
  <c r="P19" i="1"/>
  <c r="Q19" i="1" s="1"/>
  <c r="P14" i="1"/>
  <c r="Q14" i="1" s="1"/>
  <c r="O15" i="1"/>
  <c r="O16" i="1"/>
  <c r="O17" i="1"/>
  <c r="O18" i="1"/>
  <c r="O19" i="1"/>
  <c r="O14" i="1"/>
  <c r="P4" i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O5" i="1"/>
  <c r="O6" i="1"/>
  <c r="O7" i="1"/>
  <c r="O8" i="1"/>
  <c r="O9" i="1"/>
  <c r="O10" i="1"/>
  <c r="O4" i="1"/>
  <c r="L31" i="1" l="1"/>
  <c r="M31" i="1" s="1"/>
  <c r="O20" i="1"/>
  <c r="E21" i="1" s="1"/>
  <c r="Q20" i="1"/>
  <c r="E22" i="1" s="1"/>
  <c r="L39" i="1"/>
  <c r="M39" i="1" s="1"/>
  <c r="O39" i="1"/>
  <c r="L38" i="1"/>
  <c r="M38" i="1" s="1"/>
  <c r="L37" i="1"/>
  <c r="M37" i="1" s="1"/>
  <c r="O31" i="1"/>
  <c r="L35" i="1"/>
  <c r="M35" i="1" s="1"/>
  <c r="L36" i="1"/>
  <c r="M36" i="1" s="1"/>
  <c r="L34" i="1"/>
  <c r="M34" i="1" s="1"/>
  <c r="L30" i="1"/>
  <c r="M30" i="1" s="1"/>
  <c r="L33" i="1"/>
  <c r="M33" i="1" s="1"/>
  <c r="L40" i="1"/>
  <c r="M40" i="1" s="1"/>
  <c r="Q11" i="1"/>
  <c r="O11" i="1"/>
  <c r="D9" i="1" s="1"/>
  <c r="G255" i="1"/>
  <c r="H255" i="1" s="1"/>
  <c r="G254" i="1"/>
  <c r="H254" i="1" s="1"/>
  <c r="G251" i="1"/>
  <c r="H251" i="1" s="1"/>
  <c r="H252" i="1" s="1"/>
  <c r="C253" i="1"/>
  <c r="C254" i="1"/>
  <c r="C255" i="1"/>
  <c r="C256" i="1"/>
  <c r="C257" i="1"/>
  <c r="C258" i="1"/>
  <c r="C252" i="1"/>
  <c r="G243" i="1"/>
  <c r="G246" i="1"/>
  <c r="G245" i="1"/>
  <c r="G242" i="1"/>
  <c r="C244" i="1"/>
  <c r="C245" i="1"/>
  <c r="C246" i="1"/>
  <c r="C247" i="1"/>
  <c r="C248" i="1"/>
  <c r="C249" i="1"/>
  <c r="C243" i="1"/>
  <c r="G229" i="1"/>
  <c r="J228" i="1"/>
  <c r="J227" i="1"/>
  <c r="G225" i="1"/>
  <c r="O218" i="1"/>
  <c r="J223" i="1"/>
  <c r="C219" i="1"/>
  <c r="C220" i="1" s="1"/>
  <c r="I213" i="1"/>
  <c r="D212" i="1"/>
  <c r="G213" i="1" s="1"/>
  <c r="L201" i="1"/>
  <c r="L202" i="1" s="1"/>
  <c r="Q202" i="1"/>
  <c r="L198" i="1"/>
  <c r="L199" i="1" s="1"/>
  <c r="H200" i="1"/>
  <c r="H201" i="1" s="1"/>
  <c r="H199" i="1"/>
  <c r="D199" i="1"/>
  <c r="D200" i="1" s="1"/>
  <c r="O35" i="1" l="1"/>
  <c r="G247" i="1"/>
  <c r="H256" i="1"/>
  <c r="O33" i="1"/>
  <c r="M41" i="1"/>
  <c r="D29" i="1" s="1"/>
  <c r="O34" i="1"/>
  <c r="O37" i="1"/>
  <c r="O30" i="1"/>
  <c r="O38" i="1"/>
  <c r="O40" i="1"/>
  <c r="O36" i="1"/>
  <c r="D10" i="1"/>
  <c r="D213" i="1"/>
  <c r="D220" i="1"/>
  <c r="C203" i="1"/>
  <c r="C204" i="1" s="1"/>
  <c r="BF64" i="1"/>
  <c r="BG64" i="1" s="1"/>
  <c r="BF65" i="1"/>
  <c r="BG65" i="1" s="1"/>
  <c r="BF66" i="1"/>
  <c r="BG66" i="1" s="1"/>
  <c r="BF67" i="1"/>
  <c r="BG67" i="1" s="1"/>
  <c r="BF61" i="1"/>
  <c r="BG61" i="1" s="1"/>
  <c r="BG56" i="1"/>
  <c r="BG57" i="1"/>
  <c r="BG58" i="1"/>
  <c r="BG59" i="1"/>
  <c r="BG53" i="1"/>
  <c r="BF55" i="1"/>
  <c r="BF63" i="1" s="1"/>
  <c r="AR68" i="1"/>
  <c r="AO69" i="1"/>
  <c r="AN70" i="1"/>
  <c r="AN71" i="1" s="1"/>
  <c r="AN72" i="1" s="1"/>
  <c r="AO72" i="1" s="1"/>
  <c r="AN68" i="1"/>
  <c r="AN67" i="1" s="1"/>
  <c r="AN66" i="1" s="1"/>
  <c r="AO66" i="1" s="1"/>
  <c r="BB18" i="1"/>
  <c r="BC18" i="1" s="1"/>
  <c r="BB19" i="1"/>
  <c r="BC19" i="1" s="1"/>
  <c r="BB20" i="1"/>
  <c r="BB21" i="1"/>
  <c r="BC21" i="1" s="1"/>
  <c r="BB22" i="1"/>
  <c r="BC22" i="1" s="1"/>
  <c r="BB23" i="1"/>
  <c r="BC23" i="1" s="1"/>
  <c r="BB17" i="1"/>
  <c r="BC17" i="1" s="1"/>
  <c r="BG55" i="1" l="1"/>
  <c r="O41" i="1"/>
  <c r="D30" i="1" s="1"/>
  <c r="D31" i="1" s="1"/>
  <c r="BF54" i="1"/>
  <c r="BF62" i="1" s="1"/>
  <c r="BG62" i="1" s="1"/>
  <c r="BG63" i="1"/>
  <c r="AO67" i="1"/>
  <c r="AO68" i="1"/>
  <c r="AR67" i="1"/>
  <c r="AR69" i="1" s="1"/>
  <c r="AO71" i="1"/>
  <c r="AO70" i="1"/>
  <c r="BC20" i="1"/>
  <c r="BG54" i="1" l="1"/>
  <c r="BC9" i="1"/>
  <c r="BC10" i="1"/>
  <c r="BC11" i="1"/>
  <c r="BC12" i="1"/>
  <c r="BC13" i="1"/>
  <c r="BC14" i="1"/>
  <c r="BC8" i="1"/>
  <c r="AO25" i="1"/>
  <c r="AO24" i="1"/>
  <c r="AL25" i="1"/>
  <c r="AL24" i="1"/>
  <c r="AB34" i="1"/>
  <c r="AB35" i="1"/>
  <c r="AB36" i="1"/>
  <c r="AB37" i="1"/>
  <c r="AB38" i="1"/>
  <c r="AB39" i="1"/>
  <c r="AB40" i="1"/>
  <c r="AB41" i="1"/>
  <c r="AB33" i="1"/>
  <c r="X29" i="1"/>
  <c r="Y29" i="1" s="1"/>
</calcChain>
</file>

<file path=xl/sharedStrings.xml><?xml version="1.0" encoding="utf-8"?>
<sst xmlns="http://schemas.openxmlformats.org/spreadsheetml/2006/main" count="330" uniqueCount="216">
  <si>
    <t>x</t>
  </si>
  <si>
    <t>P(x)</t>
  </si>
  <si>
    <t>x*P(x)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</si>
  <si>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</si>
  <si>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P</t>
  </si>
  <si>
    <t>n</t>
  </si>
  <si>
    <t>q</t>
  </si>
  <si>
    <t>p(xi)</t>
  </si>
  <si>
    <t>F(x)</t>
  </si>
  <si>
    <t>ejercicio 2</t>
  </si>
  <si>
    <t xml:space="preserve">a) </t>
  </si>
  <si>
    <t xml:space="preserve">b) </t>
  </si>
  <si>
    <t>p(x)</t>
  </si>
  <si>
    <t>f(x)</t>
  </si>
  <si>
    <t>a) Describa la funcio n de probabilidad</t>
  </si>
  <si>
    <t>100 metros no tenga ningun defecto?</t>
  </si>
  <si>
    <t xml:space="preserve">2 para 500m </t>
  </si>
  <si>
    <t>asegurado existen 3000 personas</t>
  </si>
  <si>
    <t>a. Cual es el numero esperado de personas que tiene la enfermedad en el conjunto?</t>
  </si>
  <si>
    <t>b. Cual es la posibilidad de que ninguna persona de las 3000 tenga la enfermedad</t>
  </si>
  <si>
    <t>b)</t>
  </si>
  <si>
    <t>a)</t>
  </si>
  <si>
    <t>c)</t>
  </si>
  <si>
    <t>d)</t>
  </si>
  <si>
    <t>En promedio 6 personas utilizan un cajero automa tico en una sucursal del banco cada 1 hora. Cua l es la probabilidad de:</t>
  </si>
  <si>
    <t>Un libro de texto tiene en total 50 errores de dactilografia en el total de 500 pa ginas del mismo. Cua l es la probabilidad de que:</t>
  </si>
  <si>
    <t>a. Un capitulo de 30 paginas tenga 2 o mas errores</t>
  </si>
  <si>
    <t>b. Un capítulo de 50 paginas tenga 2 o mas errores</t>
  </si>
  <si>
    <t>c. Una pagina elegida al azar no tenga error</t>
  </si>
  <si>
    <t>8 en 100h</t>
  </si>
  <si>
    <t>distribucion normal</t>
  </si>
  <si>
    <t>ejercicio 1:</t>
  </si>
  <si>
    <t>media</t>
  </si>
  <si>
    <t>des est</t>
  </si>
  <si>
    <t>pide</t>
  </si>
  <si>
    <t>P(X)</t>
  </si>
  <si>
    <t xml:space="preserve">distribucion binomial </t>
  </si>
  <si>
    <t>distribucion de Poisson</t>
  </si>
  <si>
    <t>z =</t>
  </si>
  <si>
    <r>
      <t>(X-</t>
    </r>
    <r>
      <rPr>
        <sz val="11"/>
        <color theme="1"/>
        <rFont val="Calibri"/>
        <family val="2"/>
      </rPr>
      <t>μ)/σ</t>
    </r>
  </si>
  <si>
    <t>z</t>
  </si>
  <si>
    <t>P(z)</t>
  </si>
  <si>
    <t xml:space="preserve">En el caso del ejercicio anterior. Cua l es la probabilidad de que la </t>
  </si>
  <si>
    <t>longitud del tornillo exceda de 13.25 cm?. Grafique</t>
  </si>
  <si>
    <t xml:space="preserve">media </t>
  </si>
  <si>
    <t>desv est</t>
  </si>
  <si>
    <t>b. 45000 km o mas?</t>
  </si>
  <si>
    <t>Un distribuidor hace un pedido de 500 llantas de las descriptas en el ejercicio anterior</t>
  </si>
  <si>
    <t>a. Aproximadamente cuantas llantas durara n entre 40000 y 45000 km?</t>
  </si>
  <si>
    <t>ejercicios:</t>
  </si>
  <si>
    <t>probabilidad de que ese producto se tarde en hacer:</t>
  </si>
  <si>
    <t>a) Menos de 7 horas</t>
  </si>
  <si>
    <t>b) Entre 8 y 13 horas</t>
  </si>
  <si>
    <t>c) Realice los mismos cálculos con la variable Z</t>
  </si>
  <si>
    <t>μ</t>
  </si>
  <si>
    <t>σ</t>
  </si>
  <si>
    <t>X</t>
  </si>
  <si>
    <t>aproximacion normal a la probabilidad binomial</t>
  </si>
  <si>
    <t>Q</t>
  </si>
  <si>
    <t>Ventas de cada vendedor</t>
  </si>
  <si>
    <t>P(x&gt;=10</t>
  </si>
  <si>
    <t xml:space="preserve">1. De un grupo se ventas se observa que el 20% de los que un </t>
  </si>
  <si>
    <t xml:space="preserve">vendedor visita en forma personal realizan la compra. Si un </t>
  </si>
  <si>
    <t xml:space="preserve">representante de ventas visita a 30 posibles clientes , cual es la </t>
  </si>
  <si>
    <t xml:space="preserve">probabilidad de que se realicen 10 o ma s ventas?. </t>
  </si>
  <si>
    <t xml:space="preserve">a. Calcule la probabilidad utilizando la distribucio n binomial </t>
  </si>
  <si>
    <t xml:space="preserve">b. Calcule utilizando la aproximacio n segu n la distribucio n </t>
  </si>
  <si>
    <t>normal</t>
  </si>
  <si>
    <t>varianza</t>
  </si>
  <si>
    <t>desv. Est</t>
  </si>
  <si>
    <t>raiz(n*P*Q</t>
  </si>
  <si>
    <t>n*P*Q</t>
  </si>
  <si>
    <t>Ejercicios</t>
  </si>
  <si>
    <t xml:space="preserve">El nu mero promedio de solicitudes de servicio que reciben en un </t>
  </si>
  <si>
    <t xml:space="preserve">departamento de reparacio n de maquinaria por cada turno de 8 horas </t>
  </si>
  <si>
    <t xml:space="preserve">es 10. Puede determinarse la probabilidad de que se reciban ma s de 15 </t>
  </si>
  <si>
    <t>solicitudes en un turno de 8 horas?</t>
  </si>
  <si>
    <t>a. Calcule la probabilidad utilizando la distribucio n Poisson</t>
  </si>
  <si>
    <t>solicitudes de reparacion de maquinas</t>
  </si>
  <si>
    <t>lamda</t>
  </si>
  <si>
    <t>por 8 horas</t>
  </si>
  <si>
    <t>P(x&gt;15)</t>
  </si>
  <si>
    <t>P(x&lt;=15)</t>
  </si>
  <si>
    <t>λ</t>
  </si>
  <si>
    <t>raiz(λ)</t>
  </si>
  <si>
    <t xml:space="preserve">ejercicios parcial </t>
  </si>
  <si>
    <t xml:space="preserve">1) </t>
  </si>
  <si>
    <t xml:space="preserve">Si en un grupo de personas la probabilidad de que vivan 30 </t>
  </si>
  <si>
    <t xml:space="preserve">años o más es 2/3. Considerando 5 personas de ese grupo, la </t>
  </si>
  <si>
    <t>prob. Después de 30 años de que 2 vivan es de 0.364</t>
  </si>
  <si>
    <t>x=</t>
  </si>
  <si>
    <t>la probabilidad de éxito es de 0,16</t>
  </si>
  <si>
    <t xml:space="preserve">distribución Poisson con media 2.3 imperfecciones por mm. La </t>
  </si>
  <si>
    <t>probabilidad de 2 imperfecciones en 1 mm es de 0.265</t>
  </si>
  <si>
    <t xml:space="preserve">2) El número de imperfecciones de un alambre de cobre tiene una </t>
  </si>
  <si>
    <t>λ=2,3</t>
  </si>
  <si>
    <t xml:space="preserve">Verdadero </t>
  </si>
  <si>
    <t xml:space="preserve">verdadero o falso </t>
  </si>
  <si>
    <t>Binomial son independientes entre si</t>
  </si>
  <si>
    <t xml:space="preserve">3) Los resultados de un conjunto de pruebas en la distribución </t>
  </si>
  <si>
    <t>Si realiza 10 disparos la probabilidad de que acierte 3 es 0.75</t>
  </si>
  <si>
    <t xml:space="preserve">4) Si la probabilidad de que un jugador acierte en el blanco es 1/4. </t>
  </si>
  <si>
    <t>la probabilidad es de 0,25</t>
  </si>
  <si>
    <t xml:space="preserve">algún defecto. Si se 80 pantalones. La probabilidad de que haya </t>
  </si>
  <si>
    <t xml:space="preserve">entre 8 y 10 pantalones defectuosos no se puede aproximar por </t>
  </si>
  <si>
    <t>la distribución normal</t>
  </si>
  <si>
    <t>n&gt;=30</t>
  </si>
  <si>
    <t>n*P&gt;=5</t>
  </si>
  <si>
    <t>n*Q&gt;=5</t>
  </si>
  <si>
    <t>se puede aproximar por la distribucion normal</t>
  </si>
  <si>
    <t>porque n &gt; 30, n*P&gt;5 y n*Q&gt;5</t>
  </si>
  <si>
    <t xml:space="preserve">5) El 7% de los pantalones de una determinada marca salen con </t>
  </si>
  <si>
    <t>suponiendo que el número de cheques falsos sigue una</t>
  </si>
  <si>
    <t xml:space="preserve">distribución de Poisson. La probabilidad de que se reciban 4 </t>
  </si>
  <si>
    <t>cheques falsos en un día es 0.285</t>
  </si>
  <si>
    <t xml:space="preserve">6) Un banco recibe un promedio de 6 cheques falsos al día, </t>
  </si>
  <si>
    <t>λ=6</t>
  </si>
  <si>
    <t>la probabilidad es de 0,13</t>
  </si>
  <si>
    <t>un 25%, corresponde al valor de z = - 0.55</t>
  </si>
  <si>
    <t xml:space="preserve">7) En una distribución normal (0,1), la probabilidad acumulada de </t>
  </si>
  <si>
    <t>correzponde al valor z = -0,67</t>
  </si>
  <si>
    <t>puede aproximar su cálculo a través de la distribución normal</t>
  </si>
  <si>
    <t xml:space="preserve">8) En una distribución de Binomial, siendo n =90 y P = 0.10 no se </t>
  </si>
  <si>
    <t xml:space="preserve">Éxito o Fracaso entre dos eventos que no son mutuamente </t>
  </si>
  <si>
    <t>excluyentes entre si</t>
  </si>
  <si>
    <t xml:space="preserve">9) En una distribución binomial solo son posibles dos resultados </t>
  </si>
  <si>
    <t>un 30% corresponde a una valor de Z = -1.2</t>
  </si>
  <si>
    <t xml:space="preserve">10) En una distribución normal (10,2), la probabilidad acumulada de </t>
  </si>
  <si>
    <t xml:space="preserve">si se puede aproximar ya que n &gt; 30, n*P&gt;5 y </t>
  </si>
  <si>
    <t>n*Q&gt;5</t>
  </si>
  <si>
    <t>si son mutuamente excluyentes</t>
  </si>
  <si>
    <t>corresponde a un valor de z=-5,02</t>
  </si>
  <si>
    <t xml:space="preserve">1. El tiempo empleado, en horas, en hacer un determinado producto sigue </t>
  </si>
  <si>
    <t xml:space="preserve">una distribución N(10, 2) . Se pide la probabilidad de que ese producto </t>
  </si>
  <si>
    <t>se tarde en hacer:</t>
  </si>
  <si>
    <t>a. Más de 7 horas</t>
  </si>
  <si>
    <t>b. Entre 8 y 13 horas</t>
  </si>
  <si>
    <t>c. Resuelva también mediante la distribución normal estandarizada</t>
  </si>
  <si>
    <t>ejercicio</t>
  </si>
  <si>
    <t xml:space="preserve">Se cuenta con información del número de camiones que llegan por </t>
  </si>
  <si>
    <t>numero de camiones (x)</t>
  </si>
  <si>
    <t>hora a cargar provisiones, la que se expresa en la tabla siguiente. Calcule</t>
  </si>
  <si>
    <t>a) El número esperado de llegadas por hora</t>
  </si>
  <si>
    <t>b) La varianza de la distribución</t>
  </si>
  <si>
    <t xml:space="preserve">ejercicios de probabildad </t>
  </si>
  <si>
    <t>x2*P(x)</t>
  </si>
  <si>
    <t>MEDIA =</t>
  </si>
  <si>
    <t>VARIANZA=</t>
  </si>
  <si>
    <t>2)</t>
  </si>
  <si>
    <t xml:space="preserve">En la siguiente tabla se identifica la probabilidad de que un sistema </t>
  </si>
  <si>
    <t>durante el periodo de prueba del mismo. Calcule:</t>
  </si>
  <si>
    <t>a) El número esperado de caídas del sistema</t>
  </si>
  <si>
    <t xml:space="preserve">de computación se caiga el número de veces indicado por semana, </t>
  </si>
  <si>
    <t>numero de veces (x)</t>
  </si>
  <si>
    <t>n° esperado: 3 camiones</t>
  </si>
  <si>
    <t>a) el numero esperado de caidas del sistema es de 7 veces</t>
  </si>
  <si>
    <t>3)</t>
  </si>
  <si>
    <t xml:space="preserve">Se listan los posibles resultados del lanzamiento de dos dados en </t>
  </si>
  <si>
    <t xml:space="preserve">forma simultanea. Se pide completar la tabla, dar el valor esperado y la desviacion estandar </t>
  </si>
  <si>
    <t>suma de dados (x)</t>
  </si>
  <si>
    <t>FA</t>
  </si>
  <si>
    <t>1)</t>
  </si>
  <si>
    <t>posibilidades:</t>
  </si>
  <si>
    <t>a) Ningunas de las cuentas este vencida</t>
  </si>
  <si>
    <t>b) Dos cuentas estén vencidas</t>
  </si>
  <si>
    <t>c) La mayor parte de las cuentas estén vencidas</t>
  </si>
  <si>
    <t>d) Arme una tabla y construya la función de probabilidad y la función de distribución</t>
  </si>
  <si>
    <t>e) Calcule la esperanza y varianza de la distribución</t>
  </si>
  <si>
    <t xml:space="preserve">Dadas las elevadas tasas de interes actuales, una empresa informa que el 30% de sus cuentas por cobrar de otras empresas están </t>
  </si>
  <si>
    <t xml:space="preserve">vencidas. Si un contador toma una muestra aleatoria de 5 de esas cuentas, determine la probabilidad de cada uno de las siguientes </t>
  </si>
  <si>
    <t>a) la provabilidad de que ninguna cuenta esté vencida es de 0,16</t>
  </si>
  <si>
    <t>b) la probabilidad de que dos cuentas estén vencidas es de 0,30</t>
  </si>
  <si>
    <t>c)la probabilidad de que la mayor parte de las cuentas estén vencidas es de 0,99</t>
  </si>
  <si>
    <t>e)</t>
  </si>
  <si>
    <t>esperanza</t>
  </si>
  <si>
    <t>a) La totalidad de las 10 acciones seleccionadas aumenten de valor?</t>
  </si>
  <si>
    <t xml:space="preserve">b) Cuanto menos 8 de las acciones aumenten de valor? </t>
  </si>
  <si>
    <t xml:space="preserve">En un año específico el 70% de las acciones que se negociaron en la bolsa de valores aumentaron de precio, mientras el 30 % restante se </t>
  </si>
  <si>
    <t xml:space="preserve">mantuvo sin cambios. Un asesor de inversiones eligio 10 acciones y las califico como especialmente recomendables. Si las acciones de </t>
  </si>
  <si>
    <t>estas empresas representan una selección aleatoria cual es la probabilidad de que:</t>
  </si>
  <si>
    <t>probabilidad de que la totalidad de las 10 acciones seleccionadas aumenten de valor es de 0,028</t>
  </si>
  <si>
    <t>probabilidad de que Cuanto menos 8 de las acciones aumenten de valor es de 0,38</t>
  </si>
  <si>
    <t>En cierto instituto aprueba la asignatura de filosofía el 80% de los alumnos. Tomando una muestra de 8 alumnos elegidos al azar</t>
  </si>
  <si>
    <t>b) Describa la funcio n de Distribución</t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</si>
  <si>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1 </t>
    </r>
  </si>
  <si>
    <t>0,4 para 100</t>
  </si>
  <si>
    <t xml:space="preserve"> En promedio, cada rollo de 500 metros de acero laminado tiene dos defectos. ¿Cual es la probabilidad de que un segmento específico de </t>
  </si>
  <si>
    <t xml:space="preserve">Una compan í a de seguros esta considerando la adiccio n de cobertura para una enfermedad relativamente rara en el campo de </t>
  </si>
  <si>
    <t xml:space="preserve">los seguros me dicos mayores. La probabilidad de que una persona elegida al azar tenga esa enfermedad es 0.001, y en el grupo </t>
  </si>
  <si>
    <t>0,001 para 3000 p</t>
  </si>
  <si>
    <t>a) Exactamente 6 personas utilicen el cajero durante una 1 hora seleccionada al azar?</t>
  </si>
  <si>
    <t>b) Menos de 5 personas lo utilicen durante el mismo periodo?</t>
  </si>
  <si>
    <t>c) Nadie utilice la caja durante un intervalo de 10 minutos</t>
  </si>
  <si>
    <t>d)Nadie utilice la caja durante un intervalo de 5 minutos?</t>
  </si>
  <si>
    <t>λ2</t>
  </si>
  <si>
    <t>λ1</t>
  </si>
  <si>
    <t>50 en 500</t>
  </si>
  <si>
    <t>a. Falle un componente en 25 horas?</t>
  </si>
  <si>
    <t>c. Fallen por lo menos diez en 125 horas?</t>
  </si>
  <si>
    <t>variable aleatoria de Poisson. Si el numero promedio de estos fallos es ocho. Cual es la probabilidad de que:</t>
  </si>
  <si>
    <t xml:space="preserve">Una empresa electronica observa que el numero de componentes que fallan antes de cumplir 100 horas de funcionamiento es una </t>
  </si>
  <si>
    <t>b. Fallen no mas de dos componentes en 50 horas?</t>
  </si>
  <si>
    <t>λ3</t>
  </si>
  <si>
    <t>a. Determine la probabilidad de que un componente elegido al azar dure entre 2000 y 2400 horas</t>
  </si>
  <si>
    <t>b. Realice el mismo calculo mediante la distribucion normal estandarizada</t>
  </si>
  <si>
    <t>Se sabe que el tiempo u til de un componente ele ctrico tiene una distribucio n normal con media µ = 2000 y desviacion estandar s= 200 horas</t>
  </si>
  <si>
    <t>4)</t>
  </si>
  <si>
    <t xml:space="preserve">El promedio de vida u til de ciertos tipos de llantas tiene una distribucio n normal, con media µ = 38000 km y s = 3000 km. Se </t>
  </si>
  <si>
    <t>a. Cua l es la probabilidad de que una llanta elegida al azar tenga una vida u til de cuando menos 35000 km?. Grafique</t>
  </si>
  <si>
    <t>b. Cua l es la probabilidad de que dure ma s de 45000 km?. Grafique</t>
  </si>
  <si>
    <t>5)</t>
  </si>
  <si>
    <t>aproximadamente 121 llantas</t>
  </si>
  <si>
    <t xml:space="preserve">aproximadamente 5 ruedas </t>
  </si>
  <si>
    <t xml:space="preserve">Para El tiempo empleado, en horas, en hacer un determinado producto sigue una distribución N(10,2). Se pide la </t>
  </si>
  <si>
    <r>
      <t>P(x)</t>
    </r>
    <r>
      <rPr>
        <sz val="11"/>
        <color theme="1"/>
        <rFont val="Calibri"/>
        <family val="2"/>
      </rPr>
      <t>≥7</t>
    </r>
  </si>
  <si>
    <r>
      <t>P(x)</t>
    </r>
    <r>
      <rPr>
        <sz val="11"/>
        <color theme="1"/>
        <rFont val="Calibri"/>
        <family val="2"/>
      </rPr>
      <t>≥-1,5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</si>
</sst>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5" fillId="0" borderId="1" xfId="0" applyFont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NumberFormat="1" applyBorder="1"/>
    <xf numFmtId="0" fontId="0" fillId="0" borderId="20" xfId="0" applyBorder="1"/>
    <xf numFmtId="2" fontId="0" fillId="2" borderId="15" xfId="0" applyNumberFormat="1" applyFill="1" applyBorder="1"/>
    <xf numFmtId="2" fontId="0" fillId="2" borderId="1" xfId="0" applyNumberFormat="1" applyFill="1" applyBorder="1"/>
    <xf numFmtId="0" fontId="0" fillId="3" borderId="1" xfId="0" applyFill="1" applyBorder="1"/>
    <xf numFmtId="0" fontId="0" fillId="0" borderId="21" xfId="0" applyBorder="1"/>
    <xf numFmtId="0" fontId="0" fillId="2" borderId="7" xfId="0" applyFill="1" applyBorder="1"/>
    <xf numFmtId="0" fontId="5" fillId="0" borderId="11" xfId="0" applyFont="1" applyBorder="1"/>
    <xf numFmtId="0" fontId="0" fillId="0" borderId="7" xfId="0" applyBorder="1"/>
    <xf numFmtId="0" fontId="0" fillId="0" borderId="25" xfId="0" applyBorder="1"/>
    <xf numFmtId="0" fontId="4" fillId="2" borderId="0" xfId="0" applyFont="1" applyFill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" xfId="0" applyNumberFormat="1" applyFill="1" applyBorder="1"/>
    <xf numFmtId="1" fontId="0" fillId="2" borderId="1" xfId="0" applyNumberFormat="1" applyFill="1" applyBorder="1"/>
    <xf numFmtId="164" fontId="0" fillId="0" borderId="15" xfId="0" applyNumberFormat="1" applyFill="1" applyBorder="1"/>
    <xf numFmtId="0" fontId="0" fillId="0" borderId="3" xfId="0" applyFill="1" applyBorder="1"/>
    <xf numFmtId="0" fontId="0" fillId="0" borderId="26" xfId="0" applyBorder="1"/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2" borderId="0" xfId="0" applyFill="1" applyBorder="1"/>
    <xf numFmtId="0" fontId="2" fillId="0" borderId="1" xfId="0" applyFont="1" applyBorder="1"/>
    <xf numFmtId="0" fontId="0" fillId="0" borderId="0" xfId="0" applyBorder="1" applyAlignment="1">
      <alignment horizontal="left"/>
    </xf>
    <xf numFmtId="0" fontId="0" fillId="2" borderId="2" xfId="0" applyFill="1" applyBorder="1"/>
    <xf numFmtId="168" fontId="0" fillId="2" borderId="1" xfId="0" applyNumberForma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2" borderId="4" xfId="0" applyFill="1" applyBorder="1"/>
    <xf numFmtId="164" fontId="0" fillId="2" borderId="15" xfId="0" applyNumberFormat="1" applyFill="1" applyBorder="1"/>
    <xf numFmtId="0" fontId="7" fillId="0" borderId="0" xfId="0" applyFont="1" applyFill="1" applyBorder="1"/>
    <xf numFmtId="168" fontId="8" fillId="2" borderId="1" xfId="0" applyNumberFormat="1" applyFont="1" applyFill="1" applyBorder="1"/>
    <xf numFmtId="0" fontId="0" fillId="0" borderId="11" xfId="0" applyFill="1" applyBorder="1"/>
    <xf numFmtId="0" fontId="7" fillId="0" borderId="11" xfId="0" applyFont="1" applyFill="1" applyBorder="1"/>
    <xf numFmtId="0" fontId="7" fillId="0" borderId="14" xfId="0" applyFont="1" applyFill="1" applyBorder="1"/>
    <xf numFmtId="0" fontId="7" fillId="0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074825906877247"/>
          <c:y val="0.23594947506561681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Hoja1!$BC$7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Hoja1!$BB$8:$BB$14</c:f>
              <c:numCache>
                <c:formatCode>General</c:formatCode>
                <c:ptCount val="7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</c:numCache>
            </c:numRef>
          </c:cat>
          <c:val>
            <c:numRef>
              <c:f>Hoja1!$BC$8:$BC$14</c:f>
              <c:numCache>
                <c:formatCode>General</c:formatCode>
                <c:ptCount val="7"/>
                <c:pt idx="0">
                  <c:v>2.2159242059690037E-5</c:v>
                </c:pt>
                <c:pt idx="1">
                  <c:v>2.6995483256594027E-4</c:v>
                </c:pt>
                <c:pt idx="2">
                  <c:v>1.2098536225957168E-3</c:v>
                </c:pt>
                <c:pt idx="3">
                  <c:v>1.9947114020071634E-3</c:v>
                </c:pt>
                <c:pt idx="4">
                  <c:v>1.2098536225957168E-3</c:v>
                </c:pt>
                <c:pt idx="5">
                  <c:v>2.6995483256594027E-4</c:v>
                </c:pt>
                <c:pt idx="6">
                  <c:v>2.2159242059690037E-5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92-46CC-BC95-99061606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4463"/>
        <c:axId val="62675711"/>
      </c:lineChart>
      <c:catAx>
        <c:axId val="626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5711"/>
        <c:crosses val="autoZero"/>
        <c:auto val="1"/>
        <c:lblAlgn val="ctr"/>
        <c:lblOffset val="100"/>
        <c:noMultiLvlLbl val="0"/>
      </c:catAx>
      <c:valAx>
        <c:axId val="626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7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5000950739098268"/>
          <c:y val="0.27474058049543282"/>
          <c:w val="0.78704345373325058"/>
          <c:h val="0.5685905446228741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Hoja1!$BB$17:$BB$23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Hoja1!$BC$17:$BC$23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07-46C1-BD5D-54437748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02992"/>
        <c:axId val="781703824"/>
      </c:lineChart>
      <c:catAx>
        <c:axId val="781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703824"/>
        <c:crosses val="autoZero"/>
        <c:auto val="1"/>
        <c:lblAlgn val="ctr"/>
        <c:lblOffset val="100"/>
        <c:noMultiLvlLbl val="0"/>
      </c:catAx>
      <c:valAx>
        <c:axId val="781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7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>
        <c:manualLayout>
          <c:xMode val="edge"/>
          <c:yMode val="edge"/>
          <c:x val="0.47857847769028877"/>
          <c:y val="6.1115485564304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361900921697525"/>
          <c:y val="0.20666330492335955"/>
          <c:w val="0.71992830666042573"/>
          <c:h val="0.6496541917344893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Hoja1!$BE$31:$BE$37</c:f>
              <c:numCache>
                <c:formatCode>General</c:formatCode>
                <c:ptCount val="7"/>
                <c:pt idx="0">
                  <c:v>29000</c:v>
                </c:pt>
                <c:pt idx="1">
                  <c:v>32000</c:v>
                </c:pt>
                <c:pt idx="2">
                  <c:v>35000</c:v>
                </c:pt>
                <c:pt idx="3">
                  <c:v>38000</c:v>
                </c:pt>
                <c:pt idx="4">
                  <c:v>41000</c:v>
                </c:pt>
                <c:pt idx="5">
                  <c:v>44000</c:v>
                </c:pt>
                <c:pt idx="6">
                  <c:v>47000</c:v>
                </c:pt>
              </c:numCache>
            </c:numRef>
          </c:cat>
          <c:val>
            <c:numRef>
              <c:f>Hoja1!$BF$31:$BF$37</c:f>
              <c:numCache>
                <c:formatCode>General</c:formatCode>
                <c:ptCount val="7"/>
                <c:pt idx="0">
                  <c:v>1.4772828039793357E-6</c:v>
                </c:pt>
                <c:pt idx="1">
                  <c:v>1.7996988837729352E-5</c:v>
                </c:pt>
                <c:pt idx="2">
                  <c:v>8.0656908173047786E-5</c:v>
                </c:pt>
                <c:pt idx="3">
                  <c:v>1.3298076013381089E-4</c:v>
                </c:pt>
                <c:pt idx="4">
                  <c:v>8.0656908173047786E-5</c:v>
                </c:pt>
                <c:pt idx="5">
                  <c:v>1.7996988837729352E-5</c:v>
                </c:pt>
                <c:pt idx="6">
                  <c:v>1.4772828039793357E-6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7-40AF-A43E-C1C9EAB6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79152"/>
        <c:axId val="781382064"/>
      </c:lineChart>
      <c:catAx>
        <c:axId val="7813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382064"/>
        <c:crosses val="autoZero"/>
        <c:auto val="1"/>
        <c:lblAlgn val="ctr"/>
        <c:lblOffset val="100"/>
        <c:noMultiLvlLbl val="0"/>
      </c:catAx>
      <c:valAx>
        <c:axId val="7813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3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6803086739906"/>
          <c:y val="0.26876811594202904"/>
          <c:w val="0.83323683341977461"/>
          <c:h val="0.5631284948077142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Hoja1!$BF$53:$BF$59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Hoja1!$BG$53:$BG$59</c:f>
              <c:numCache>
                <c:formatCode>General</c:formatCode>
                <c:ptCount val="7"/>
                <c:pt idx="0">
                  <c:v>2.2159242059690038E-3</c:v>
                </c:pt>
                <c:pt idx="1">
                  <c:v>2.6995483256594031E-2</c:v>
                </c:pt>
                <c:pt idx="2">
                  <c:v>0.12098536225957168</c:v>
                </c:pt>
                <c:pt idx="3">
                  <c:v>0.19947114020071635</c:v>
                </c:pt>
                <c:pt idx="4">
                  <c:v>0.12098536225957168</c:v>
                </c:pt>
                <c:pt idx="5">
                  <c:v>2.6995483256594031E-2</c:v>
                </c:pt>
                <c:pt idx="6">
                  <c:v>2.2159242059690038E-3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2A-47C4-8547-12A6E60A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86640"/>
        <c:axId val="781377072"/>
      </c:lineChart>
      <c:catAx>
        <c:axId val="7813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377072"/>
        <c:crosses val="autoZero"/>
        <c:auto val="1"/>
        <c:lblAlgn val="ctr"/>
        <c:lblOffset val="100"/>
        <c:noMultiLvlLbl val="0"/>
      </c:catAx>
      <c:valAx>
        <c:axId val="7813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3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069961340302547"/>
          <c:y val="0.2497643097643098"/>
          <c:w val="0.84131368194360323"/>
          <c:h val="0.5940183992152495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Hoja1!$B$243:$B$249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Hoja1!$C$243:$C$249</c:f>
              <c:numCache>
                <c:formatCode>General</c:formatCode>
                <c:ptCount val="7"/>
                <c:pt idx="0">
                  <c:v>2.2159242059690038E-3</c:v>
                </c:pt>
                <c:pt idx="1">
                  <c:v>2.6995483256594031E-2</c:v>
                </c:pt>
                <c:pt idx="2">
                  <c:v>0.12098536225957168</c:v>
                </c:pt>
                <c:pt idx="3">
                  <c:v>0.19947114020071635</c:v>
                </c:pt>
                <c:pt idx="4">
                  <c:v>0.12098536225957168</c:v>
                </c:pt>
                <c:pt idx="5">
                  <c:v>2.6995483256594031E-2</c:v>
                </c:pt>
                <c:pt idx="6">
                  <c:v>2.2159242059690038E-3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BA-4EF0-832B-AFD4A1BF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15776"/>
        <c:axId val="621912864"/>
      </c:lineChart>
      <c:catAx>
        <c:axId val="6219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912864"/>
        <c:crosses val="autoZero"/>
        <c:auto val="1"/>
        <c:lblAlgn val="ctr"/>
        <c:lblOffset val="100"/>
        <c:noMultiLvlLbl val="0"/>
      </c:catAx>
      <c:valAx>
        <c:axId val="621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9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Hoja1!$B$252:$B$258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Hoja1!$C$252:$C$258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D0-4841-9FAF-A6775C0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069248"/>
        <c:axId val="838069664"/>
      </c:lineChart>
      <c:catAx>
        <c:axId val="8380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8069664"/>
        <c:crosses val="autoZero"/>
        <c:auto val="1"/>
        <c:lblAlgn val="ctr"/>
        <c:lblOffset val="100"/>
        <c:noMultiLvlLbl val="0"/>
      </c:catAx>
      <c:valAx>
        <c:axId val="838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80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561975</xdr:colOff>
      <xdr:row>37</xdr:row>
      <xdr:rowOff>123825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8153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>
    <xdr:from>
      <xdr:col>55</xdr:col>
      <xdr:colOff>333375</xdr:colOff>
      <xdr:row>6</xdr:row>
      <xdr:rowOff>57149</xdr:rowOff>
    </xdr:from>
    <xdr:to>
      <xdr:col>59</xdr:col>
      <xdr:colOff>447675</xdr:colOff>
      <xdr:row>14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247649</xdr:colOff>
      <xdr:row>14</xdr:row>
      <xdr:rowOff>142873</xdr:rowOff>
    </xdr:from>
    <xdr:to>
      <xdr:col>59</xdr:col>
      <xdr:colOff>390525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276226</xdr:colOff>
      <xdr:row>29</xdr:row>
      <xdr:rowOff>95251</xdr:rowOff>
    </xdr:from>
    <xdr:to>
      <xdr:col>62</xdr:col>
      <xdr:colOff>419100</xdr:colOff>
      <xdr:row>38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124690</xdr:colOff>
      <xdr:row>52</xdr:row>
      <xdr:rowOff>66675</xdr:rowOff>
    </xdr:from>
    <xdr:to>
      <xdr:col>62</xdr:col>
      <xdr:colOff>439015</xdr:colOff>
      <xdr:row>60</xdr:row>
      <xdr:rowOff>95250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133349</xdr:colOff>
      <xdr:row>238</xdr:row>
      <xdr:rowOff>76200</xdr:rowOff>
    </xdr:from>
    <xdr:to>
      <xdr:col>12</xdr:col>
      <xdr:colOff>457199</xdr:colOff>
      <xdr:row>248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171450</xdr:colOff>
      <xdr:row>248</xdr:row>
      <xdr:rowOff>123824</xdr:rowOff>
    </xdr:from>
    <xdr:to>
      <xdr:col>13</xdr:col>
      <xdr:colOff>95250</xdr:colOff>
      <xdr:row>258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8"/>
  <sheetViews>
    <sheetView tabSelected="1" topLeftCell="AU37" zoomScale="115" zoomScaleNormal="115" workbookViewId="0">
      <selection activeCell="BD61" sqref="BD61"/>
    </sheetView>
  </sheetViews>
  <sheetFormatPr baseColWidth="10" defaultRowHeight="15" x14ac:dyDescent="0.25"/>
  <cols>
    <col min="1" max="1" width="7.42578125" customWidth="1"/>
    <col min="2" max="2" width="2.5703125" customWidth="1"/>
    <col min="3" max="3" width="6.140625" customWidth="1"/>
    <col min="4" max="4" width="7" customWidth="1"/>
    <col min="5" max="5" width="4.85546875" customWidth="1"/>
    <col min="6" max="6" width="5.7109375" customWidth="1"/>
    <col min="7" max="7" width="6.42578125" customWidth="1"/>
    <col min="8" max="8" width="6.7109375" customWidth="1"/>
    <col min="9" max="9" width="7.140625" customWidth="1"/>
    <col min="10" max="10" width="8.140625" customWidth="1"/>
    <col min="11" max="11" width="10" customWidth="1"/>
    <col min="12" max="12" width="8" customWidth="1"/>
    <col min="13" max="13" width="9" customWidth="1"/>
    <col min="14" max="14" width="10" customWidth="1"/>
    <col min="15" max="15" width="11.85546875" bestFit="1" customWidth="1"/>
    <col min="16" max="16" width="5.7109375" customWidth="1"/>
    <col min="17" max="17" width="14.28515625" customWidth="1"/>
    <col min="19" max="20" width="12" bestFit="1" customWidth="1"/>
    <col min="27" max="27" width="12" bestFit="1" customWidth="1"/>
    <col min="28" max="28" width="3.28515625" customWidth="1"/>
    <col min="29" max="29" width="6.140625" customWidth="1"/>
    <col min="30" max="30" width="11.85546875" customWidth="1"/>
    <col min="31" max="31" width="7.5703125" customWidth="1"/>
    <col min="33" max="33" width="12" bestFit="1" customWidth="1"/>
    <col min="36" max="36" width="12" bestFit="1" customWidth="1"/>
    <col min="50" max="50" width="3" customWidth="1"/>
    <col min="54" max="54" width="11.85546875" bestFit="1" customWidth="1"/>
    <col min="58" max="58" width="13.140625" bestFit="1" customWidth="1"/>
  </cols>
  <sheetData>
    <row r="1" spans="1:63" ht="15.75" thickBot="1" x14ac:dyDescent="0.3">
      <c r="AL1" s="1"/>
      <c r="AM1" s="1"/>
      <c r="AN1" s="1"/>
    </row>
    <row r="2" spans="1:63" ht="27" thickBot="1" x14ac:dyDescent="0.45">
      <c r="A2" s="1"/>
      <c r="B2" s="59" t="s">
        <v>144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S2" s="35" t="s">
        <v>36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/>
      <c r="AJ2" s="35" t="s">
        <v>37</v>
      </c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59" t="s">
        <v>30</v>
      </c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1"/>
    </row>
    <row r="3" spans="1:63" ht="17.25" x14ac:dyDescent="0.25">
      <c r="A3" s="1"/>
      <c r="B3" s="14" t="s">
        <v>86</v>
      </c>
      <c r="C3" s="1" t="s">
        <v>139</v>
      </c>
      <c r="D3" s="1"/>
      <c r="E3" s="1"/>
      <c r="F3" s="1"/>
      <c r="G3" s="1"/>
      <c r="H3" s="1"/>
      <c r="I3" s="1"/>
      <c r="J3" s="1"/>
      <c r="K3" s="1"/>
      <c r="L3" s="1"/>
      <c r="M3" s="50" t="s">
        <v>56</v>
      </c>
      <c r="N3" s="50" t="s">
        <v>1</v>
      </c>
      <c r="O3" s="50" t="s">
        <v>2</v>
      </c>
      <c r="P3" s="57" t="s">
        <v>3</v>
      </c>
      <c r="Q3" s="58" t="s">
        <v>145</v>
      </c>
      <c r="S3" s="1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5"/>
      <c r="AJ3" s="14" t="s">
        <v>161</v>
      </c>
      <c r="AK3" s="1" t="s">
        <v>186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5"/>
      <c r="AX3" s="14" t="s">
        <v>31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5"/>
    </row>
    <row r="4" spans="1:63" x14ac:dyDescent="0.25">
      <c r="A4" s="1"/>
      <c r="B4" s="14"/>
      <c r="C4" s="1" t="s">
        <v>141</v>
      </c>
      <c r="D4" s="1"/>
      <c r="E4" s="1"/>
      <c r="F4" s="1"/>
      <c r="G4" s="1"/>
      <c r="H4" s="1"/>
      <c r="I4" s="1"/>
      <c r="J4" s="1"/>
      <c r="K4" s="1"/>
      <c r="L4" s="1"/>
      <c r="M4" s="2">
        <v>0</v>
      </c>
      <c r="N4" s="2">
        <v>0.05</v>
      </c>
      <c r="O4" s="2">
        <f>M4*N4</f>
        <v>0</v>
      </c>
      <c r="P4" s="2">
        <f>POWER(M4,2)</f>
        <v>0</v>
      </c>
      <c r="Q4" s="16">
        <f>P4*N4</f>
        <v>0</v>
      </c>
      <c r="S4" s="14" t="s">
        <v>161</v>
      </c>
      <c r="T4" s="1" t="s">
        <v>168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5"/>
      <c r="AJ4" s="14"/>
      <c r="AK4" s="1" t="s">
        <v>15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5"/>
      <c r="AX4" s="14" t="s">
        <v>161</v>
      </c>
      <c r="AY4" s="1" t="s">
        <v>205</v>
      </c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5"/>
    </row>
    <row r="5" spans="1:63" x14ac:dyDescent="0.25">
      <c r="A5" s="1"/>
      <c r="B5" s="14"/>
      <c r="C5" s="1" t="s">
        <v>142</v>
      </c>
      <c r="D5" s="1"/>
      <c r="E5" s="1"/>
      <c r="F5" s="1"/>
      <c r="G5" s="1"/>
      <c r="H5" s="1"/>
      <c r="I5" s="1"/>
      <c r="J5" s="1"/>
      <c r="K5" s="1"/>
      <c r="L5" s="1"/>
      <c r="M5" s="2">
        <v>1</v>
      </c>
      <c r="N5" s="2">
        <v>0.1</v>
      </c>
      <c r="O5" s="2">
        <f t="shared" ref="O5:O10" si="0">M5*N5</f>
        <v>0.1</v>
      </c>
      <c r="P5" s="2">
        <f t="shared" ref="P5:P10" si="1">POWER(M5,2)</f>
        <v>1</v>
      </c>
      <c r="Q5" s="16">
        <f>P5*N5</f>
        <v>0.1</v>
      </c>
      <c r="S5" s="14"/>
      <c r="T5" s="1" t="s">
        <v>169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5"/>
      <c r="AJ5" s="14"/>
      <c r="AK5" s="8" t="s">
        <v>83</v>
      </c>
      <c r="AL5" s="2" t="s">
        <v>16</v>
      </c>
      <c r="AM5" s="1"/>
      <c r="AN5" s="1"/>
      <c r="AO5" s="1"/>
      <c r="AP5" s="1"/>
      <c r="AQ5" s="1"/>
      <c r="AR5" s="1"/>
      <c r="AS5" s="1"/>
      <c r="AT5" s="1"/>
      <c r="AU5" s="1"/>
      <c r="AV5" s="15"/>
      <c r="AX5" s="14"/>
      <c r="AY5" s="1" t="s">
        <v>203</v>
      </c>
      <c r="AZ5" s="1"/>
      <c r="BA5" s="1"/>
      <c r="BB5" s="1"/>
      <c r="BC5" s="1"/>
      <c r="BD5" s="1"/>
      <c r="BE5" s="1"/>
      <c r="BF5" s="1"/>
      <c r="BG5" s="2" t="s">
        <v>32</v>
      </c>
      <c r="BH5" s="16">
        <v>2000</v>
      </c>
      <c r="BI5" s="1"/>
      <c r="BJ5" s="1"/>
      <c r="BK5" s="15"/>
    </row>
    <row r="6" spans="1:63" x14ac:dyDescent="0.25">
      <c r="A6" s="1"/>
      <c r="B6" s="14"/>
      <c r="C6" s="1" t="s">
        <v>143</v>
      </c>
      <c r="D6" s="1"/>
      <c r="E6" s="1"/>
      <c r="F6" s="1"/>
      <c r="G6" s="1"/>
      <c r="H6" s="1"/>
      <c r="I6" s="1"/>
      <c r="J6" s="1"/>
      <c r="K6" s="1"/>
      <c r="L6" s="1"/>
      <c r="M6" s="2">
        <v>2</v>
      </c>
      <c r="N6" s="2">
        <v>0.15</v>
      </c>
      <c r="O6" s="2">
        <f t="shared" si="0"/>
        <v>0.3</v>
      </c>
      <c r="P6" s="2">
        <f t="shared" si="1"/>
        <v>4</v>
      </c>
      <c r="Q6" s="16">
        <f>P6*N6</f>
        <v>0.6</v>
      </c>
      <c r="S6" s="14"/>
      <c r="T6" s="1" t="s">
        <v>162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J6" s="14"/>
      <c r="AK6" s="2" t="s">
        <v>184</v>
      </c>
      <c r="AL6" s="2" t="s">
        <v>185</v>
      </c>
      <c r="AM6" s="1"/>
      <c r="AN6" s="1"/>
      <c r="AO6" s="1"/>
      <c r="AP6" s="1"/>
      <c r="AQ6" s="1"/>
      <c r="AR6" s="1"/>
      <c r="AS6" s="1"/>
      <c r="AT6" s="1"/>
      <c r="AU6" s="1"/>
      <c r="AV6" s="15"/>
      <c r="AX6" s="14"/>
      <c r="AY6" s="1" t="s">
        <v>204</v>
      </c>
      <c r="AZ6" s="1"/>
      <c r="BA6" s="1"/>
      <c r="BB6" s="1"/>
      <c r="BC6" s="1"/>
      <c r="BD6" s="1"/>
      <c r="BE6" s="1"/>
      <c r="BF6" s="1"/>
      <c r="BG6" s="2" t="s">
        <v>33</v>
      </c>
      <c r="BH6" s="16">
        <v>200</v>
      </c>
      <c r="BI6" s="1"/>
      <c r="BJ6" s="1"/>
      <c r="BK6" s="15"/>
    </row>
    <row r="7" spans="1:63" x14ac:dyDescent="0.25">
      <c r="A7" s="1"/>
      <c r="B7" s="14"/>
      <c r="C7" s="46" t="s">
        <v>140</v>
      </c>
      <c r="D7" s="47"/>
      <c r="E7" s="44">
        <v>0</v>
      </c>
      <c r="F7" s="44">
        <v>1</v>
      </c>
      <c r="G7" s="44">
        <v>2</v>
      </c>
      <c r="H7" s="45">
        <v>3</v>
      </c>
      <c r="I7" s="45">
        <v>4</v>
      </c>
      <c r="J7" s="45">
        <v>5</v>
      </c>
      <c r="K7" s="45">
        <v>6</v>
      </c>
      <c r="L7" s="1"/>
      <c r="M7" s="2">
        <v>3</v>
      </c>
      <c r="N7" s="2">
        <v>0.25</v>
      </c>
      <c r="O7" s="2">
        <f t="shared" si="0"/>
        <v>0.75</v>
      </c>
      <c r="P7" s="2">
        <f t="shared" si="1"/>
        <v>9</v>
      </c>
      <c r="Q7" s="16">
        <f>P7*N7</f>
        <v>2.25</v>
      </c>
      <c r="R7" s="1"/>
      <c r="S7" s="14"/>
      <c r="T7" s="1" t="s">
        <v>163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5"/>
      <c r="AJ7" s="14"/>
      <c r="AK7" s="43" t="s">
        <v>1</v>
      </c>
      <c r="AL7" s="27">
        <f>_xlfn.POISSON.DIST(0,0.4,0)</f>
        <v>0.67032004603563933</v>
      </c>
      <c r="AM7" s="1"/>
      <c r="AN7" s="1"/>
      <c r="AO7" s="1"/>
      <c r="AP7" s="1"/>
      <c r="AQ7" s="1"/>
      <c r="AR7" s="1"/>
      <c r="AS7" s="1"/>
      <c r="AT7" s="1"/>
      <c r="AU7" s="1"/>
      <c r="AV7" s="15"/>
      <c r="AX7" s="14"/>
      <c r="AY7" s="1" t="s">
        <v>10</v>
      </c>
      <c r="AZ7" s="2">
        <f>_xlfn.NORM.DIST(2400,2000,200,1)</f>
        <v>0.97724986805182079</v>
      </c>
      <c r="BA7" s="1"/>
      <c r="BB7" s="2" t="s">
        <v>0</v>
      </c>
      <c r="BC7" s="16" t="s">
        <v>1</v>
      </c>
      <c r="BD7" s="1"/>
      <c r="BE7" s="1"/>
      <c r="BF7" s="1"/>
      <c r="BG7" s="1"/>
      <c r="BH7" s="1"/>
      <c r="BI7" s="1"/>
      <c r="BJ7" s="1"/>
      <c r="BK7" s="15"/>
    </row>
    <row r="8" spans="1:63" x14ac:dyDescent="0.25">
      <c r="A8" s="1"/>
      <c r="B8" s="14"/>
      <c r="C8" s="48" t="s">
        <v>1</v>
      </c>
      <c r="D8" s="49"/>
      <c r="E8" s="44">
        <v>0.05</v>
      </c>
      <c r="F8" s="44">
        <v>0.1</v>
      </c>
      <c r="G8" s="44">
        <v>0.15</v>
      </c>
      <c r="H8" s="45">
        <v>0.25</v>
      </c>
      <c r="I8" s="45">
        <v>0.3</v>
      </c>
      <c r="J8" s="45">
        <v>0.1</v>
      </c>
      <c r="K8" s="45">
        <v>0.05</v>
      </c>
      <c r="L8" s="1"/>
      <c r="M8" s="2">
        <v>4</v>
      </c>
      <c r="N8" s="45">
        <v>0.3</v>
      </c>
      <c r="O8" s="2">
        <f t="shared" si="0"/>
        <v>1.2</v>
      </c>
      <c r="P8" s="2">
        <f t="shared" si="1"/>
        <v>16</v>
      </c>
      <c r="Q8" s="16">
        <f>P8*N8</f>
        <v>4.8</v>
      </c>
      <c r="R8" s="1"/>
      <c r="S8" s="14"/>
      <c r="T8" s="1" t="s">
        <v>164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5"/>
      <c r="AJ8" s="14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5"/>
      <c r="AX8" s="14"/>
      <c r="AY8" s="1"/>
      <c r="AZ8" s="2">
        <f>_xlfn.NORM.DIST(2000,2000,200,1)</f>
        <v>0.5</v>
      </c>
      <c r="BA8" s="1"/>
      <c r="BB8" s="2">
        <v>1400</v>
      </c>
      <c r="BC8" s="24">
        <f>_xlfn.NORM.DIST(BB8,$BH$5,$BH$6,0)</f>
        <v>2.2159242059690037E-5</v>
      </c>
      <c r="BD8" s="1"/>
      <c r="BE8" s="1"/>
      <c r="BF8" s="1"/>
      <c r="BG8" s="1"/>
      <c r="BH8" s="1"/>
      <c r="BI8" s="1"/>
      <c r="BJ8" s="1"/>
      <c r="BK8" s="15"/>
    </row>
    <row r="9" spans="1:63" ht="15" customHeight="1" x14ac:dyDescent="0.25">
      <c r="A9" s="1"/>
      <c r="B9" s="14" t="s">
        <v>21</v>
      </c>
      <c r="C9" s="2" t="s">
        <v>146</v>
      </c>
      <c r="D9" s="4">
        <f>O11</f>
        <v>3.1499999999999995</v>
      </c>
      <c r="E9" s="1" t="s">
        <v>154</v>
      </c>
      <c r="F9" s="1"/>
      <c r="G9" s="1"/>
      <c r="H9" s="1"/>
      <c r="I9" s="1"/>
      <c r="J9" s="1"/>
      <c r="K9" s="1"/>
      <c r="L9" s="1"/>
      <c r="M9" s="2">
        <v>5</v>
      </c>
      <c r="N9" s="45">
        <v>0.1</v>
      </c>
      <c r="O9" s="2">
        <f t="shared" si="0"/>
        <v>0.5</v>
      </c>
      <c r="P9" s="2">
        <f t="shared" si="1"/>
        <v>25</v>
      </c>
      <c r="Q9" s="16">
        <f>P9*N9</f>
        <v>2.5</v>
      </c>
      <c r="R9" s="1"/>
      <c r="S9" s="14"/>
      <c r="T9" s="1" t="s">
        <v>165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5"/>
      <c r="AJ9" s="14" t="s">
        <v>148</v>
      </c>
      <c r="AK9" s="1" t="s">
        <v>187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5"/>
      <c r="AX9" s="14"/>
      <c r="AY9" s="1"/>
      <c r="AZ9" s="4">
        <f>AZ7-AZ8</f>
        <v>0.47724986805182079</v>
      </c>
      <c r="BA9" s="1"/>
      <c r="BB9" s="2">
        <v>1600</v>
      </c>
      <c r="BC9" s="24">
        <f>_xlfn.NORM.DIST(BB9,$BH$5,$BH$6,0)</f>
        <v>2.6995483256594027E-4</v>
      </c>
      <c r="BD9" s="1"/>
      <c r="BE9" s="1"/>
      <c r="BF9" s="1"/>
      <c r="BG9" s="1"/>
      <c r="BH9" s="1"/>
      <c r="BI9" s="1"/>
      <c r="BJ9" s="1"/>
      <c r="BK9" s="15"/>
    </row>
    <row r="10" spans="1:63" x14ac:dyDescent="0.25">
      <c r="A10" s="1"/>
      <c r="B10" s="14" t="s">
        <v>20</v>
      </c>
      <c r="C10" s="2" t="s">
        <v>147</v>
      </c>
      <c r="D10" s="4">
        <f>Q11-O11</f>
        <v>8.9000000000000021</v>
      </c>
      <c r="E10" s="1"/>
      <c r="F10" s="1"/>
      <c r="G10" s="1"/>
      <c r="H10" s="1"/>
      <c r="I10" s="1"/>
      <c r="J10" s="1"/>
      <c r="K10" s="1"/>
      <c r="L10" s="1"/>
      <c r="M10" s="2">
        <v>6</v>
      </c>
      <c r="N10" s="2">
        <v>0.05</v>
      </c>
      <c r="O10" s="2">
        <f t="shared" si="0"/>
        <v>0.30000000000000004</v>
      </c>
      <c r="P10" s="2">
        <f t="shared" si="1"/>
        <v>36</v>
      </c>
      <c r="Q10" s="16">
        <f>P10*N10</f>
        <v>1.8</v>
      </c>
      <c r="R10" s="1"/>
      <c r="S10" s="14"/>
      <c r="T10" s="1" t="s">
        <v>166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5"/>
      <c r="AJ10" s="14"/>
      <c r="AK10" s="1" t="s">
        <v>188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5"/>
      <c r="AX10" s="14"/>
      <c r="AY10" s="1"/>
      <c r="AZ10" s="1"/>
      <c r="BA10" s="1"/>
      <c r="BB10" s="2">
        <v>1800</v>
      </c>
      <c r="BC10" s="24">
        <f>_xlfn.NORM.DIST(BB10,$BH$5,$BH$6,0)</f>
        <v>1.2098536225957168E-3</v>
      </c>
      <c r="BD10" s="1"/>
      <c r="BE10" s="1"/>
      <c r="BF10" s="1"/>
      <c r="BG10" s="1"/>
      <c r="BH10" s="1"/>
      <c r="BI10" s="1"/>
      <c r="BJ10" s="1"/>
      <c r="BK10" s="15"/>
    </row>
    <row r="11" spans="1:63" x14ac:dyDescent="0.25">
      <c r="A11" s="1"/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3">
        <f>SUM(O4:O10)</f>
        <v>3.1499999999999995</v>
      </c>
      <c r="P11" s="2"/>
      <c r="Q11" s="16">
        <f>SUM(Q4:Q10)</f>
        <v>12.05</v>
      </c>
      <c r="R11" s="1"/>
      <c r="S11" s="14"/>
      <c r="T11" s="6" t="s">
        <v>167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5"/>
      <c r="AJ11" s="14"/>
      <c r="AK11" s="1" t="s">
        <v>17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5"/>
      <c r="AX11" s="14"/>
      <c r="AY11" s="1"/>
      <c r="AZ11" s="42"/>
      <c r="BA11" s="1"/>
      <c r="BB11" s="2">
        <v>2000</v>
      </c>
      <c r="BC11" s="24">
        <f>_xlfn.NORM.DIST(BB11,$BH$5,$BH$6,0)</f>
        <v>1.9947114020071634E-3</v>
      </c>
      <c r="BD11" s="1"/>
      <c r="BE11" s="1"/>
      <c r="BF11" s="1"/>
      <c r="BG11" s="1"/>
      <c r="BH11" s="1"/>
      <c r="BI11" s="1"/>
      <c r="BJ11" s="1"/>
      <c r="BK11" s="15"/>
    </row>
    <row r="12" spans="1:63" x14ac:dyDescent="0.25">
      <c r="A12" s="1"/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"/>
      <c r="S12" s="1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5"/>
      <c r="AJ12" s="14"/>
      <c r="AK12" s="1" t="s">
        <v>18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5"/>
      <c r="AX12" s="14"/>
      <c r="AY12" s="1"/>
      <c r="AZ12" s="42"/>
      <c r="BA12" s="1"/>
      <c r="BB12" s="2">
        <v>2200</v>
      </c>
      <c r="BC12" s="24">
        <f>_xlfn.NORM.DIST(BB12,$BH$5,$BH$6,0)</f>
        <v>1.2098536225957168E-3</v>
      </c>
      <c r="BD12" s="1"/>
      <c r="BE12" s="1"/>
      <c r="BF12" s="1"/>
      <c r="BG12" s="1"/>
      <c r="BH12" s="1"/>
      <c r="BI12" s="1"/>
      <c r="BJ12" s="1"/>
      <c r="BK12" s="15"/>
    </row>
    <row r="13" spans="1:63" ht="17.25" x14ac:dyDescent="0.25">
      <c r="A13" s="1"/>
      <c r="B13" s="14" t="s">
        <v>148</v>
      </c>
      <c r="C13" s="1" t="s">
        <v>149</v>
      </c>
      <c r="D13" s="1"/>
      <c r="E13" s="1"/>
      <c r="F13" s="1"/>
      <c r="G13" s="1"/>
      <c r="H13" s="1"/>
      <c r="I13" s="1"/>
      <c r="J13" s="1"/>
      <c r="K13" s="1"/>
      <c r="L13" s="1"/>
      <c r="M13" s="2" t="s">
        <v>56</v>
      </c>
      <c r="N13" s="2" t="s">
        <v>1</v>
      </c>
      <c r="O13" s="2" t="s">
        <v>2</v>
      </c>
      <c r="P13" s="43" t="s">
        <v>3</v>
      </c>
      <c r="Q13" s="16" t="s">
        <v>145</v>
      </c>
      <c r="R13" s="1"/>
      <c r="S13" s="14"/>
      <c r="T13" s="2" t="s">
        <v>4</v>
      </c>
      <c r="U13" s="2">
        <v>0.3</v>
      </c>
      <c r="V13" s="2" t="s">
        <v>0</v>
      </c>
      <c r="W13" s="2" t="s">
        <v>7</v>
      </c>
      <c r="X13" s="2" t="s">
        <v>8</v>
      </c>
      <c r="Y13" s="1"/>
      <c r="Z13" s="42" t="s">
        <v>170</v>
      </c>
      <c r="AA13" s="1"/>
      <c r="AB13" s="1"/>
      <c r="AC13" s="1"/>
      <c r="AD13" s="1"/>
      <c r="AE13" s="1"/>
      <c r="AF13" s="1"/>
      <c r="AG13" s="1"/>
      <c r="AH13" s="15"/>
      <c r="AJ13" s="14"/>
      <c r="AK13" s="1" t="s">
        <v>19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5"/>
      <c r="AX13" s="14"/>
      <c r="AY13" s="1"/>
      <c r="AZ13" s="42"/>
      <c r="BA13" s="1"/>
      <c r="BB13" s="2">
        <v>2400</v>
      </c>
      <c r="BC13" s="24">
        <f>_xlfn.NORM.DIST(BB13,$BH$5,$BH$6,0)</f>
        <v>2.6995483256594027E-4</v>
      </c>
      <c r="BD13" s="1"/>
      <c r="BE13" s="1"/>
      <c r="BF13" s="1"/>
      <c r="BG13" s="1"/>
      <c r="BH13" s="1"/>
      <c r="BI13" s="1"/>
      <c r="BJ13" s="1"/>
      <c r="BK13" s="15"/>
    </row>
    <row r="14" spans="1:63" x14ac:dyDescent="0.25">
      <c r="A14" s="1"/>
      <c r="B14" s="14"/>
      <c r="C14" s="1" t="s">
        <v>152</v>
      </c>
      <c r="D14" s="1"/>
      <c r="E14" s="1"/>
      <c r="F14" s="1"/>
      <c r="G14" s="1"/>
      <c r="H14" s="1"/>
      <c r="I14" s="1"/>
      <c r="J14" s="1"/>
      <c r="K14" s="1"/>
      <c r="L14" s="1"/>
      <c r="M14" s="2">
        <v>4</v>
      </c>
      <c r="N14" s="2">
        <v>0.01</v>
      </c>
      <c r="O14" s="2">
        <f>M14*N14</f>
        <v>0.04</v>
      </c>
      <c r="P14" s="2">
        <f>POWER(M14,2)</f>
        <v>16</v>
      </c>
      <c r="Q14" s="16">
        <f>P14*N14</f>
        <v>0.16</v>
      </c>
      <c r="R14" s="1"/>
      <c r="S14" s="14"/>
      <c r="T14" s="2" t="s">
        <v>5</v>
      </c>
      <c r="U14" s="2">
        <v>5</v>
      </c>
      <c r="V14" s="2">
        <v>0</v>
      </c>
      <c r="W14" s="2">
        <f>_xlfn.BINOM.DIST(V14,$U$14,$U$13,0)</f>
        <v>0.16806999999999997</v>
      </c>
      <c r="X14" s="2">
        <f>_xlfn.BINOM.DIST(V14,$U$14,$U$13,1)</f>
        <v>0.16806999999999997</v>
      </c>
      <c r="Y14" s="1"/>
      <c r="Z14" s="1" t="s">
        <v>171</v>
      </c>
      <c r="AA14" s="1"/>
      <c r="AB14" s="1"/>
      <c r="AC14" s="1"/>
      <c r="AD14" s="1"/>
      <c r="AE14" s="1"/>
      <c r="AF14" s="1"/>
      <c r="AG14" s="1"/>
      <c r="AH14" s="15"/>
      <c r="AJ14" s="14"/>
      <c r="AK14" s="8" t="s">
        <v>83</v>
      </c>
      <c r="AL14" s="2" t="s">
        <v>189</v>
      </c>
      <c r="AM14" s="1"/>
      <c r="AN14" s="1"/>
      <c r="AO14" s="1"/>
      <c r="AP14" s="1"/>
      <c r="AQ14" s="1"/>
      <c r="AR14" s="1"/>
      <c r="AS14" s="1"/>
      <c r="AT14" s="1"/>
      <c r="AU14" s="1"/>
      <c r="AV14" s="15"/>
      <c r="AX14" s="14"/>
      <c r="AY14" s="1"/>
      <c r="AZ14" s="1"/>
      <c r="BA14" s="1"/>
      <c r="BB14" s="2">
        <v>2600</v>
      </c>
      <c r="BC14" s="24">
        <f>_xlfn.NORM.DIST(BB14,$BH$5,$BH$6,0)</f>
        <v>2.2159242059690037E-5</v>
      </c>
      <c r="BD14" s="1"/>
      <c r="BE14" s="1"/>
      <c r="BF14" s="1"/>
      <c r="BG14" s="1"/>
      <c r="BH14" s="1"/>
      <c r="BI14" s="1"/>
      <c r="BJ14" s="1"/>
      <c r="BK14" s="15"/>
    </row>
    <row r="15" spans="1:63" x14ac:dyDescent="0.25">
      <c r="A15" s="1"/>
      <c r="B15" s="14"/>
      <c r="C15" s="1" t="s">
        <v>150</v>
      </c>
      <c r="D15" s="1"/>
      <c r="E15" s="1"/>
      <c r="F15" s="1"/>
      <c r="G15" s="1"/>
      <c r="H15" s="1"/>
      <c r="I15" s="1"/>
      <c r="J15" s="1"/>
      <c r="K15" s="1"/>
      <c r="L15" s="1"/>
      <c r="M15" s="2">
        <v>5</v>
      </c>
      <c r="N15" s="2">
        <v>0.08</v>
      </c>
      <c r="O15" s="2">
        <f t="shared" ref="O15:O19" si="2">M15*N15</f>
        <v>0.4</v>
      </c>
      <c r="P15" s="2">
        <f t="shared" ref="P15:P19" si="3">POWER(M15,2)</f>
        <v>25</v>
      </c>
      <c r="Q15" s="16">
        <f t="shared" ref="Q15:Q19" si="4">P15*N15</f>
        <v>2</v>
      </c>
      <c r="R15" s="1"/>
      <c r="S15" s="14"/>
      <c r="T15" s="2" t="s">
        <v>6</v>
      </c>
      <c r="U15" s="2">
        <v>0.7</v>
      </c>
      <c r="V15" s="2">
        <v>1</v>
      </c>
      <c r="W15" s="2">
        <f>_xlfn.BINOM.DIST(V15,$U$14,$U$13,0)</f>
        <v>0.36014999999999997</v>
      </c>
      <c r="X15" s="2">
        <f>_xlfn.BINOM.DIST(V15,$U$14,$U$13,1)</f>
        <v>0.52822000000000013</v>
      </c>
      <c r="Y15" s="1"/>
      <c r="Z15" s="1" t="s">
        <v>172</v>
      </c>
      <c r="AA15" s="1"/>
      <c r="AB15" s="1"/>
      <c r="AC15" s="1"/>
      <c r="AD15" s="1"/>
      <c r="AE15" s="1"/>
      <c r="AF15" s="1"/>
      <c r="AG15" s="1"/>
      <c r="AH15" s="15"/>
      <c r="AJ15" s="14"/>
      <c r="AK15" s="64" t="s">
        <v>10</v>
      </c>
      <c r="AL15" s="65">
        <f>0.001*3000</f>
        <v>3</v>
      </c>
      <c r="AM15" s="1"/>
      <c r="AN15" s="1"/>
      <c r="AO15" s="1"/>
      <c r="AP15" s="1"/>
      <c r="AQ15" s="1"/>
      <c r="AR15" s="1"/>
      <c r="AS15" s="1"/>
      <c r="AT15" s="1"/>
      <c r="AU15" s="1"/>
      <c r="AV15" s="15"/>
      <c r="AX15" s="14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5"/>
    </row>
    <row r="16" spans="1:63" x14ac:dyDescent="0.25">
      <c r="A16" s="1"/>
      <c r="B16" s="14"/>
      <c r="C16" s="1" t="s">
        <v>151</v>
      </c>
      <c r="D16" s="1"/>
      <c r="E16" s="1"/>
      <c r="F16" s="1"/>
      <c r="G16" s="1"/>
      <c r="H16" s="1"/>
      <c r="I16" s="1"/>
      <c r="J16" s="1"/>
      <c r="K16" s="1"/>
      <c r="L16" s="1"/>
      <c r="M16" s="2">
        <v>6</v>
      </c>
      <c r="N16" s="2">
        <v>0.28999999999999998</v>
      </c>
      <c r="O16" s="2">
        <f t="shared" si="2"/>
        <v>1.7399999999999998</v>
      </c>
      <c r="P16" s="2">
        <f t="shared" si="3"/>
        <v>36</v>
      </c>
      <c r="Q16" s="16">
        <f t="shared" si="4"/>
        <v>10.44</v>
      </c>
      <c r="R16" s="1"/>
      <c r="S16" s="14"/>
      <c r="T16" s="1"/>
      <c r="U16" s="1"/>
      <c r="V16" s="2">
        <v>2</v>
      </c>
      <c r="W16" s="2">
        <f>_xlfn.BINOM.DIST(V16,$U$14,$U$13,0)</f>
        <v>0.30869999999999997</v>
      </c>
      <c r="X16" s="2">
        <f>_xlfn.BINOM.DIST(V16,$U$14,$U$13,1)</f>
        <v>0.83692</v>
      </c>
      <c r="Y16" s="1"/>
      <c r="Z16" s="1" t="s">
        <v>173</v>
      </c>
      <c r="AA16" s="43" t="s">
        <v>174</v>
      </c>
      <c r="AB16" s="4">
        <f>U14*U13</f>
        <v>1.5</v>
      </c>
      <c r="AC16" s="1"/>
      <c r="AD16" s="1"/>
      <c r="AE16" s="1"/>
      <c r="AF16" s="1"/>
      <c r="AG16" s="1"/>
      <c r="AH16" s="15"/>
      <c r="AJ16" s="14"/>
      <c r="AK16" s="64" t="s">
        <v>20</v>
      </c>
      <c r="AL16" s="62">
        <f>_xlfn.POISSON.DIST(0,0.001,0)</f>
        <v>0.99900049983337502</v>
      </c>
      <c r="AM16" s="1"/>
      <c r="AN16" s="1"/>
      <c r="AO16" s="1"/>
      <c r="AP16" s="1"/>
      <c r="AQ16" s="1"/>
      <c r="AR16" s="1"/>
      <c r="AS16" s="1"/>
      <c r="AT16" s="1"/>
      <c r="AU16" s="1"/>
      <c r="AV16" s="15"/>
      <c r="AX16" s="14"/>
      <c r="AY16" s="1" t="s">
        <v>20</v>
      </c>
      <c r="AZ16" s="1">
        <f>(2400-2000)/200</f>
        <v>2</v>
      </c>
      <c r="BA16" s="2">
        <f>_xlfn.NORM.S.DIST(AZ16,1)</f>
        <v>0.97724986805182079</v>
      </c>
      <c r="BB16" s="2" t="s">
        <v>40</v>
      </c>
      <c r="BC16" s="2" t="s">
        <v>41</v>
      </c>
      <c r="BD16" s="1"/>
      <c r="BE16" s="1"/>
      <c r="BF16" s="1"/>
      <c r="BG16" s="1"/>
      <c r="BH16" s="1"/>
      <c r="BI16" s="1"/>
      <c r="BJ16" s="1"/>
      <c r="BK16" s="15"/>
    </row>
    <row r="17" spans="1:63" x14ac:dyDescent="0.25">
      <c r="A17" s="1"/>
      <c r="B17" s="14"/>
      <c r="C17" s="1" t="s">
        <v>143</v>
      </c>
      <c r="D17" s="1"/>
      <c r="E17" s="1"/>
      <c r="F17" s="1"/>
      <c r="G17" s="1"/>
      <c r="H17" s="1"/>
      <c r="I17" s="1"/>
      <c r="J17" s="1"/>
      <c r="K17" s="1"/>
      <c r="L17" s="1"/>
      <c r="M17" s="2">
        <v>7</v>
      </c>
      <c r="N17" s="2">
        <v>0.42</v>
      </c>
      <c r="O17" s="2">
        <f t="shared" si="2"/>
        <v>2.94</v>
      </c>
      <c r="P17" s="2">
        <f t="shared" si="3"/>
        <v>49</v>
      </c>
      <c r="Q17" s="16">
        <f t="shared" si="4"/>
        <v>20.58</v>
      </c>
      <c r="R17" s="1"/>
      <c r="S17" s="14"/>
      <c r="T17" s="1"/>
      <c r="U17" s="1"/>
      <c r="V17" s="2">
        <v>3</v>
      </c>
      <c r="W17" s="2">
        <f>_xlfn.BINOM.DIST(V17,$U$14,$U$13,0)</f>
        <v>0.13230000000000006</v>
      </c>
      <c r="X17" s="2">
        <f>_xlfn.BINOM.DIST(V17,$U$14,$U$13,1)</f>
        <v>0.96921999999999997</v>
      </c>
      <c r="Y17" s="1"/>
      <c r="Z17" s="1"/>
      <c r="AA17" s="43" t="s">
        <v>68</v>
      </c>
      <c r="AB17" s="4">
        <f>U14*U13*U15</f>
        <v>1.0499999999999998</v>
      </c>
      <c r="AC17" s="1"/>
      <c r="AD17" s="1"/>
      <c r="AE17" s="1"/>
      <c r="AF17" s="1"/>
      <c r="AG17" s="1"/>
      <c r="AH17" s="15"/>
      <c r="AJ17" s="1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5"/>
      <c r="AX17" s="14"/>
      <c r="AY17" s="1"/>
      <c r="AZ17" s="1">
        <f>(2000-2000)/2</f>
        <v>0</v>
      </c>
      <c r="BA17" s="2">
        <f>_xlfn.NORM.S.DIST(AZ17,1)</f>
        <v>0.5</v>
      </c>
      <c r="BB17" s="2">
        <f>(BB8-2000)/200</f>
        <v>-3</v>
      </c>
      <c r="BC17" s="2">
        <f>_xlfn.NORM.S.DIST(BB17,0)</f>
        <v>4.4318484119380075E-3</v>
      </c>
      <c r="BD17" s="1"/>
      <c r="BE17" s="1"/>
      <c r="BF17" s="1"/>
      <c r="BG17" s="1"/>
      <c r="BH17" s="1"/>
      <c r="BI17" s="1"/>
      <c r="BJ17" s="1"/>
      <c r="BK17" s="15"/>
    </row>
    <row r="18" spans="1:63" x14ac:dyDescent="0.25">
      <c r="A18" s="1"/>
      <c r="B18" s="14"/>
      <c r="C18" s="51" t="s">
        <v>153</v>
      </c>
      <c r="D18" s="51"/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1"/>
      <c r="L18" s="1"/>
      <c r="M18" s="2">
        <v>8</v>
      </c>
      <c r="N18" s="2">
        <v>0.14000000000000001</v>
      </c>
      <c r="O18" s="2">
        <f t="shared" si="2"/>
        <v>1.1200000000000001</v>
      </c>
      <c r="P18" s="2">
        <f t="shared" si="3"/>
        <v>64</v>
      </c>
      <c r="Q18" s="16">
        <f t="shared" si="4"/>
        <v>8.9600000000000009</v>
      </c>
      <c r="R18" s="1"/>
      <c r="S18" s="14"/>
      <c r="T18" s="1"/>
      <c r="U18" s="1"/>
      <c r="V18" s="2">
        <v>4</v>
      </c>
      <c r="W18" s="2">
        <f>_xlfn.BINOM.DIST(V18,$U$14,$U$13,0)</f>
        <v>2.8350000000000011E-2</v>
      </c>
      <c r="X18" s="2">
        <f>_xlfn.BINOM.DIST(V18,$U$14,$U$13,1)</f>
        <v>0.99757000000000007</v>
      </c>
      <c r="Y18" s="1"/>
      <c r="Z18" s="1"/>
      <c r="AA18" s="1"/>
      <c r="AB18" s="1"/>
      <c r="AC18" s="1"/>
      <c r="AD18" s="1"/>
      <c r="AE18" s="1"/>
      <c r="AF18" s="1"/>
      <c r="AG18" s="1"/>
      <c r="AH18" s="15"/>
      <c r="AJ18" s="14" t="s">
        <v>161</v>
      </c>
      <c r="AK18" s="1" t="s">
        <v>24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5"/>
      <c r="AX18" s="14"/>
      <c r="AY18" s="1"/>
      <c r="AZ18" s="1"/>
      <c r="BA18" s="4">
        <f>BA16-BA17</f>
        <v>0.47724986805182079</v>
      </c>
      <c r="BB18" s="2">
        <f>(BB9-2000)/200</f>
        <v>-2</v>
      </c>
      <c r="BC18" s="2">
        <f t="shared" ref="BC18:BC23" si="5">_xlfn.NORM.S.DIST(BB18,0)</f>
        <v>5.3990966513188063E-2</v>
      </c>
      <c r="BD18" s="1"/>
      <c r="BE18" s="1"/>
      <c r="BF18" s="1"/>
      <c r="BG18" s="1"/>
      <c r="BH18" s="1"/>
      <c r="BI18" s="1"/>
      <c r="BJ18" s="1"/>
      <c r="BK18" s="15"/>
    </row>
    <row r="19" spans="1:63" x14ac:dyDescent="0.25">
      <c r="A19" s="1"/>
      <c r="B19" s="14"/>
      <c r="C19" s="52" t="s">
        <v>1</v>
      </c>
      <c r="D19" s="53"/>
      <c r="E19" s="2">
        <v>0.01</v>
      </c>
      <c r="F19" s="2">
        <v>0.08</v>
      </c>
      <c r="G19" s="2">
        <v>0.28999999999999998</v>
      </c>
      <c r="H19" s="2">
        <v>0.42</v>
      </c>
      <c r="I19" s="2">
        <v>0.14000000000000001</v>
      </c>
      <c r="J19" s="2">
        <v>0.06</v>
      </c>
      <c r="K19" s="1"/>
      <c r="L19" s="1"/>
      <c r="M19" s="2">
        <v>9</v>
      </c>
      <c r="N19" s="2">
        <v>0.06</v>
      </c>
      <c r="O19" s="2">
        <f t="shared" si="2"/>
        <v>0.54</v>
      </c>
      <c r="P19" s="2">
        <f t="shared" si="3"/>
        <v>81</v>
      </c>
      <c r="Q19" s="16">
        <f t="shared" si="4"/>
        <v>4.8599999999999994</v>
      </c>
      <c r="R19" s="1"/>
      <c r="S19" s="14"/>
      <c r="T19" s="1"/>
      <c r="U19" s="1"/>
      <c r="V19" s="2">
        <v>5</v>
      </c>
      <c r="W19" s="2">
        <f>_xlfn.BINOM.DIST(V19,$U$14,$U$13,0)</f>
        <v>2.429999999999999E-3</v>
      </c>
      <c r="X19" s="2">
        <f>_xlfn.BINOM.DIST(V19,$U$14,$U$13,1)</f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5"/>
      <c r="AJ19" s="14"/>
      <c r="AK19" s="1" t="s">
        <v>190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5"/>
      <c r="AX19" s="14"/>
      <c r="AY19" s="1"/>
      <c r="AZ19" s="1"/>
      <c r="BA19" s="1"/>
      <c r="BB19" s="2">
        <f>(BB10-2000)/200</f>
        <v>-1</v>
      </c>
      <c r="BC19" s="2">
        <f t="shared" si="5"/>
        <v>0.24197072451914337</v>
      </c>
      <c r="BD19" s="1"/>
      <c r="BE19" s="1"/>
      <c r="BF19" s="1"/>
      <c r="BG19" s="1"/>
      <c r="BH19" s="1"/>
      <c r="BI19" s="1"/>
      <c r="BJ19" s="1"/>
      <c r="BK19" s="15"/>
    </row>
    <row r="20" spans="1:63" x14ac:dyDescent="0.25">
      <c r="A20" s="1"/>
      <c r="B20" s="14"/>
      <c r="C20" s="1" t="s">
        <v>155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>
        <f>SUM(O14:O19)</f>
        <v>6.7799999999999994</v>
      </c>
      <c r="P20" s="1"/>
      <c r="Q20" s="16">
        <f>SUM(Q14:Q19)</f>
        <v>47</v>
      </c>
      <c r="S20" s="14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5"/>
      <c r="AJ20" s="14"/>
      <c r="AK20" s="1" t="s">
        <v>191</v>
      </c>
      <c r="AL20" s="1"/>
      <c r="AM20" s="1"/>
      <c r="AN20" s="1"/>
      <c r="AO20" s="1"/>
      <c r="AP20" s="8" t="s">
        <v>83</v>
      </c>
      <c r="AQ20" s="2">
        <v>6</v>
      </c>
      <c r="AR20" s="1"/>
      <c r="AS20" s="1"/>
      <c r="AT20" s="1"/>
      <c r="AU20" s="1"/>
      <c r="AV20" s="15"/>
      <c r="AX20" s="14"/>
      <c r="AY20" s="1"/>
      <c r="AZ20" s="1"/>
      <c r="BA20" s="1"/>
      <c r="BB20" s="2">
        <f>(BB11-2000)/200</f>
        <v>0</v>
      </c>
      <c r="BC20" s="2">
        <f t="shared" si="5"/>
        <v>0.3989422804014327</v>
      </c>
      <c r="BD20" s="1"/>
      <c r="BE20" s="1"/>
      <c r="BF20" s="1"/>
      <c r="BG20" s="1"/>
      <c r="BH20" s="1"/>
      <c r="BI20" s="1"/>
      <c r="BJ20" s="1"/>
      <c r="BK20" s="15"/>
    </row>
    <row r="21" spans="1:63" x14ac:dyDescent="0.25">
      <c r="A21" s="1"/>
      <c r="B21" s="14"/>
      <c r="C21" s="1" t="s">
        <v>20</v>
      </c>
      <c r="D21" s="2" t="s">
        <v>146</v>
      </c>
      <c r="E21" s="4">
        <f>O20</f>
        <v>6.7799999999999994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S21" s="14" t="s">
        <v>148</v>
      </c>
      <c r="T21" s="1" t="s">
        <v>177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5"/>
      <c r="AJ21" s="14"/>
      <c r="AK21" s="1" t="s">
        <v>192</v>
      </c>
      <c r="AL21" s="1"/>
      <c r="AM21" s="1"/>
      <c r="AN21" s="1"/>
      <c r="AO21" s="1"/>
      <c r="AP21" s="8" t="s">
        <v>195</v>
      </c>
      <c r="AQ21" s="2">
        <f>6*10/60</f>
        <v>1</v>
      </c>
      <c r="AR21" s="1"/>
      <c r="AS21" s="1"/>
      <c r="AT21" s="1"/>
      <c r="AU21" s="1"/>
      <c r="AV21" s="15"/>
      <c r="AX21" s="14"/>
      <c r="AY21" s="1"/>
      <c r="AZ21" s="1"/>
      <c r="BA21" s="1"/>
      <c r="BB21" s="2">
        <f>(BB12-2000)/200</f>
        <v>1</v>
      </c>
      <c r="BC21" s="2">
        <f t="shared" si="5"/>
        <v>0.24197072451914337</v>
      </c>
      <c r="BD21" s="1"/>
      <c r="BE21" s="1"/>
      <c r="BF21" s="1"/>
      <c r="BG21" s="1"/>
      <c r="BH21" s="1"/>
      <c r="BI21" s="1"/>
      <c r="BJ21" s="1"/>
      <c r="BK21" s="15"/>
    </row>
    <row r="22" spans="1:63" x14ac:dyDescent="0.25">
      <c r="A22" s="1"/>
      <c r="B22" s="14"/>
      <c r="C22" s="1"/>
      <c r="D22" s="2" t="s">
        <v>147</v>
      </c>
      <c r="E22" s="4">
        <f>Q20-O20</f>
        <v>40.22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S22" s="14"/>
      <c r="T22" s="1" t="s">
        <v>178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5"/>
      <c r="AJ22" s="14"/>
      <c r="AK22" s="1" t="s">
        <v>193</v>
      </c>
      <c r="AL22" s="1"/>
      <c r="AM22" s="1"/>
      <c r="AN22" s="1"/>
      <c r="AO22" s="1"/>
      <c r="AP22" s="8" t="s">
        <v>194</v>
      </c>
      <c r="AQ22" s="2">
        <f>6*5/60</f>
        <v>0.5</v>
      </c>
      <c r="AR22" s="1"/>
      <c r="AS22" s="1"/>
      <c r="AT22" s="1"/>
      <c r="AU22" s="1"/>
      <c r="AV22" s="15"/>
      <c r="AX22" s="14"/>
      <c r="AY22" s="1"/>
      <c r="AZ22" s="1"/>
      <c r="BA22" s="1"/>
      <c r="BB22" s="2">
        <f>(BB13-2000)/200</f>
        <v>2</v>
      </c>
      <c r="BC22" s="2">
        <f t="shared" si="5"/>
        <v>5.3990966513188063E-2</v>
      </c>
      <c r="BD22" s="1"/>
      <c r="BE22" s="1"/>
      <c r="BF22" s="1"/>
      <c r="BG22" s="1"/>
      <c r="BH22" s="1"/>
      <c r="BI22" s="1"/>
      <c r="BJ22" s="1"/>
      <c r="BK22" s="15"/>
    </row>
    <row r="23" spans="1:63" x14ac:dyDescent="0.25">
      <c r="A23" s="1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S23" s="14"/>
      <c r="T23" s="1" t="s">
        <v>179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5"/>
      <c r="AJ23" s="1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5"/>
      <c r="AX23" s="14"/>
      <c r="AY23" s="1"/>
      <c r="AZ23" s="1"/>
      <c r="BA23" s="1"/>
      <c r="BB23" s="2">
        <f>(BB14-2000)/200</f>
        <v>3</v>
      </c>
      <c r="BC23" s="2">
        <f t="shared" si="5"/>
        <v>4.4318484119380075E-3</v>
      </c>
      <c r="BD23" s="1"/>
      <c r="BE23" s="1"/>
      <c r="BF23" s="1"/>
      <c r="BG23" s="1"/>
      <c r="BH23" s="1"/>
      <c r="BI23" s="1"/>
      <c r="BJ23" s="1"/>
      <c r="BK23" s="15"/>
    </row>
    <row r="24" spans="1:63" x14ac:dyDescent="0.25">
      <c r="A24" s="1"/>
      <c r="B24" s="14" t="s">
        <v>156</v>
      </c>
      <c r="C24" s="1" t="s">
        <v>157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S24" s="14"/>
      <c r="T24" s="1" t="s">
        <v>175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5"/>
      <c r="AJ24" s="14"/>
      <c r="AK24" s="1" t="s">
        <v>21</v>
      </c>
      <c r="AL24" s="1">
        <f>_xlfn.POISSON.DIST(6,6,0)</f>
        <v>0.16062314104798003</v>
      </c>
      <c r="AM24" s="1"/>
      <c r="AN24" s="1" t="s">
        <v>22</v>
      </c>
      <c r="AO24" s="1">
        <f>_xlfn.POISSON.DIST(0,1,0)</f>
        <v>0.36787944117144233</v>
      </c>
      <c r="AP24" s="1"/>
      <c r="AQ24" s="1"/>
      <c r="AR24" s="1"/>
      <c r="AS24" s="1"/>
      <c r="AT24" s="1"/>
      <c r="AU24" s="1"/>
      <c r="AV24" s="15"/>
      <c r="AX24" s="14"/>
      <c r="AY24" s="1"/>
      <c r="AZ24" s="1"/>
      <c r="BA24" s="1"/>
      <c r="BB24" s="2" t="s">
        <v>38</v>
      </c>
      <c r="BC24" s="2" t="s">
        <v>39</v>
      </c>
      <c r="BD24" s="1"/>
      <c r="BE24" s="1"/>
      <c r="BF24" s="1"/>
      <c r="BG24" s="1"/>
      <c r="BH24" s="1"/>
      <c r="BI24" s="1"/>
      <c r="BJ24" s="1"/>
      <c r="BK24" s="15"/>
    </row>
    <row r="25" spans="1:63" x14ac:dyDescent="0.25">
      <c r="A25" s="1"/>
      <c r="B25" s="14"/>
      <c r="C25" s="1" t="s">
        <v>158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S25" s="14"/>
      <c r="T25" s="1" t="s">
        <v>176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5"/>
      <c r="AJ25" s="14"/>
      <c r="AK25" s="1" t="s">
        <v>20</v>
      </c>
      <c r="AL25" s="1">
        <f>_xlfn.POISSON.DIST(4,6,1)</f>
        <v>0.28505650031663121</v>
      </c>
      <c r="AM25" s="1"/>
      <c r="AN25" s="1" t="s">
        <v>23</v>
      </c>
      <c r="AO25" s="1">
        <f>_xlfn.POISSON.DIST(0,0.5,0)</f>
        <v>0.60653065971263342</v>
      </c>
      <c r="AP25" s="1"/>
      <c r="AQ25" s="1"/>
      <c r="AR25" s="1"/>
      <c r="AS25" s="1"/>
      <c r="AT25" s="1"/>
      <c r="AU25" s="1"/>
      <c r="AV25" s="15"/>
      <c r="AX25" s="14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5"/>
    </row>
    <row r="26" spans="1:63" x14ac:dyDescent="0.25">
      <c r="A26" s="1"/>
      <c r="B26" s="14"/>
      <c r="C26" s="51" t="s">
        <v>159</v>
      </c>
      <c r="D26" s="51"/>
      <c r="E26" s="2">
        <v>2</v>
      </c>
      <c r="F26" s="2">
        <v>3</v>
      </c>
      <c r="G26" s="2">
        <v>4</v>
      </c>
      <c r="H26" s="2">
        <v>5</v>
      </c>
      <c r="I26" s="2">
        <v>6</v>
      </c>
      <c r="J26" s="2">
        <v>7</v>
      </c>
      <c r="K26" s="2">
        <v>8</v>
      </c>
      <c r="L26" s="2">
        <v>9</v>
      </c>
      <c r="M26" s="2">
        <v>10</v>
      </c>
      <c r="N26" s="2">
        <v>11</v>
      </c>
      <c r="O26" s="2">
        <v>12</v>
      </c>
      <c r="P26" s="1"/>
      <c r="Q26" s="15"/>
      <c r="R26" s="1"/>
      <c r="S26" s="14"/>
      <c r="T26" s="2" t="s">
        <v>4</v>
      </c>
      <c r="U26" s="2">
        <v>0.7</v>
      </c>
      <c r="V26" s="1"/>
      <c r="W26" s="5" t="s">
        <v>10</v>
      </c>
      <c r="X26" s="1" t="s">
        <v>180</v>
      </c>
      <c r="Y26" s="1"/>
      <c r="Z26" s="1"/>
      <c r="AA26" s="1"/>
      <c r="AB26" s="1"/>
      <c r="AC26" s="1"/>
      <c r="AD26" s="1"/>
      <c r="AE26" s="1"/>
      <c r="AF26" s="1"/>
      <c r="AG26" s="1"/>
      <c r="AH26" s="15"/>
      <c r="AJ26" s="1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5"/>
      <c r="AX26" s="14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5"/>
    </row>
    <row r="27" spans="1:63" x14ac:dyDescent="0.25">
      <c r="A27" s="1"/>
      <c r="B27" s="14"/>
      <c r="C27" s="51" t="s">
        <v>1</v>
      </c>
      <c r="D27" s="51"/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5</v>
      </c>
      <c r="L27" s="2">
        <v>4</v>
      </c>
      <c r="M27" s="2">
        <v>3</v>
      </c>
      <c r="N27" s="2">
        <v>2</v>
      </c>
      <c r="O27" s="2">
        <v>1</v>
      </c>
      <c r="P27" s="1"/>
      <c r="Q27" s="15"/>
      <c r="S27" s="14"/>
      <c r="T27" s="2" t="s">
        <v>5</v>
      </c>
      <c r="U27" s="2">
        <v>10</v>
      </c>
      <c r="V27" s="1"/>
      <c r="W27" s="1"/>
      <c r="X27" s="2">
        <f>_xlfn.BINOM.DIST(10,U27,U26,0)</f>
        <v>2.824752489999998E-2</v>
      </c>
      <c r="Y27" s="1"/>
      <c r="Z27" s="1"/>
      <c r="AA27" s="1"/>
      <c r="AB27" s="1"/>
      <c r="AC27" s="1"/>
      <c r="AD27" s="1"/>
      <c r="AE27" s="1"/>
      <c r="AF27" s="1"/>
      <c r="AG27" s="1"/>
      <c r="AH27" s="15"/>
      <c r="AJ27" s="14" t="s">
        <v>148</v>
      </c>
      <c r="AK27" s="1" t="s">
        <v>25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5"/>
      <c r="AX27" s="14" t="s">
        <v>206</v>
      </c>
      <c r="AY27" s="1" t="s">
        <v>207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5"/>
    </row>
    <row r="28" spans="1:63" x14ac:dyDescent="0.25">
      <c r="A28" s="1"/>
      <c r="B28" s="1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"/>
      <c r="S28" s="14"/>
      <c r="T28" s="2" t="s">
        <v>6</v>
      </c>
      <c r="U28" s="2">
        <v>0.3</v>
      </c>
      <c r="V28" s="1"/>
      <c r="W28" s="5" t="s">
        <v>11</v>
      </c>
      <c r="X28" s="1" t="s">
        <v>181</v>
      </c>
      <c r="Y28" s="1"/>
      <c r="Z28" s="1"/>
      <c r="AA28" s="1"/>
      <c r="AB28" s="1"/>
      <c r="AC28" s="1"/>
      <c r="AD28" s="1"/>
      <c r="AE28" s="1"/>
      <c r="AF28" s="1"/>
      <c r="AG28" s="1"/>
      <c r="AH28" s="15"/>
      <c r="AJ28" s="14"/>
      <c r="AK28" s="1" t="s">
        <v>26</v>
      </c>
      <c r="AL28" s="1"/>
      <c r="AM28" s="1"/>
      <c r="AN28" s="1"/>
      <c r="AO28" s="1"/>
      <c r="AP28" s="8" t="s">
        <v>83</v>
      </c>
      <c r="AQ28" s="2">
        <v>50</v>
      </c>
      <c r="AR28" s="1"/>
      <c r="AS28" s="1" t="s">
        <v>196</v>
      </c>
      <c r="AT28" s="1"/>
      <c r="AU28" s="1"/>
      <c r="AV28" s="15"/>
      <c r="AX28" s="14"/>
      <c r="AY28" s="1" t="s">
        <v>34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5"/>
    </row>
    <row r="29" spans="1:63" ht="17.25" x14ac:dyDescent="0.25">
      <c r="A29" s="1"/>
      <c r="B29" s="14"/>
      <c r="C29" s="2" t="s">
        <v>146</v>
      </c>
      <c r="D29" s="55">
        <f>M41</f>
        <v>6.9999999999999991</v>
      </c>
      <c r="E29" s="1"/>
      <c r="F29" s="1"/>
      <c r="G29" s="1"/>
      <c r="H29" s="1"/>
      <c r="I29" s="1"/>
      <c r="J29" s="7" t="s">
        <v>56</v>
      </c>
      <c r="K29" s="2" t="s">
        <v>160</v>
      </c>
      <c r="L29" s="2" t="s">
        <v>1</v>
      </c>
      <c r="M29" s="2" t="s">
        <v>2</v>
      </c>
      <c r="N29" s="43" t="s">
        <v>3</v>
      </c>
      <c r="O29" s="2" t="s">
        <v>145</v>
      </c>
      <c r="P29" s="1"/>
      <c r="Q29" s="15"/>
      <c r="S29" s="14"/>
      <c r="T29" s="1"/>
      <c r="U29" s="1"/>
      <c r="V29" s="1"/>
      <c r="W29" s="1"/>
      <c r="X29" s="2">
        <f>_xlfn.BINOM.DIST(7,U27,U26,1)</f>
        <v>0.61721721360000026</v>
      </c>
      <c r="Y29" s="63">
        <f>1-X29</f>
        <v>0.38278278639999974</v>
      </c>
      <c r="Z29" s="1"/>
      <c r="AA29" s="1"/>
      <c r="AB29" s="1"/>
      <c r="AC29" s="1"/>
      <c r="AD29" s="1"/>
      <c r="AE29" s="1"/>
      <c r="AF29" s="1"/>
      <c r="AG29" s="1"/>
      <c r="AH29" s="15"/>
      <c r="AJ29" s="14"/>
      <c r="AK29" s="1" t="s">
        <v>27</v>
      </c>
      <c r="AL29" s="1"/>
      <c r="AM29" s="1"/>
      <c r="AN29" s="1"/>
      <c r="AO29" s="1"/>
      <c r="AP29" s="8" t="s">
        <v>195</v>
      </c>
      <c r="AQ29" s="2">
        <v>3</v>
      </c>
      <c r="AR29" s="1"/>
      <c r="AS29" s="1"/>
      <c r="AT29" s="1"/>
      <c r="AU29" s="1"/>
      <c r="AV29" s="15"/>
      <c r="AX29" s="14"/>
      <c r="AY29" s="1" t="s">
        <v>208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5"/>
    </row>
    <row r="30" spans="1:63" ht="15.75" customHeight="1" x14ac:dyDescent="0.25">
      <c r="A30" s="1"/>
      <c r="B30" s="14"/>
      <c r="C30" s="2" t="s">
        <v>147</v>
      </c>
      <c r="D30" s="9">
        <f>O41-M41</f>
        <v>47.833333333333321</v>
      </c>
      <c r="E30" s="1"/>
      <c r="F30" s="1"/>
      <c r="G30" s="1"/>
      <c r="H30" s="1"/>
      <c r="I30" s="1"/>
      <c r="J30" s="7">
        <v>2</v>
      </c>
      <c r="K30" s="2">
        <v>1</v>
      </c>
      <c r="L30" s="10">
        <f>K30/$K$41</f>
        <v>2.7777777777777776E-2</v>
      </c>
      <c r="M30" s="10">
        <f>J30*L30</f>
        <v>5.5555555555555552E-2</v>
      </c>
      <c r="N30" s="2">
        <f>POWER(J30,2)</f>
        <v>4</v>
      </c>
      <c r="O30" s="10">
        <f>N30*L30</f>
        <v>0.1111111111111111</v>
      </c>
      <c r="P30" s="1"/>
      <c r="Q30" s="15"/>
      <c r="R30" s="1"/>
      <c r="S30" s="14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5"/>
      <c r="AJ30" s="14"/>
      <c r="AK30" s="1" t="s">
        <v>28</v>
      </c>
      <c r="AL30" s="1"/>
      <c r="AM30" s="1"/>
      <c r="AN30" s="1"/>
      <c r="AO30" s="1"/>
      <c r="AP30" s="8" t="s">
        <v>194</v>
      </c>
      <c r="AQ30" s="2">
        <v>5</v>
      </c>
      <c r="AR30" s="1"/>
      <c r="AS30" s="1"/>
      <c r="AT30" s="1"/>
      <c r="AU30" s="1"/>
      <c r="AV30" s="15"/>
      <c r="AX30" s="14"/>
      <c r="AY30" s="1" t="s">
        <v>209</v>
      </c>
      <c r="AZ30" s="1"/>
      <c r="BA30" s="1"/>
      <c r="BB30" s="1"/>
      <c r="BC30" s="1"/>
      <c r="BD30" s="1"/>
      <c r="BE30" s="2" t="s">
        <v>0</v>
      </c>
      <c r="BF30" s="2" t="s">
        <v>35</v>
      </c>
      <c r="BG30" s="1"/>
      <c r="BH30" s="1"/>
      <c r="BI30" s="1"/>
      <c r="BJ30" s="1"/>
      <c r="BK30" s="15"/>
    </row>
    <row r="31" spans="1:63" x14ac:dyDescent="0.25">
      <c r="A31" s="1"/>
      <c r="B31" s="14"/>
      <c r="C31" s="2" t="s">
        <v>33</v>
      </c>
      <c r="D31" s="4">
        <f>SQRT(D30)</f>
        <v>6.9161646404154755</v>
      </c>
      <c r="E31" s="1"/>
      <c r="F31" s="1"/>
      <c r="G31" s="1"/>
      <c r="H31" s="1"/>
      <c r="I31" s="1"/>
      <c r="J31" s="7">
        <v>3</v>
      </c>
      <c r="K31" s="2">
        <v>2</v>
      </c>
      <c r="L31" s="10">
        <f>K31/$K$41</f>
        <v>5.5555555555555552E-2</v>
      </c>
      <c r="M31" s="10">
        <f t="shared" ref="M31:M39" si="6">J31*L31</f>
        <v>0.16666666666666666</v>
      </c>
      <c r="N31" s="2">
        <f>POWER(J31,2)</f>
        <v>9</v>
      </c>
      <c r="O31" s="10">
        <f t="shared" ref="O31:O40" si="7">N31*L31</f>
        <v>0.5</v>
      </c>
      <c r="P31" s="1"/>
      <c r="Q31" s="15"/>
      <c r="R31" s="1"/>
      <c r="S31" s="14" t="s">
        <v>156</v>
      </c>
      <c r="T31" s="1" t="s">
        <v>182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5"/>
      <c r="AJ31" s="14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5"/>
      <c r="AX31" s="14"/>
      <c r="AY31" s="1"/>
      <c r="AZ31" s="1"/>
      <c r="BA31" s="1"/>
      <c r="BB31" s="1"/>
      <c r="BC31" s="1"/>
      <c r="BD31" s="1"/>
      <c r="BE31" s="2">
        <v>29000</v>
      </c>
      <c r="BF31" s="2">
        <f>_xlfn.NORM.DIST(BE31,38000,3000,0)</f>
        <v>1.4772828039793357E-6</v>
      </c>
      <c r="BG31" s="1"/>
      <c r="BH31" s="1"/>
      <c r="BI31" s="1"/>
      <c r="BJ31" s="1"/>
      <c r="BK31" s="15"/>
    </row>
    <row r="32" spans="1:63" ht="19.5" customHeight="1" x14ac:dyDescent="0.25">
      <c r="A32" s="1"/>
      <c r="B32" s="14"/>
      <c r="C32" s="1"/>
      <c r="D32" s="1"/>
      <c r="E32" s="1"/>
      <c r="F32" s="1"/>
      <c r="G32" s="1"/>
      <c r="H32" s="1"/>
      <c r="I32" s="1"/>
      <c r="J32" s="7">
        <v>4</v>
      </c>
      <c r="K32" s="2">
        <v>3</v>
      </c>
      <c r="L32" s="10">
        <f>K32/$K$41</f>
        <v>8.3333333333333329E-2</v>
      </c>
      <c r="M32" s="10">
        <f t="shared" si="6"/>
        <v>0.33333333333333331</v>
      </c>
      <c r="N32" s="2">
        <f>POWER(J32,2)</f>
        <v>16</v>
      </c>
      <c r="O32" s="10">
        <f t="shared" si="7"/>
        <v>1.3333333333333333</v>
      </c>
      <c r="P32" s="1"/>
      <c r="Q32" s="15"/>
      <c r="R32" s="1"/>
      <c r="S32" s="14"/>
      <c r="T32" s="1" t="s">
        <v>14</v>
      </c>
      <c r="U32" s="1"/>
      <c r="V32" s="1"/>
      <c r="W32" s="1"/>
      <c r="X32" s="1"/>
      <c r="Y32" s="1"/>
      <c r="Z32" s="2" t="s">
        <v>0</v>
      </c>
      <c r="AA32" s="3" t="s">
        <v>1</v>
      </c>
      <c r="AB32" s="2" t="s">
        <v>13</v>
      </c>
      <c r="AC32" s="1"/>
      <c r="AD32" s="1"/>
      <c r="AE32" s="1"/>
      <c r="AF32" s="1"/>
      <c r="AG32" s="1"/>
      <c r="AH32" s="15"/>
      <c r="AJ32" s="14"/>
      <c r="AK32" s="42" t="s">
        <v>21</v>
      </c>
      <c r="AL32" s="2">
        <v>50</v>
      </c>
      <c r="AM32" s="2">
        <v>500</v>
      </c>
      <c r="AN32" s="1"/>
      <c r="AO32" s="1"/>
      <c r="AP32" s="1" t="s">
        <v>22</v>
      </c>
      <c r="AQ32" s="2" t="s">
        <v>1</v>
      </c>
      <c r="AR32" s="70">
        <f>_xlfn.POISSON.DIST(0,50,0)</f>
        <v>1.9287498479639178E-22</v>
      </c>
      <c r="AS32" s="1"/>
      <c r="AT32" s="1"/>
      <c r="AU32" s="1"/>
      <c r="AV32" s="15"/>
      <c r="AX32" s="14"/>
      <c r="AY32" s="42" t="s">
        <v>21</v>
      </c>
      <c r="AZ32" s="2">
        <f>_xlfn.NORM.DIST(35000,38000,3000,1)</f>
        <v>0.15865525393145699</v>
      </c>
      <c r="BA32" s="1"/>
      <c r="BB32" s="1" t="s">
        <v>20</v>
      </c>
      <c r="BC32" s="2">
        <f>_xlfn.NORM.DIST(45000,38000,3000,1)</f>
        <v>0.99018467137135469</v>
      </c>
      <c r="BD32" s="1"/>
      <c r="BE32" s="2">
        <v>32000</v>
      </c>
      <c r="BF32" s="2">
        <f t="shared" ref="BF32:BF37" si="8">_xlfn.NORM.DIST(BE32,38000,3000,0)</f>
        <v>1.7996988837729352E-5</v>
      </c>
      <c r="BG32" s="1"/>
      <c r="BH32" s="1"/>
      <c r="BI32" s="1"/>
      <c r="BJ32" s="1"/>
      <c r="BK32" s="15"/>
    </row>
    <row r="33" spans="1:63" x14ac:dyDescent="0.25">
      <c r="A33" s="1"/>
      <c r="B33" s="14"/>
      <c r="C33" s="1"/>
      <c r="D33" s="1"/>
      <c r="E33" s="1"/>
      <c r="F33" s="1"/>
      <c r="G33" s="1"/>
      <c r="H33" s="1"/>
      <c r="I33" s="1"/>
      <c r="J33" s="7">
        <v>5</v>
      </c>
      <c r="K33" s="2">
        <v>4</v>
      </c>
      <c r="L33" s="10">
        <f>K33/$K$41</f>
        <v>0.1111111111111111</v>
      </c>
      <c r="M33" s="10">
        <f t="shared" si="6"/>
        <v>0.55555555555555558</v>
      </c>
      <c r="N33" s="2">
        <f>POWER(J33,2)</f>
        <v>25</v>
      </c>
      <c r="O33" s="10">
        <f t="shared" si="7"/>
        <v>2.7777777777777777</v>
      </c>
      <c r="P33" s="1"/>
      <c r="Q33" s="15"/>
      <c r="R33" s="1"/>
      <c r="S33" s="14"/>
      <c r="T33" s="1" t="s">
        <v>183</v>
      </c>
      <c r="U33" s="1"/>
      <c r="V33" s="1"/>
      <c r="W33" s="1"/>
      <c r="X33" s="1"/>
      <c r="Y33" s="1"/>
      <c r="Z33" s="2">
        <v>0</v>
      </c>
      <c r="AA33" s="2">
        <f>_xlfn.BINOM.DIST(Z33,$U$35,$U$34,0)</f>
        <v>2.5599999999999975E-6</v>
      </c>
      <c r="AB33" s="2">
        <f>_xlfn.BINOM.DIST(Z33,$U$35,$U$34,1)</f>
        <v>2.5599999999999975E-6</v>
      </c>
      <c r="AC33" s="1"/>
      <c r="AD33" s="1"/>
      <c r="AE33" s="1"/>
      <c r="AF33" s="1"/>
      <c r="AG33" s="1"/>
      <c r="AH33" s="15"/>
      <c r="AJ33" s="14"/>
      <c r="AK33" s="1"/>
      <c r="AL33" s="2">
        <f>AL32*AM33/AM32</f>
        <v>3</v>
      </c>
      <c r="AM33" s="2">
        <v>30</v>
      </c>
      <c r="AN33" s="1"/>
      <c r="AO33" s="1"/>
      <c r="AP33" s="1"/>
      <c r="AQ33" s="1"/>
      <c r="AR33" s="1"/>
      <c r="AS33" s="1"/>
      <c r="AT33" s="1"/>
      <c r="AU33" s="1"/>
      <c r="AV33" s="15"/>
      <c r="AX33" s="14"/>
      <c r="AY33" s="1"/>
      <c r="AZ33" s="4">
        <f>1-AZ32</f>
        <v>0.84134474606854304</v>
      </c>
      <c r="BA33" s="1"/>
      <c r="BB33" s="1"/>
      <c r="BC33" s="4">
        <f>1-BC32</f>
        <v>9.8153286286453145E-3</v>
      </c>
      <c r="BD33" s="1"/>
      <c r="BE33" s="2">
        <v>35000</v>
      </c>
      <c r="BF33" s="2">
        <f t="shared" si="8"/>
        <v>8.0656908173047786E-5</v>
      </c>
      <c r="BG33" s="1"/>
      <c r="BH33" s="1"/>
      <c r="BI33" s="1"/>
      <c r="BJ33" s="1"/>
      <c r="BK33" s="15"/>
    </row>
    <row r="34" spans="1:63" x14ac:dyDescent="0.25">
      <c r="A34" s="1"/>
      <c r="B34" s="14"/>
      <c r="C34" s="1"/>
      <c r="D34" s="1"/>
      <c r="E34" s="1"/>
      <c r="F34" s="1"/>
      <c r="G34" s="1"/>
      <c r="H34" s="1"/>
      <c r="I34" s="1"/>
      <c r="J34" s="7">
        <v>6</v>
      </c>
      <c r="K34" s="2">
        <v>5</v>
      </c>
      <c r="L34" s="10">
        <f>K34/$K$41</f>
        <v>0.1388888888888889</v>
      </c>
      <c r="M34" s="10">
        <f t="shared" si="6"/>
        <v>0.83333333333333337</v>
      </c>
      <c r="N34" s="2">
        <f>POWER(J34,2)</f>
        <v>36</v>
      </c>
      <c r="O34" s="10">
        <f t="shared" si="7"/>
        <v>5</v>
      </c>
      <c r="P34" s="1"/>
      <c r="Q34" s="15"/>
      <c r="R34" s="1"/>
      <c r="S34" s="14"/>
      <c r="T34" s="2" t="s">
        <v>4</v>
      </c>
      <c r="U34" s="2">
        <v>0.8</v>
      </c>
      <c r="V34" s="1"/>
      <c r="W34" s="1"/>
      <c r="X34" s="1"/>
      <c r="Y34" s="1"/>
      <c r="Z34" s="2">
        <v>1</v>
      </c>
      <c r="AA34" s="2">
        <f>_xlfn.BINOM.DIST(Z34,$U$35,$U$34,0)</f>
        <v>8.1920000000000042E-5</v>
      </c>
      <c r="AB34" s="2">
        <f>_xlfn.BINOM.DIST(Z34,$U$35,$U$34,1)</f>
        <v>8.4480000000000031E-5</v>
      </c>
      <c r="AC34" s="1"/>
      <c r="AD34" s="1"/>
      <c r="AE34" s="1"/>
      <c r="AF34" s="1"/>
      <c r="AG34" s="1"/>
      <c r="AH34" s="15"/>
      <c r="AJ34" s="14"/>
      <c r="AK34" s="1"/>
      <c r="AL34" s="2" t="s">
        <v>12</v>
      </c>
      <c r="AM34" s="9">
        <f>1-AN34</f>
        <v>0.80085172652854419</v>
      </c>
      <c r="AN34" s="1">
        <f>_xlfn.POISSON.DIST(1,3,1)</f>
        <v>0.19914827347145578</v>
      </c>
      <c r="AO34" s="1"/>
      <c r="AP34" s="1"/>
      <c r="AQ34" s="1"/>
      <c r="AR34" s="1"/>
      <c r="AS34" s="1"/>
      <c r="AT34" s="1"/>
      <c r="AU34" s="1"/>
      <c r="AV34" s="15"/>
      <c r="AX34" s="14"/>
      <c r="AY34" s="1"/>
      <c r="AZ34" s="1"/>
      <c r="BA34" s="1"/>
      <c r="BB34" s="1"/>
      <c r="BC34" s="1"/>
      <c r="BD34" s="1"/>
      <c r="BE34" s="2">
        <v>38000</v>
      </c>
      <c r="BF34" s="2">
        <f t="shared" si="8"/>
        <v>1.3298076013381089E-4</v>
      </c>
      <c r="BG34" s="1"/>
      <c r="BH34" s="1"/>
      <c r="BI34" s="1"/>
      <c r="BJ34" s="1"/>
      <c r="BK34" s="15"/>
    </row>
    <row r="35" spans="1:63" ht="17.25" customHeight="1" x14ac:dyDescent="0.25">
      <c r="A35" s="1"/>
      <c r="B35" s="14"/>
      <c r="C35" s="1"/>
      <c r="D35" s="1"/>
      <c r="E35" s="1"/>
      <c r="F35" s="1"/>
      <c r="G35" s="1"/>
      <c r="H35" s="1"/>
      <c r="I35" s="1"/>
      <c r="J35" s="7">
        <v>7</v>
      </c>
      <c r="K35" s="2">
        <v>6</v>
      </c>
      <c r="L35" s="10">
        <f>K35/$K$41</f>
        <v>0.16666666666666666</v>
      </c>
      <c r="M35" s="10">
        <f t="shared" si="6"/>
        <v>1.1666666666666665</v>
      </c>
      <c r="N35" s="2">
        <f>POWER(J35,2)</f>
        <v>49</v>
      </c>
      <c r="O35" s="10">
        <f t="shared" si="7"/>
        <v>8.1666666666666661</v>
      </c>
      <c r="P35" s="1"/>
      <c r="Q35" s="15"/>
      <c r="R35" s="1"/>
      <c r="S35" s="14"/>
      <c r="T35" s="2" t="s">
        <v>5</v>
      </c>
      <c r="U35" s="2">
        <v>8</v>
      </c>
      <c r="V35" s="1"/>
      <c r="W35" s="1"/>
      <c r="X35" s="1"/>
      <c r="Y35" s="1"/>
      <c r="Z35" s="2">
        <v>2</v>
      </c>
      <c r="AA35" s="2">
        <f>_xlfn.BINOM.DIST(Z35,$U$35,$U$34,0)</f>
        <v>1.1468799999999986E-3</v>
      </c>
      <c r="AB35" s="2">
        <f>_xlfn.BINOM.DIST(Z35,$U$35,$U$34,1)</f>
        <v>1.2313600000000021E-3</v>
      </c>
      <c r="AC35" s="1"/>
      <c r="AD35" s="1"/>
      <c r="AE35" s="1"/>
      <c r="AF35" s="1"/>
      <c r="AG35" s="1"/>
      <c r="AH35" s="15"/>
      <c r="AJ35" s="14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5"/>
      <c r="AX35" s="14"/>
      <c r="AY35" s="1"/>
      <c r="AZ35" s="1"/>
      <c r="BA35" s="1"/>
      <c r="BB35" s="1"/>
      <c r="BC35" s="1"/>
      <c r="BD35" s="1"/>
      <c r="BE35" s="2">
        <v>41000</v>
      </c>
      <c r="BF35" s="2">
        <f t="shared" si="8"/>
        <v>8.0656908173047786E-5</v>
      </c>
      <c r="BG35" s="1"/>
      <c r="BH35" s="1"/>
      <c r="BI35" s="1"/>
      <c r="BJ35" s="1"/>
      <c r="BK35" s="15"/>
    </row>
    <row r="36" spans="1:63" x14ac:dyDescent="0.25">
      <c r="A36" s="1"/>
      <c r="B36" s="14"/>
      <c r="C36" s="1"/>
      <c r="D36" s="1"/>
      <c r="E36" s="1"/>
      <c r="F36" s="1"/>
      <c r="G36" s="1"/>
      <c r="H36" s="1"/>
      <c r="I36" s="1"/>
      <c r="J36" s="7">
        <v>8</v>
      </c>
      <c r="K36" s="43">
        <v>5</v>
      </c>
      <c r="L36" s="10">
        <f>K36/$K$41</f>
        <v>0.1388888888888889</v>
      </c>
      <c r="M36" s="10">
        <f t="shared" si="6"/>
        <v>1.1111111111111112</v>
      </c>
      <c r="N36" s="2">
        <f>POWER(J36,2)</f>
        <v>64</v>
      </c>
      <c r="O36" s="10">
        <f t="shared" si="7"/>
        <v>8.8888888888888893</v>
      </c>
      <c r="P36" s="1"/>
      <c r="Q36" s="15"/>
      <c r="R36" s="1"/>
      <c r="S36" s="14"/>
      <c r="T36" s="2" t="s">
        <v>6</v>
      </c>
      <c r="U36" s="2">
        <v>0.2</v>
      </c>
      <c r="V36" s="1"/>
      <c r="W36" s="1"/>
      <c r="X36" s="1"/>
      <c r="Y36" s="1"/>
      <c r="Z36" s="2">
        <v>3</v>
      </c>
      <c r="AA36" s="2">
        <f>_xlfn.BINOM.DIST(Z36,$U$35,$U$34,0)</f>
        <v>9.1750399999999937E-3</v>
      </c>
      <c r="AB36" s="2">
        <f>_xlfn.BINOM.DIST(Z36,$U$35,$U$34,1)</f>
        <v>1.0406399999999994E-2</v>
      </c>
      <c r="AC36" s="1"/>
      <c r="AD36" s="1"/>
      <c r="AE36" s="1"/>
      <c r="AF36" s="1"/>
      <c r="AG36" s="1"/>
      <c r="AH36" s="15"/>
      <c r="AJ36" s="14"/>
      <c r="AK36" s="1" t="s">
        <v>20</v>
      </c>
      <c r="AL36" s="2">
        <v>50</v>
      </c>
      <c r="AM36" s="2">
        <v>500</v>
      </c>
      <c r="AN36" s="1"/>
      <c r="AO36" s="1"/>
      <c r="AP36" s="1"/>
      <c r="AQ36" s="1"/>
      <c r="AR36" s="1"/>
      <c r="AS36" s="1"/>
      <c r="AT36" s="1"/>
      <c r="AU36" s="1"/>
      <c r="AV36" s="15"/>
      <c r="AX36" s="14"/>
      <c r="AY36" s="1"/>
      <c r="AZ36" s="1"/>
      <c r="BA36" s="1"/>
      <c r="BB36" s="1"/>
      <c r="BC36" s="1"/>
      <c r="BD36" s="1"/>
      <c r="BE36" s="2">
        <v>44000</v>
      </c>
      <c r="BF36" s="2">
        <f t="shared" si="8"/>
        <v>1.7996988837729352E-5</v>
      </c>
      <c r="BG36" s="1"/>
      <c r="BH36" s="1"/>
      <c r="BI36" s="1"/>
      <c r="BJ36" s="1"/>
      <c r="BK36" s="15"/>
    </row>
    <row r="37" spans="1:63" x14ac:dyDescent="0.25">
      <c r="A37" s="1"/>
      <c r="B37" s="14"/>
      <c r="C37" s="1"/>
      <c r="D37" s="1"/>
      <c r="E37" s="1"/>
      <c r="F37" s="1"/>
      <c r="G37" s="1"/>
      <c r="H37" s="1"/>
      <c r="I37" s="1"/>
      <c r="J37" s="7">
        <v>9</v>
      </c>
      <c r="K37" s="43">
        <v>4</v>
      </c>
      <c r="L37" s="10">
        <f>K37/$K$41</f>
        <v>0.1111111111111111</v>
      </c>
      <c r="M37" s="10">
        <f t="shared" si="6"/>
        <v>1</v>
      </c>
      <c r="N37" s="2">
        <f>POWER(J37,2)</f>
        <v>81</v>
      </c>
      <c r="O37" s="10">
        <f t="shared" si="7"/>
        <v>9</v>
      </c>
      <c r="P37" s="1"/>
      <c r="Q37" s="15"/>
      <c r="R37" s="1"/>
      <c r="S37" s="14"/>
      <c r="T37" s="1"/>
      <c r="U37" s="1"/>
      <c r="V37" s="1"/>
      <c r="W37" s="1"/>
      <c r="X37" s="1"/>
      <c r="Y37" s="1"/>
      <c r="Z37" s="2">
        <v>4</v>
      </c>
      <c r="AA37" s="2">
        <f>_xlfn.BINOM.DIST(Z37,$U$35,$U$34,0)</f>
        <v>4.5875199999999977E-2</v>
      </c>
      <c r="AB37" s="2">
        <f>_xlfn.BINOM.DIST(Z37,$U$35,$U$34,1)</f>
        <v>5.6281599999999973E-2</v>
      </c>
      <c r="AC37" s="1"/>
      <c r="AD37" s="1"/>
      <c r="AE37" s="1"/>
      <c r="AF37" s="1"/>
      <c r="AG37" s="1"/>
      <c r="AH37" s="15"/>
      <c r="AJ37" s="14"/>
      <c r="AK37" s="1"/>
      <c r="AL37" s="2">
        <f>AL36*AM37/AM36</f>
        <v>5</v>
      </c>
      <c r="AM37" s="43">
        <v>50</v>
      </c>
      <c r="AN37" s="1"/>
      <c r="AO37" s="1"/>
      <c r="AP37" s="1"/>
      <c r="AQ37" s="1"/>
      <c r="AR37" s="1"/>
      <c r="AS37" s="1"/>
      <c r="AT37" s="1"/>
      <c r="AU37" s="1"/>
      <c r="AV37" s="15"/>
      <c r="AX37" s="14"/>
      <c r="AY37" s="1"/>
      <c r="AZ37" s="1"/>
      <c r="BA37" s="1"/>
      <c r="BB37" s="1"/>
      <c r="BC37" s="1"/>
      <c r="BD37" s="1"/>
      <c r="BE37" s="2">
        <v>47000</v>
      </c>
      <c r="BF37" s="2">
        <f t="shared" si="8"/>
        <v>1.4772828039793357E-6</v>
      </c>
      <c r="BG37" s="1"/>
      <c r="BH37" s="1"/>
      <c r="BI37" s="1"/>
      <c r="BJ37" s="1"/>
      <c r="BK37" s="15"/>
    </row>
    <row r="38" spans="1:63" x14ac:dyDescent="0.25">
      <c r="A38" s="1"/>
      <c r="B38" s="14"/>
      <c r="C38" s="1"/>
      <c r="D38" s="1"/>
      <c r="E38" s="1"/>
      <c r="F38" s="1"/>
      <c r="G38" s="1"/>
      <c r="H38" s="1"/>
      <c r="I38" s="1"/>
      <c r="J38" s="7">
        <v>10</v>
      </c>
      <c r="K38" s="43">
        <v>3</v>
      </c>
      <c r="L38" s="10">
        <f>K38/$K$41</f>
        <v>8.3333333333333329E-2</v>
      </c>
      <c r="M38" s="10">
        <f t="shared" si="6"/>
        <v>0.83333333333333326</v>
      </c>
      <c r="N38" s="2">
        <f>POWER(J38,2)</f>
        <v>100</v>
      </c>
      <c r="O38" s="10">
        <f t="shared" si="7"/>
        <v>8.3333333333333321</v>
      </c>
      <c r="P38" s="1"/>
      <c r="Q38" s="15"/>
      <c r="S38" s="14"/>
      <c r="T38" s="1"/>
      <c r="U38" s="1"/>
      <c r="V38" s="1"/>
      <c r="W38" s="1"/>
      <c r="X38" s="1"/>
      <c r="Y38" s="1"/>
      <c r="Z38" s="2">
        <v>5</v>
      </c>
      <c r="AA38" s="2">
        <f>_xlfn.BINOM.DIST(Z38,$U$35,$U$34,0)</f>
        <v>0.14680063999999987</v>
      </c>
      <c r="AB38" s="2">
        <f>_xlfn.BINOM.DIST(Z38,$U$35,$U$34,1)</f>
        <v>0.20308223999999997</v>
      </c>
      <c r="AC38" s="1"/>
      <c r="AD38" s="1"/>
      <c r="AE38" s="1"/>
      <c r="AF38" s="1"/>
      <c r="AG38" s="1"/>
      <c r="AH38" s="15"/>
      <c r="AJ38" s="14"/>
      <c r="AK38" s="1"/>
      <c r="AL38" s="2" t="s">
        <v>1</v>
      </c>
      <c r="AM38" s="9">
        <f>1-AN38</f>
        <v>0.95957231800548715</v>
      </c>
      <c r="AN38" s="1">
        <f>_xlfn.POISSON.DIST(1,5,1)</f>
        <v>4.0427681994512799E-2</v>
      </c>
      <c r="AO38" s="1"/>
      <c r="AP38" s="1"/>
      <c r="AQ38" s="1"/>
      <c r="AR38" s="1"/>
      <c r="AS38" s="1"/>
      <c r="AT38" s="1"/>
      <c r="AU38" s="1"/>
      <c r="AV38" s="15"/>
      <c r="AX38" s="14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5"/>
    </row>
    <row r="39" spans="1:63" x14ac:dyDescent="0.25">
      <c r="A39" s="1"/>
      <c r="B39" s="14"/>
      <c r="C39" s="1"/>
      <c r="D39" s="1"/>
      <c r="E39" s="1"/>
      <c r="F39" s="1"/>
      <c r="G39" s="1"/>
      <c r="H39" s="1"/>
      <c r="I39" s="1"/>
      <c r="J39" s="7">
        <v>11</v>
      </c>
      <c r="K39" s="43">
        <v>2</v>
      </c>
      <c r="L39" s="10">
        <f>K39/$K$41</f>
        <v>5.5555555555555552E-2</v>
      </c>
      <c r="M39" s="10">
        <f t="shared" si="6"/>
        <v>0.61111111111111105</v>
      </c>
      <c r="N39" s="2">
        <f>POWER(J39,2)</f>
        <v>121</v>
      </c>
      <c r="O39" s="10">
        <f t="shared" si="7"/>
        <v>6.7222222222222214</v>
      </c>
      <c r="P39" s="1"/>
      <c r="Q39" s="15"/>
      <c r="S39" s="14"/>
      <c r="T39" s="1"/>
      <c r="U39" s="1"/>
      <c r="V39" s="1"/>
      <c r="W39" s="1"/>
      <c r="X39" s="1"/>
      <c r="Y39" s="1"/>
      <c r="Z39" s="2">
        <v>6</v>
      </c>
      <c r="AA39" s="2">
        <f>_xlfn.BINOM.DIST(Z39,$U$35,$U$34,0)</f>
        <v>0.29360127999999996</v>
      </c>
      <c r="AB39" s="2">
        <f>_xlfn.BINOM.DIST(Z39,$U$35,$U$34,1)</f>
        <v>0.49668351999999988</v>
      </c>
      <c r="AC39" s="1"/>
      <c r="AD39" s="1"/>
      <c r="AE39" s="1"/>
      <c r="AF39" s="1"/>
      <c r="AG39" s="1"/>
      <c r="AH39" s="15"/>
      <c r="AJ39" s="1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5"/>
      <c r="AX39" s="14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5"/>
    </row>
    <row r="40" spans="1:63" x14ac:dyDescent="0.25">
      <c r="A40" s="1"/>
      <c r="B40" s="14"/>
      <c r="C40" s="1"/>
      <c r="D40" s="1"/>
      <c r="E40" s="1"/>
      <c r="F40" s="1"/>
      <c r="G40" s="1"/>
      <c r="H40" s="1"/>
      <c r="I40" s="1"/>
      <c r="J40" s="7">
        <v>12</v>
      </c>
      <c r="K40" s="43">
        <v>1</v>
      </c>
      <c r="L40" s="10">
        <f>K40/$K$41</f>
        <v>2.7777777777777776E-2</v>
      </c>
      <c r="M40" s="10">
        <f>J40*L40</f>
        <v>0.33333333333333331</v>
      </c>
      <c r="N40" s="2">
        <f>POWER(J40,2)</f>
        <v>144</v>
      </c>
      <c r="O40" s="10">
        <f t="shared" si="7"/>
        <v>4</v>
      </c>
      <c r="P40" s="1"/>
      <c r="Q40" s="15"/>
      <c r="S40" s="14"/>
      <c r="T40" s="1"/>
      <c r="U40" s="1"/>
      <c r="V40" s="1"/>
      <c r="W40" s="1"/>
      <c r="X40" s="1"/>
      <c r="Y40" s="1"/>
      <c r="Z40" s="2">
        <v>7</v>
      </c>
      <c r="AA40" s="2">
        <f>_xlfn.BINOM.DIST(Z40,$U$35,$U$34,0)</f>
        <v>0.33554432000000006</v>
      </c>
      <c r="AB40" s="2">
        <f>_xlfn.BINOM.DIST(Z40,$U$35,$U$34,1)</f>
        <v>0.83222783999999994</v>
      </c>
      <c r="AC40" s="1"/>
      <c r="AD40" s="1"/>
      <c r="AE40" s="1"/>
      <c r="AF40" s="1"/>
      <c r="AG40" s="1"/>
      <c r="AH40" s="15"/>
      <c r="AJ40" s="14" t="s">
        <v>156</v>
      </c>
      <c r="AK40" s="1" t="s">
        <v>200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5"/>
      <c r="AX40" s="14" t="s">
        <v>210</v>
      </c>
      <c r="AY40" s="1" t="s">
        <v>47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5"/>
    </row>
    <row r="41" spans="1:63" ht="15.75" thickBot="1" x14ac:dyDescent="0.3">
      <c r="A41" s="1"/>
      <c r="B41" s="17"/>
      <c r="C41" s="19"/>
      <c r="D41" s="19"/>
      <c r="E41" s="19"/>
      <c r="F41" s="19"/>
      <c r="G41" s="19"/>
      <c r="H41" s="19"/>
      <c r="I41" s="19"/>
      <c r="J41" s="19"/>
      <c r="K41" s="23">
        <f>SUM(K30:K40)</f>
        <v>36</v>
      </c>
      <c r="L41" s="19"/>
      <c r="M41" s="56">
        <f>SUM(M30:M40)</f>
        <v>6.9999999999999991</v>
      </c>
      <c r="N41" s="19"/>
      <c r="O41" s="56">
        <f>SUM(O30:O40)</f>
        <v>54.833333333333321</v>
      </c>
      <c r="P41" s="19"/>
      <c r="Q41" s="20"/>
      <c r="S41" s="17"/>
      <c r="T41" s="19"/>
      <c r="U41" s="19"/>
      <c r="V41" s="19"/>
      <c r="W41" s="19"/>
      <c r="X41" s="19"/>
      <c r="Y41" s="19"/>
      <c r="Z41" s="23">
        <v>8</v>
      </c>
      <c r="AA41" s="23">
        <f>_xlfn.BINOM.DIST(Z41,$U$35,$U$34,0)</f>
        <v>0.16777216000000006</v>
      </c>
      <c r="AB41" s="23">
        <f>_xlfn.BINOM.DIST(Z41,$U$35,$U$34,1)</f>
        <v>1</v>
      </c>
      <c r="AC41" s="19"/>
      <c r="AD41" s="19"/>
      <c r="AE41" s="19"/>
      <c r="AF41" s="19"/>
      <c r="AG41" s="19"/>
      <c r="AH41" s="20"/>
      <c r="AJ41" s="14"/>
      <c r="AK41" s="1" t="s">
        <v>199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5"/>
      <c r="AX41" s="14"/>
      <c r="AY41" s="1" t="s">
        <v>48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5"/>
    </row>
    <row r="42" spans="1:63" x14ac:dyDescent="0.25">
      <c r="N42" s="1"/>
      <c r="AJ42" s="14"/>
      <c r="AK42" s="1" t="s">
        <v>197</v>
      </c>
      <c r="AL42" s="1"/>
      <c r="AM42" s="1"/>
      <c r="AN42" s="1"/>
      <c r="AO42" s="1"/>
      <c r="AP42" s="1"/>
      <c r="AQ42" s="8" t="s">
        <v>83</v>
      </c>
      <c r="AR42" s="2">
        <v>8</v>
      </c>
      <c r="AS42" s="1" t="s">
        <v>29</v>
      </c>
      <c r="AT42" s="1"/>
      <c r="AU42" s="1"/>
      <c r="AV42" s="15"/>
      <c r="AX42" s="14"/>
      <c r="AY42" s="1" t="s">
        <v>46</v>
      </c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5"/>
    </row>
    <row r="43" spans="1:63" ht="18.75" customHeight="1" x14ac:dyDescent="0.25">
      <c r="N43" s="1"/>
      <c r="AJ43" s="14"/>
      <c r="AK43" s="1" t="s">
        <v>201</v>
      </c>
      <c r="AL43" s="1"/>
      <c r="AM43" s="1"/>
      <c r="AN43" s="1"/>
      <c r="AO43" s="1"/>
      <c r="AP43" s="1"/>
      <c r="AQ43" s="8" t="s">
        <v>195</v>
      </c>
      <c r="AR43" s="2">
        <v>2</v>
      </c>
      <c r="AS43" s="1"/>
      <c r="AT43" s="1"/>
      <c r="AU43" s="1"/>
      <c r="AV43" s="15"/>
      <c r="AX43" s="14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5"/>
    </row>
    <row r="44" spans="1:63" x14ac:dyDescent="0.25">
      <c r="AJ44" s="14"/>
      <c r="AK44" s="1" t="s">
        <v>198</v>
      </c>
      <c r="AL44" s="1"/>
      <c r="AM44" s="1"/>
      <c r="AN44" s="1"/>
      <c r="AO44" s="1"/>
      <c r="AP44" s="1"/>
      <c r="AQ44" s="8" t="s">
        <v>194</v>
      </c>
      <c r="AR44" s="2">
        <v>4</v>
      </c>
      <c r="AS44" s="1"/>
      <c r="AT44" s="1"/>
      <c r="AU44" s="1"/>
      <c r="AV44" s="15"/>
      <c r="AX44" s="14"/>
      <c r="AY44" s="1" t="s">
        <v>21</v>
      </c>
      <c r="AZ44" s="2">
        <f>_xlfn.NORM.DIST(45000,38000,3000,1)</f>
        <v>0.99018467137135469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5"/>
    </row>
    <row r="45" spans="1:63" x14ac:dyDescent="0.25">
      <c r="AJ45" s="14"/>
      <c r="AK45" s="1"/>
      <c r="AL45" s="1"/>
      <c r="AM45" s="1"/>
      <c r="AN45" s="1"/>
      <c r="AO45" s="1"/>
      <c r="AP45" s="1"/>
      <c r="AQ45" s="8" t="s">
        <v>202</v>
      </c>
      <c r="AR45" s="2">
        <v>4</v>
      </c>
      <c r="AS45" s="1"/>
      <c r="AT45" s="1"/>
      <c r="AU45" s="1"/>
      <c r="AV45" s="15"/>
      <c r="AX45" s="14"/>
      <c r="AY45" s="1"/>
      <c r="AZ45" s="2">
        <f>_xlfn.NORM.DIST(40000,38000,3000,1)</f>
        <v>0.74750746245307709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5"/>
    </row>
    <row r="46" spans="1:63" x14ac:dyDescent="0.25">
      <c r="AJ46" s="14"/>
      <c r="AK46" s="1" t="s">
        <v>21</v>
      </c>
      <c r="AL46" s="43">
        <v>8</v>
      </c>
      <c r="AM46" s="43">
        <v>100</v>
      </c>
      <c r="AN46" s="1"/>
      <c r="AO46" s="1"/>
      <c r="AP46" s="1"/>
      <c r="AQ46" s="1"/>
      <c r="AR46" s="1"/>
      <c r="AS46" s="1"/>
      <c r="AT46" s="1"/>
      <c r="AU46" s="1"/>
      <c r="AV46" s="15"/>
      <c r="AX46" s="14"/>
      <c r="AY46" s="1"/>
      <c r="AZ46" s="2">
        <f>AZ44-AZ45</f>
        <v>0.2426772089182776</v>
      </c>
      <c r="BA46" s="4">
        <f>AZ46*500</f>
        <v>121.33860445913879</v>
      </c>
      <c r="BB46" s="1" t="s">
        <v>211</v>
      </c>
      <c r="BC46" s="1"/>
      <c r="BD46" s="1"/>
      <c r="BE46" s="1"/>
      <c r="BF46" s="1"/>
      <c r="BG46" s="1"/>
      <c r="BH46" s="1"/>
      <c r="BI46" s="1"/>
      <c r="BJ46" s="1"/>
      <c r="BK46" s="15"/>
    </row>
    <row r="47" spans="1:63" x14ac:dyDescent="0.25">
      <c r="AJ47" s="14"/>
      <c r="AK47" s="1"/>
      <c r="AL47" s="43">
        <f>AL46*AM47/AM46</f>
        <v>2</v>
      </c>
      <c r="AM47" s="43">
        <v>25</v>
      </c>
      <c r="AN47" s="1"/>
      <c r="AO47" s="1" t="s">
        <v>22</v>
      </c>
      <c r="AP47" s="2">
        <v>8</v>
      </c>
      <c r="AQ47" s="2">
        <v>100</v>
      </c>
      <c r="AR47" s="1"/>
      <c r="AS47" s="1"/>
      <c r="AT47" s="1"/>
      <c r="AU47" s="1"/>
      <c r="AV47" s="15"/>
      <c r="AX47" s="14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5"/>
    </row>
    <row r="48" spans="1:63" x14ac:dyDescent="0.25">
      <c r="AJ48" s="14"/>
      <c r="AK48" s="1"/>
      <c r="AL48" s="43" t="s">
        <v>1</v>
      </c>
      <c r="AM48" s="9">
        <f>_xlfn.POISSON.DIST(1,2,0)</f>
        <v>0.27067056647322535</v>
      </c>
      <c r="AN48" s="1"/>
      <c r="AO48" s="1"/>
      <c r="AP48" s="2">
        <f>AP47*AQ48/AQ47</f>
        <v>10</v>
      </c>
      <c r="AQ48" s="2">
        <v>125</v>
      </c>
      <c r="AR48" s="1"/>
      <c r="AS48" s="1"/>
      <c r="AT48" s="1"/>
      <c r="AU48" s="1"/>
      <c r="AV48" s="15"/>
      <c r="AX48" s="14"/>
      <c r="AY48" s="1" t="s">
        <v>20</v>
      </c>
      <c r="AZ48" s="43">
        <f>1-AZ44</f>
        <v>9.8153286286453145E-3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5"/>
    </row>
    <row r="49" spans="28:63" x14ac:dyDescent="0.25">
      <c r="AJ49" s="14"/>
      <c r="AK49" s="1"/>
      <c r="AL49" s="1"/>
      <c r="AM49" s="1"/>
      <c r="AN49" s="1"/>
      <c r="AO49" s="1"/>
      <c r="AP49" s="2" t="s">
        <v>1</v>
      </c>
      <c r="AQ49" s="9">
        <f>1-AR49</f>
        <v>0.54207028552814773</v>
      </c>
      <c r="AR49" s="67">
        <f>_xlfn.POISSON.DIST(9,10,1)</f>
        <v>0.45792971447185227</v>
      </c>
      <c r="AS49" s="1"/>
      <c r="AT49" s="1"/>
      <c r="AU49" s="1"/>
      <c r="AV49" s="15"/>
      <c r="AW49" s="1"/>
      <c r="AX49" s="74"/>
      <c r="AY49" s="42"/>
      <c r="AZ49" s="4">
        <f>AZ48*500</f>
        <v>4.9076643143226573</v>
      </c>
      <c r="BA49" s="42" t="s">
        <v>212</v>
      </c>
      <c r="BB49" s="42"/>
      <c r="BC49" s="42"/>
      <c r="BD49" s="42"/>
      <c r="BE49" s="42"/>
      <c r="BF49" s="42"/>
      <c r="BG49" s="42"/>
      <c r="BH49" s="1"/>
      <c r="BI49" s="1"/>
      <c r="BJ49" s="1"/>
      <c r="BK49" s="15"/>
    </row>
    <row r="50" spans="28:63" x14ac:dyDescent="0.25">
      <c r="AJ50" s="14"/>
      <c r="AK50" s="1" t="s">
        <v>20</v>
      </c>
      <c r="AL50" s="2">
        <v>8</v>
      </c>
      <c r="AM50" s="2">
        <v>100</v>
      </c>
      <c r="AN50" s="1"/>
      <c r="AO50" s="1"/>
      <c r="AP50" s="1"/>
      <c r="AQ50" s="1"/>
      <c r="AR50" s="1"/>
      <c r="AS50" s="1"/>
      <c r="AT50" s="1"/>
      <c r="AU50" s="1"/>
      <c r="AV50" s="15"/>
      <c r="AX50" s="74"/>
      <c r="AY50" s="42"/>
      <c r="AZ50" s="1"/>
      <c r="BA50" s="42"/>
      <c r="BB50" s="42"/>
      <c r="BC50" s="42"/>
      <c r="BD50" s="42"/>
      <c r="BE50" s="42"/>
      <c r="BF50" s="42"/>
      <c r="BG50" s="42"/>
      <c r="BH50" s="1"/>
      <c r="BI50" s="1"/>
      <c r="BJ50" s="1"/>
      <c r="BK50" s="15"/>
    </row>
    <row r="51" spans="28:63" x14ac:dyDescent="0.25">
      <c r="AJ51" s="14"/>
      <c r="AK51" s="1"/>
      <c r="AL51" s="2">
        <f>AL50*AM51/AM50</f>
        <v>4</v>
      </c>
      <c r="AM51" s="43">
        <v>50</v>
      </c>
      <c r="AN51" s="1"/>
      <c r="AO51" s="1"/>
      <c r="AP51" s="1"/>
      <c r="AQ51" s="1"/>
      <c r="AR51" s="1"/>
      <c r="AS51" s="1"/>
      <c r="AT51" s="1"/>
      <c r="AU51" s="1"/>
      <c r="AV51" s="15"/>
      <c r="AW51" s="1"/>
      <c r="AX51" s="74" t="s">
        <v>161</v>
      </c>
      <c r="AY51" s="1" t="s">
        <v>213</v>
      </c>
      <c r="AZ51" s="42"/>
      <c r="BA51" s="42"/>
      <c r="BB51" s="42"/>
      <c r="BC51" s="42"/>
      <c r="BD51" s="42"/>
      <c r="BE51" s="42"/>
      <c r="BF51" s="42"/>
      <c r="BG51" s="42"/>
      <c r="BH51" s="1"/>
      <c r="BI51" s="1"/>
      <c r="BJ51" s="1"/>
      <c r="BK51" s="15"/>
    </row>
    <row r="52" spans="28:63" ht="15.75" thickBot="1" x14ac:dyDescent="0.3">
      <c r="AJ52" s="17"/>
      <c r="AK52" s="19"/>
      <c r="AL52" s="23" t="s">
        <v>1</v>
      </c>
      <c r="AM52" s="71">
        <f>_xlfn.POISSON.DIST(2,4,1)</f>
        <v>0.23810330555354431</v>
      </c>
      <c r="AN52" s="19"/>
      <c r="AO52" s="19"/>
      <c r="AP52" s="19"/>
      <c r="AQ52" s="19"/>
      <c r="AR52" s="19"/>
      <c r="AS52" s="19"/>
      <c r="AT52" s="19"/>
      <c r="AU52" s="19"/>
      <c r="AV52" s="20"/>
      <c r="AW52" s="1"/>
      <c r="AX52" s="74"/>
      <c r="AY52" s="1" t="s">
        <v>50</v>
      </c>
      <c r="AZ52" s="42"/>
      <c r="BA52" s="42"/>
      <c r="BB52" s="42"/>
      <c r="BC52" s="42"/>
      <c r="BD52" s="8" t="s">
        <v>54</v>
      </c>
      <c r="BE52" s="2">
        <v>10</v>
      </c>
      <c r="BF52" s="63" t="s">
        <v>56</v>
      </c>
      <c r="BG52" s="63" t="s">
        <v>35</v>
      </c>
      <c r="BH52" s="1"/>
      <c r="BI52" s="1"/>
      <c r="BJ52" s="1"/>
      <c r="BK52" s="15"/>
    </row>
    <row r="53" spans="28:63" x14ac:dyDescent="0.25"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V53" s="1"/>
      <c r="AW53" s="1"/>
      <c r="AX53" s="74"/>
      <c r="AY53" s="1" t="s">
        <v>51</v>
      </c>
      <c r="AZ53" s="42"/>
      <c r="BA53" s="42"/>
      <c r="BB53" s="42"/>
      <c r="BC53" s="42"/>
      <c r="BD53" s="8" t="s">
        <v>55</v>
      </c>
      <c r="BE53" s="2">
        <v>2</v>
      </c>
      <c r="BF53" s="2">
        <v>4</v>
      </c>
      <c r="BG53" s="2">
        <f>_xlfn.NORM.DIST(BF53,$BE$52,$BE$53,0)</f>
        <v>2.2159242059690038E-3</v>
      </c>
      <c r="BH53" s="1"/>
      <c r="BI53" s="1"/>
      <c r="BJ53" s="1"/>
      <c r="BK53" s="15"/>
    </row>
    <row r="54" spans="28:63" x14ac:dyDescent="0.25"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V54" s="1"/>
      <c r="AW54" s="1"/>
      <c r="AX54" s="74"/>
      <c r="AY54" s="1" t="s">
        <v>52</v>
      </c>
      <c r="AZ54" s="42"/>
      <c r="BA54" s="42"/>
      <c r="BB54" s="42"/>
      <c r="BC54" s="42"/>
      <c r="BD54" s="42"/>
      <c r="BE54" s="42"/>
      <c r="BF54" s="2">
        <f>BF55-BE53</f>
        <v>6</v>
      </c>
      <c r="BG54" s="2">
        <f>_xlfn.NORM.DIST(BF54,$BE$52,$BE$53,0)</f>
        <v>2.6995483256594031E-2</v>
      </c>
      <c r="BH54" s="1"/>
      <c r="BI54" s="1"/>
      <c r="BJ54" s="1"/>
      <c r="BK54" s="15"/>
    </row>
    <row r="55" spans="28:63" x14ac:dyDescent="0.25"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W55" s="1"/>
      <c r="AX55" s="74"/>
      <c r="AY55" s="1" t="s">
        <v>53</v>
      </c>
      <c r="AZ55" s="42"/>
      <c r="BA55" s="42"/>
      <c r="BB55" s="42"/>
      <c r="BC55" s="42"/>
      <c r="BD55" s="42"/>
      <c r="BE55" s="42"/>
      <c r="BF55" s="2">
        <f>BF56-BE53</f>
        <v>8</v>
      </c>
      <c r="BG55" s="2">
        <f>_xlfn.NORM.DIST(BF55,$BE$52,$BE$53,0)</f>
        <v>0.12098536225957168</v>
      </c>
      <c r="BH55" s="1"/>
      <c r="BI55" s="1"/>
      <c r="BJ55" s="1"/>
      <c r="BK55" s="15"/>
    </row>
    <row r="56" spans="28:63" x14ac:dyDescent="0.25"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W56" s="1"/>
      <c r="AX56" s="74"/>
      <c r="AY56" s="42"/>
      <c r="AZ56" s="42"/>
      <c r="BA56" s="42"/>
      <c r="BB56" s="42"/>
      <c r="BC56" s="42"/>
      <c r="BD56" s="42"/>
      <c r="BE56" s="42"/>
      <c r="BF56" s="2">
        <v>10</v>
      </c>
      <c r="BG56" s="2">
        <f>_xlfn.NORM.DIST(BF56,$BE$52,$BE$53,0)</f>
        <v>0.19947114020071635</v>
      </c>
      <c r="BH56" s="1"/>
      <c r="BI56" s="1"/>
      <c r="BJ56" s="1"/>
      <c r="BK56" s="15"/>
    </row>
    <row r="57" spans="28:63" ht="15.75" thickBot="1" x14ac:dyDescent="0.3"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W57" s="1"/>
      <c r="AX57" s="74"/>
      <c r="AY57" s="42" t="s">
        <v>21</v>
      </c>
      <c r="AZ57" s="2" t="s">
        <v>214</v>
      </c>
      <c r="BA57" s="2" t="s">
        <v>215</v>
      </c>
      <c r="BB57" s="42"/>
      <c r="BC57" s="42"/>
      <c r="BD57" s="42"/>
      <c r="BE57" s="42"/>
      <c r="BF57" s="2">
        <v>12</v>
      </c>
      <c r="BG57" s="2">
        <f>_xlfn.NORM.DIST(BF57,$BE$52,$BE$53,0)</f>
        <v>0.12098536225957168</v>
      </c>
      <c r="BH57" s="1"/>
      <c r="BI57" s="1"/>
      <c r="BJ57" s="1"/>
      <c r="BK57" s="15"/>
    </row>
    <row r="58" spans="28:63" x14ac:dyDescent="0.25">
      <c r="AB58" s="42"/>
      <c r="AC58" s="42"/>
      <c r="AD58" s="1"/>
      <c r="AE58" s="1"/>
      <c r="AF58" s="1"/>
      <c r="AG58" s="1"/>
      <c r="AH58" s="1"/>
      <c r="AI58" s="1"/>
      <c r="AJ58" s="1"/>
      <c r="AK58" s="1"/>
      <c r="AL58" s="1"/>
      <c r="AN58" s="11" t="s">
        <v>9</v>
      </c>
      <c r="AO58" s="12"/>
      <c r="AP58" s="12"/>
      <c r="AQ58" s="12"/>
      <c r="AR58" s="12"/>
      <c r="AS58" s="12"/>
      <c r="AT58" s="13"/>
      <c r="AW58" s="1"/>
      <c r="AX58" s="74"/>
      <c r="AY58" s="42"/>
      <c r="AZ58" s="66">
        <f>_xlfn.NORM.DIST(7,10,2,1)</f>
        <v>6.6807201268858057E-2</v>
      </c>
      <c r="BA58" s="66">
        <f>_xlfn.NORM.DIST(7,10,2,1)</f>
        <v>6.6807201268858057E-2</v>
      </c>
      <c r="BB58" s="42"/>
      <c r="BC58" s="42"/>
      <c r="BD58" s="42"/>
      <c r="BE58" s="42"/>
      <c r="BF58" s="2">
        <v>14</v>
      </c>
      <c r="BG58" s="2">
        <f>_xlfn.NORM.DIST(BF58,$BE$52,$BE$53,0)</f>
        <v>2.6995483256594031E-2</v>
      </c>
      <c r="BH58" s="1"/>
      <c r="BI58" s="1"/>
      <c r="BJ58" s="1"/>
      <c r="BK58" s="15"/>
    </row>
    <row r="59" spans="28:63" x14ac:dyDescent="0.25">
      <c r="AB59" s="42"/>
      <c r="AC59" s="42"/>
      <c r="AD59" s="1"/>
      <c r="AE59" s="1"/>
      <c r="AF59" s="1"/>
      <c r="AG59" s="1"/>
      <c r="AH59" s="1"/>
      <c r="AI59" s="1"/>
      <c r="AJ59" s="1"/>
      <c r="AK59" s="1"/>
      <c r="AL59" s="1"/>
      <c r="AN59" s="14" t="s">
        <v>42</v>
      </c>
      <c r="AO59" s="1"/>
      <c r="AP59" s="1"/>
      <c r="AQ59" s="1"/>
      <c r="AR59" s="1"/>
      <c r="AS59" s="1"/>
      <c r="AT59" s="15"/>
      <c r="AX59" s="74"/>
      <c r="AY59" s="42"/>
      <c r="AZ59" s="42"/>
      <c r="BA59" s="42"/>
      <c r="BB59" s="42"/>
      <c r="BC59" s="42"/>
      <c r="BD59" s="42"/>
      <c r="BE59" s="42"/>
      <c r="BF59" s="2">
        <v>16</v>
      </c>
      <c r="BG59" s="2">
        <f>_xlfn.NORM.DIST(BF59,$BE$52,$BE$53,0)</f>
        <v>2.2159242059690038E-3</v>
      </c>
      <c r="BH59" s="1"/>
      <c r="BI59" s="1"/>
      <c r="BJ59" s="1"/>
      <c r="BK59" s="15"/>
    </row>
    <row r="60" spans="28:63" x14ac:dyDescent="0.25">
      <c r="AB60" s="42"/>
      <c r="AC60" s="42"/>
      <c r="AD60" s="1"/>
      <c r="AE60" s="1"/>
      <c r="AF60" s="1"/>
      <c r="AG60" s="1"/>
      <c r="AH60" s="1"/>
      <c r="AI60" s="1"/>
      <c r="AJ60" s="1"/>
      <c r="AK60" s="1"/>
      <c r="AL60" s="1"/>
      <c r="AN60" s="14" t="s">
        <v>43</v>
      </c>
      <c r="AO60" s="1"/>
      <c r="AP60" s="1"/>
      <c r="AQ60" s="1"/>
      <c r="AR60" s="1"/>
      <c r="AS60" s="1"/>
      <c r="AT60" s="15"/>
      <c r="AX60" s="74"/>
      <c r="AY60" s="42" t="s">
        <v>20</v>
      </c>
      <c r="AZ60" s="54">
        <f>_xlfn.NORM.DIST(8,10,2,1)</f>
        <v>0.15865525393145699</v>
      </c>
      <c r="BA60" s="43">
        <v>-1</v>
      </c>
      <c r="BB60" s="43">
        <f>_xlfn.NORM.S.DIST(BA60,1)</f>
        <v>0.15865525393145699</v>
      </c>
      <c r="BC60" s="42"/>
      <c r="BD60" s="42"/>
      <c r="BE60" s="42"/>
      <c r="BF60" s="63" t="s">
        <v>40</v>
      </c>
      <c r="BG60" s="63" t="s">
        <v>41</v>
      </c>
      <c r="BH60" s="1"/>
      <c r="BI60" s="1"/>
      <c r="BJ60" s="1"/>
      <c r="BK60" s="15"/>
    </row>
    <row r="61" spans="28:63" x14ac:dyDescent="0.25">
      <c r="AB61" s="42"/>
      <c r="AC61" s="42"/>
      <c r="AD61" s="1"/>
      <c r="AE61" s="1"/>
      <c r="AF61" s="1"/>
      <c r="AG61" s="1"/>
      <c r="AH61" s="1"/>
      <c r="AI61" s="1"/>
      <c r="AJ61" s="1"/>
      <c r="AK61" s="1"/>
      <c r="AL61" s="1"/>
      <c r="AN61" s="14"/>
      <c r="AO61" s="1"/>
      <c r="AP61" s="1"/>
      <c r="AQ61" s="1"/>
      <c r="AR61" s="1"/>
      <c r="AS61" s="1"/>
      <c r="AT61" s="15"/>
      <c r="AX61" s="74"/>
      <c r="AY61" s="42"/>
      <c r="AZ61" s="54">
        <f>_xlfn.NORM.DIST(13,10,2,1)</f>
        <v>0.93319279873114191</v>
      </c>
      <c r="BA61" s="43">
        <v>1.5</v>
      </c>
      <c r="BB61" s="43">
        <f>_xlfn.NORM.S.DIST(BA61,1)</f>
        <v>0.93319279873114191</v>
      </c>
      <c r="BC61" s="42"/>
      <c r="BD61" s="42"/>
      <c r="BE61" s="42"/>
      <c r="BF61" s="2">
        <f>(BF53-$BE$52)/$BE$53</f>
        <v>-3</v>
      </c>
      <c r="BG61" s="2">
        <f>_xlfn.NORM.S.DIST(BF61,0)</f>
        <v>4.4318484119380075E-3</v>
      </c>
      <c r="BH61" s="1"/>
      <c r="BI61" s="1"/>
      <c r="BJ61" s="1"/>
      <c r="BK61" s="15"/>
    </row>
    <row r="62" spans="28:63" x14ac:dyDescent="0.25">
      <c r="AB62" s="42"/>
      <c r="AC62" s="42"/>
      <c r="AD62" s="1"/>
      <c r="AE62" s="1"/>
      <c r="AF62" s="1"/>
      <c r="AG62" s="1"/>
      <c r="AH62" s="1"/>
      <c r="AI62" s="1"/>
      <c r="AJ62" s="1"/>
      <c r="AK62" s="1"/>
      <c r="AL62" s="1"/>
      <c r="AN62" s="14" t="s">
        <v>44</v>
      </c>
      <c r="AO62" s="1">
        <v>13</v>
      </c>
      <c r="AP62" s="1"/>
      <c r="AQ62" s="1"/>
      <c r="AR62" s="1"/>
      <c r="AS62" s="1"/>
      <c r="AT62" s="15"/>
      <c r="AX62" s="75"/>
      <c r="AY62" s="72"/>
      <c r="AZ62" s="73">
        <f>AZ61-AZ60</f>
        <v>0.77453754479968495</v>
      </c>
      <c r="BA62" s="1"/>
      <c r="BB62" s="66">
        <f>BB61-BB60</f>
        <v>0.77453754479968495</v>
      </c>
      <c r="BC62" s="1"/>
      <c r="BD62" s="1"/>
      <c r="BE62" s="1"/>
      <c r="BF62" s="2">
        <f>(BF54-$BE$52)/$BE$53</f>
        <v>-2</v>
      </c>
      <c r="BG62" s="2">
        <f t="shared" ref="BG62:BG67" si="9">_xlfn.NORM.S.DIST(BF62,0)</f>
        <v>5.3990966513188063E-2</v>
      </c>
      <c r="BH62" s="1"/>
      <c r="BI62" s="1"/>
      <c r="BJ62" s="1"/>
      <c r="BK62" s="15"/>
    </row>
    <row r="63" spans="28:63" x14ac:dyDescent="0.25">
      <c r="AB63" s="42"/>
      <c r="AC63" s="42"/>
      <c r="AD63" s="1"/>
      <c r="AE63" s="1"/>
      <c r="AF63" s="1"/>
      <c r="AG63" s="1"/>
      <c r="AH63" s="1"/>
      <c r="AI63" s="1"/>
      <c r="AJ63" s="1"/>
      <c r="AK63" s="1"/>
      <c r="AL63" s="1"/>
      <c r="AN63" s="14" t="s">
        <v>45</v>
      </c>
      <c r="AO63" s="1">
        <v>0.1</v>
      </c>
      <c r="AP63" s="1"/>
      <c r="AQ63" s="1"/>
      <c r="AR63" s="1"/>
      <c r="AS63" s="1"/>
      <c r="AT63" s="15"/>
      <c r="AX63" s="75"/>
      <c r="AY63" s="72"/>
      <c r="AZ63" s="72"/>
      <c r="BA63" s="72"/>
      <c r="BB63" s="72"/>
      <c r="BC63" s="72"/>
      <c r="BD63" s="72"/>
      <c r="BE63" s="72"/>
      <c r="BF63" s="2">
        <f>(BF55-$BE$52)/$BE$53</f>
        <v>-1</v>
      </c>
      <c r="BG63" s="2">
        <f t="shared" si="9"/>
        <v>0.24197072451914337</v>
      </c>
      <c r="BH63" s="1"/>
      <c r="BI63" s="1"/>
      <c r="BJ63" s="1"/>
      <c r="BK63" s="15"/>
    </row>
    <row r="64" spans="28:63" x14ac:dyDescent="0.25">
      <c r="AB64" s="42"/>
      <c r="AC64" s="42"/>
      <c r="AD64" s="1"/>
      <c r="AE64" s="1"/>
      <c r="AF64" s="1"/>
      <c r="AG64" s="1"/>
      <c r="AH64" s="1"/>
      <c r="AI64" s="1"/>
      <c r="AJ64" s="1"/>
      <c r="AK64" s="1"/>
      <c r="AL64" s="1"/>
      <c r="AN64" s="14"/>
      <c r="AO64" s="1"/>
      <c r="AP64" s="1"/>
      <c r="AQ64" s="1"/>
      <c r="AR64" s="1"/>
      <c r="AS64" s="1"/>
      <c r="AT64" s="15"/>
      <c r="AX64" s="75"/>
      <c r="AY64" s="72"/>
      <c r="AZ64" s="72"/>
      <c r="BA64" s="72"/>
      <c r="BB64" s="72"/>
      <c r="BC64" s="72"/>
      <c r="BD64" s="72"/>
      <c r="BE64" s="72"/>
      <c r="BF64" s="2">
        <f>(BF56-$BE$52)/$BE$53</f>
        <v>0</v>
      </c>
      <c r="BG64" s="2">
        <f t="shared" si="9"/>
        <v>0.3989422804014327</v>
      </c>
      <c r="BH64" s="1"/>
      <c r="BI64" s="1"/>
      <c r="BJ64" s="1"/>
      <c r="BK64" s="15"/>
    </row>
    <row r="65" spans="28:65" x14ac:dyDescent="0.25">
      <c r="AB65" s="42"/>
      <c r="AC65" s="42"/>
      <c r="AD65" s="1"/>
      <c r="AE65" s="1"/>
      <c r="AF65" s="1"/>
      <c r="AG65" s="1"/>
      <c r="AH65" s="1"/>
      <c r="AI65" s="1"/>
      <c r="AJ65" s="1"/>
      <c r="AK65" s="1"/>
      <c r="AL65" s="1"/>
      <c r="AN65" s="21" t="s">
        <v>0</v>
      </c>
      <c r="AO65" s="2" t="s">
        <v>35</v>
      </c>
      <c r="AP65" s="1"/>
      <c r="AQ65" s="1"/>
      <c r="AR65" s="1"/>
      <c r="AS65" s="1"/>
      <c r="AT65" s="15"/>
      <c r="AX65" s="75"/>
      <c r="AY65" s="72"/>
      <c r="AZ65" s="72"/>
      <c r="BA65" s="72"/>
      <c r="BB65" s="72"/>
      <c r="BC65" s="72"/>
      <c r="BD65" s="72"/>
      <c r="BE65" s="72"/>
      <c r="BF65" s="2">
        <f>(BF57-$BE$52)/$BE$53</f>
        <v>1</v>
      </c>
      <c r="BG65" s="2">
        <f t="shared" si="9"/>
        <v>0.24197072451914337</v>
      </c>
      <c r="BH65" s="1"/>
      <c r="BI65" s="1"/>
      <c r="BJ65" s="1"/>
      <c r="BK65" s="15"/>
    </row>
    <row r="66" spans="28:65" ht="15.75" thickBot="1" x14ac:dyDescent="0.3">
      <c r="AB66" s="42"/>
      <c r="AC66" s="42"/>
      <c r="AD66" s="1"/>
      <c r="AE66" s="1"/>
      <c r="AF66" s="1"/>
      <c r="AG66" s="1"/>
      <c r="AH66" s="1"/>
      <c r="AI66" s="1"/>
      <c r="AJ66" s="1"/>
      <c r="AK66" s="1"/>
      <c r="AL66" s="1"/>
      <c r="AN66" s="21">
        <f>AN67-AO63</f>
        <v>12.700000000000001</v>
      </c>
      <c r="AO66" s="2">
        <f>_xlfn.NORM.DIST(AN66,13,0.1,0)</f>
        <v>4.4318484119381489E-2</v>
      </c>
      <c r="AP66" s="1"/>
      <c r="AQ66" s="1"/>
      <c r="AR66" s="1"/>
      <c r="AS66" s="1"/>
      <c r="AT66" s="15"/>
      <c r="AX66" s="75"/>
      <c r="AY66" s="72"/>
      <c r="AZ66" s="72"/>
      <c r="BA66" s="72"/>
      <c r="BB66" s="72"/>
      <c r="BC66" s="72"/>
      <c r="BD66" s="72"/>
      <c r="BE66" s="72"/>
      <c r="BF66" s="2">
        <f>(BF58-$BE$52)/$BE$53</f>
        <v>2</v>
      </c>
      <c r="BG66" s="2">
        <f t="shared" si="9"/>
        <v>5.3990966513188063E-2</v>
      </c>
      <c r="BH66" s="1"/>
      <c r="BI66" s="1"/>
      <c r="BJ66" s="1"/>
      <c r="BK66" s="15"/>
    </row>
    <row r="67" spans="28:65" ht="15.75" thickBot="1" x14ac:dyDescent="0.3">
      <c r="AB67" s="42"/>
      <c r="AC67" s="42"/>
      <c r="AD67" s="1"/>
      <c r="AE67" s="1"/>
      <c r="AF67" s="1"/>
      <c r="AG67" s="32"/>
      <c r="AH67" s="1"/>
      <c r="AI67" s="1"/>
      <c r="AJ67" s="1"/>
      <c r="AK67" s="1"/>
      <c r="AL67" s="1"/>
      <c r="AN67" s="21">
        <f>AN68-AO63</f>
        <v>12.8</v>
      </c>
      <c r="AO67" s="2">
        <f t="shared" ref="AO67:AO72" si="10">_xlfn.NORM.DIST(AN67,13,0.1,0)</f>
        <v>0.53990966513188821</v>
      </c>
      <c r="AP67" s="1"/>
      <c r="AQ67" s="1"/>
      <c r="AR67" s="2">
        <f>_xlfn.NORM.DIST(AN71,13,0.1,1)</f>
        <v>0.97724986805182046</v>
      </c>
      <c r="AS67" s="1"/>
      <c r="AT67" s="15"/>
      <c r="AX67" s="76"/>
      <c r="AY67" s="77"/>
      <c r="AZ67" s="77"/>
      <c r="BA67" s="77"/>
      <c r="BB67" s="77"/>
      <c r="BC67" s="77"/>
      <c r="BD67" s="77"/>
      <c r="BE67" s="77"/>
      <c r="BF67" s="23">
        <f>(BF59-$BE$52)/$BE$53</f>
        <v>3</v>
      </c>
      <c r="BG67" s="23">
        <f t="shared" si="9"/>
        <v>4.4318484119380075E-3</v>
      </c>
      <c r="BH67" s="19"/>
      <c r="BI67" s="19"/>
      <c r="BJ67" s="19"/>
      <c r="BK67" s="20"/>
    </row>
    <row r="68" spans="28:65" x14ac:dyDescent="0.25">
      <c r="AB68" s="42"/>
      <c r="AC68" s="42"/>
      <c r="AD68" s="1"/>
      <c r="AE68" s="1"/>
      <c r="AF68" s="1"/>
      <c r="AG68" s="1"/>
      <c r="AH68" s="1"/>
      <c r="AI68" s="1"/>
      <c r="AJ68" s="1"/>
      <c r="AK68" s="1"/>
      <c r="AL68" s="1"/>
      <c r="AN68" s="21">
        <f>AN69-AO63</f>
        <v>12.9</v>
      </c>
      <c r="AO68" s="2">
        <f t="shared" si="10"/>
        <v>2.4197072451914421</v>
      </c>
      <c r="AP68" s="1"/>
      <c r="AQ68" s="1"/>
      <c r="AR68" s="2">
        <f>_xlfn.NORM.DIST(AN69,AO62,AO63,1)</f>
        <v>0.5</v>
      </c>
      <c r="AS68" s="1"/>
      <c r="AT68" s="15"/>
      <c r="AX68" s="72"/>
      <c r="AY68" s="72"/>
      <c r="AZ68" s="72"/>
      <c r="BA68" s="72"/>
      <c r="BB68" s="72"/>
      <c r="BC68" s="72"/>
      <c r="BD68" s="72"/>
      <c r="BE68" s="72"/>
    </row>
    <row r="69" spans="28:65" x14ac:dyDescent="0.25">
      <c r="AB69" s="42"/>
      <c r="AC69" s="42"/>
      <c r="AD69" s="1"/>
      <c r="AE69" s="1"/>
      <c r="AF69" s="1"/>
      <c r="AG69" s="1"/>
      <c r="AH69" s="1"/>
      <c r="AI69" s="1"/>
      <c r="AJ69" s="1"/>
      <c r="AK69" s="1"/>
      <c r="AL69" s="1"/>
      <c r="AN69" s="21">
        <v>13</v>
      </c>
      <c r="AO69" s="2">
        <f t="shared" si="10"/>
        <v>3.9894228040143269</v>
      </c>
      <c r="AP69" s="1"/>
      <c r="AQ69" s="1"/>
      <c r="AR69" s="4">
        <f>AR67-AR68</f>
        <v>0.47724986805182046</v>
      </c>
      <c r="AS69" s="1"/>
      <c r="AT69" s="15"/>
      <c r="AX69" s="72"/>
      <c r="AY69" s="72"/>
      <c r="AZ69" s="72"/>
      <c r="BA69" s="72"/>
      <c r="BB69" s="72"/>
      <c r="BC69" s="72"/>
      <c r="BD69" s="72"/>
      <c r="BE69" s="72"/>
    </row>
    <row r="70" spans="28:65" x14ac:dyDescent="0.25">
      <c r="AB70" s="42"/>
      <c r="AC70" s="42"/>
      <c r="AD70" s="1"/>
      <c r="AE70" s="1"/>
      <c r="AF70" s="1"/>
      <c r="AG70" s="1"/>
      <c r="AH70" s="1"/>
      <c r="AI70" s="1"/>
      <c r="AJ70" s="1"/>
      <c r="AK70" s="1"/>
      <c r="AL70" s="1"/>
      <c r="AN70" s="21">
        <f>AN69+AO63</f>
        <v>13.1</v>
      </c>
      <c r="AO70" s="2">
        <f t="shared" si="10"/>
        <v>2.4197072451914421</v>
      </c>
      <c r="AP70" s="1"/>
      <c r="AQ70" s="1"/>
      <c r="AR70" s="1"/>
      <c r="AS70" s="1"/>
      <c r="AT70" s="15"/>
      <c r="AX70" s="72"/>
      <c r="AY70" s="72"/>
      <c r="AZ70" s="72"/>
      <c r="BA70" s="72"/>
      <c r="BB70" s="72"/>
      <c r="BC70" s="72"/>
      <c r="BD70" s="72"/>
      <c r="BE70" s="72"/>
    </row>
    <row r="71" spans="28:65" x14ac:dyDescent="0.25">
      <c r="AB71" s="42"/>
      <c r="AC71" s="42"/>
      <c r="AD71" s="1"/>
      <c r="AE71" s="1"/>
      <c r="AF71" s="1"/>
      <c r="AG71" s="1"/>
      <c r="AH71" s="1"/>
      <c r="AI71" s="1"/>
      <c r="AJ71" s="1"/>
      <c r="AK71" s="1"/>
      <c r="AL71" s="1"/>
      <c r="AN71" s="21">
        <f>AN70+AO63</f>
        <v>13.2</v>
      </c>
      <c r="AO71" s="2">
        <f t="shared" si="10"/>
        <v>0.53990966513188821</v>
      </c>
      <c r="AP71" s="1"/>
      <c r="AQ71" s="1"/>
      <c r="AR71" s="1"/>
      <c r="AS71" s="1"/>
      <c r="AT71" s="15"/>
      <c r="AX71" s="72"/>
      <c r="AY71" s="72"/>
      <c r="AZ71" s="72"/>
      <c r="BA71" s="72"/>
      <c r="BB71" s="72"/>
      <c r="BC71" s="72"/>
      <c r="BD71" s="72"/>
      <c r="BE71" s="72"/>
    </row>
    <row r="72" spans="28:65" ht="15.75" thickBot="1" x14ac:dyDescent="0.3">
      <c r="AB72" s="42"/>
      <c r="AC72" s="42"/>
      <c r="AD72" s="1"/>
      <c r="AE72" s="1"/>
      <c r="AF72" s="1"/>
      <c r="AG72" s="1"/>
      <c r="AH72" s="1"/>
      <c r="AI72" s="1"/>
      <c r="AJ72" s="1"/>
      <c r="AK72" s="1"/>
      <c r="AL72" s="1"/>
      <c r="AN72" s="22">
        <f>AN71+AO63</f>
        <v>13.299999999999999</v>
      </c>
      <c r="AO72" s="23">
        <f t="shared" si="10"/>
        <v>4.4318484119381489E-2</v>
      </c>
      <c r="AP72" s="19"/>
      <c r="AQ72" s="19"/>
      <c r="AR72" s="19"/>
      <c r="AS72" s="19"/>
      <c r="AT72" s="20"/>
      <c r="BA72" s="72"/>
      <c r="BB72" s="72"/>
      <c r="BC72" s="72"/>
      <c r="BD72" s="72"/>
      <c r="BE72" s="72"/>
    </row>
    <row r="73" spans="28:65" x14ac:dyDescent="0.25">
      <c r="AB73" s="69"/>
      <c r="AC73" s="69"/>
      <c r="AX73" s="72"/>
      <c r="AY73" s="72"/>
      <c r="AZ73" s="72"/>
      <c r="BA73" s="72"/>
      <c r="BB73" s="72"/>
      <c r="BC73" s="72"/>
      <c r="BD73" s="72"/>
      <c r="BE73" s="72"/>
    </row>
    <row r="76" spans="28:65" x14ac:dyDescent="0.25"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</row>
    <row r="77" spans="28:65" x14ac:dyDescent="0.25"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</row>
    <row r="78" spans="28:65" x14ac:dyDescent="0.25"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</row>
    <row r="79" spans="28:65" x14ac:dyDescent="0.25"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</row>
    <row r="80" spans="28:65" x14ac:dyDescent="0.25"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</row>
    <row r="81" spans="50:65" x14ac:dyDescent="0.25"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</row>
    <row r="82" spans="50:65" x14ac:dyDescent="0.25"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</row>
    <row r="83" spans="50:65" x14ac:dyDescent="0.25"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</row>
    <row r="84" spans="50:65" x14ac:dyDescent="0.25">
      <c r="AX84" s="42"/>
      <c r="AY84" s="42"/>
      <c r="AZ84" s="42"/>
      <c r="BA84" s="42"/>
      <c r="BB84" s="42"/>
      <c r="BC84" s="42"/>
      <c r="BD84" s="42"/>
      <c r="BE84" s="68"/>
      <c r="BF84" s="42"/>
      <c r="BG84" s="42"/>
      <c r="BH84" s="42"/>
      <c r="BI84" s="42"/>
      <c r="BJ84" s="42"/>
      <c r="BK84" s="42"/>
      <c r="BL84" s="42"/>
      <c r="BM84" s="42"/>
    </row>
    <row r="85" spans="50:65" x14ac:dyDescent="0.25">
      <c r="AX85" s="42"/>
      <c r="AY85" s="42"/>
      <c r="AZ85" s="42"/>
      <c r="BA85" s="42"/>
      <c r="BB85" s="42"/>
      <c r="BC85" s="42"/>
      <c r="BD85" s="42"/>
      <c r="BE85" s="68"/>
      <c r="BF85" s="42"/>
      <c r="BG85" s="42"/>
      <c r="BH85" s="42"/>
      <c r="BI85" s="42"/>
      <c r="BJ85" s="42"/>
      <c r="BK85" s="42"/>
      <c r="BL85" s="42"/>
      <c r="BM85" s="42"/>
    </row>
    <row r="86" spans="50:65" x14ac:dyDescent="0.25">
      <c r="AX86" s="42"/>
      <c r="AY86" s="42"/>
      <c r="AZ86" s="42"/>
      <c r="BA86" s="42"/>
      <c r="BB86" s="42"/>
      <c r="BC86" s="42"/>
      <c r="BD86" s="42"/>
      <c r="BE86" s="68"/>
      <c r="BF86" s="42"/>
      <c r="BG86" s="42"/>
      <c r="BH86" s="42"/>
      <c r="BI86" s="42"/>
      <c r="BJ86" s="42"/>
      <c r="BK86" s="42"/>
      <c r="BL86" s="42"/>
      <c r="BM86" s="42"/>
    </row>
    <row r="87" spans="50:65" x14ac:dyDescent="0.25"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</row>
    <row r="88" spans="50:65" x14ac:dyDescent="0.25"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</row>
    <row r="89" spans="50:65" x14ac:dyDescent="0.25"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</row>
    <row r="90" spans="50:65" x14ac:dyDescent="0.25"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</row>
    <row r="91" spans="50:65" x14ac:dyDescent="0.25"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</row>
    <row r="92" spans="50:65" x14ac:dyDescent="0.25"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</row>
    <row r="93" spans="50:65" x14ac:dyDescent="0.25"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</row>
    <row r="94" spans="50:65" x14ac:dyDescent="0.25"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</row>
    <row r="95" spans="50:65" x14ac:dyDescent="0.25"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</row>
    <row r="116" ht="26.25" customHeight="1" x14ac:dyDescent="0.25"/>
    <row r="122" ht="15" customHeight="1" x14ac:dyDescent="0.25"/>
    <row r="123" ht="18.75" customHeight="1" x14ac:dyDescent="0.25"/>
    <row r="164" spans="2:6" ht="28.5" x14ac:dyDescent="0.45">
      <c r="B164" s="38" t="s">
        <v>49</v>
      </c>
      <c r="C164" s="39"/>
      <c r="D164" s="39"/>
      <c r="E164" s="39"/>
      <c r="F164" s="40"/>
    </row>
    <row r="186" spans="2:17" ht="23.25" x14ac:dyDescent="0.35">
      <c r="B186" s="41" t="s">
        <v>57</v>
      </c>
      <c r="C186" s="41"/>
      <c r="D186" s="41"/>
      <c r="E186" s="41"/>
      <c r="F186" s="41"/>
      <c r="G186" s="41"/>
      <c r="H186" s="41"/>
      <c r="I186" s="41"/>
    </row>
    <row r="187" spans="2:17" ht="15.75" thickBot="1" x14ac:dyDescent="0.3"/>
    <row r="188" spans="2:17" x14ac:dyDescent="0.25">
      <c r="B188" s="11" t="s">
        <v>61</v>
      </c>
      <c r="C188" s="12"/>
      <c r="D188" s="12"/>
      <c r="E188" s="12"/>
      <c r="F188" s="12"/>
      <c r="G188" s="12"/>
      <c r="H188" s="13"/>
      <c r="J188" s="11" t="s">
        <v>72</v>
      </c>
      <c r="K188" s="12"/>
      <c r="L188" s="12"/>
      <c r="M188" s="12"/>
      <c r="N188" s="12"/>
      <c r="O188" s="12"/>
      <c r="P188" s="12"/>
      <c r="Q188" s="13"/>
    </row>
    <row r="189" spans="2:17" x14ac:dyDescent="0.25">
      <c r="B189" s="14" t="s">
        <v>62</v>
      </c>
      <c r="C189" s="1"/>
      <c r="D189" s="1"/>
      <c r="E189" s="1"/>
      <c r="F189" s="1"/>
      <c r="G189" s="1"/>
      <c r="H189" s="15"/>
      <c r="J189" s="14" t="s">
        <v>73</v>
      </c>
      <c r="K189" s="1"/>
      <c r="L189" s="1"/>
      <c r="M189" s="1"/>
      <c r="N189" s="1"/>
      <c r="O189" s="1"/>
      <c r="P189" s="1"/>
      <c r="Q189" s="15"/>
    </row>
    <row r="190" spans="2:17" x14ac:dyDescent="0.25">
      <c r="B190" s="14" t="s">
        <v>63</v>
      </c>
      <c r="C190" s="1"/>
      <c r="D190" s="1"/>
      <c r="E190" s="1"/>
      <c r="F190" s="1"/>
      <c r="G190" s="1"/>
      <c r="H190" s="15"/>
      <c r="J190" s="14" t="s">
        <v>74</v>
      </c>
      <c r="K190" s="1"/>
      <c r="L190" s="1"/>
      <c r="M190" s="1"/>
      <c r="N190" s="1"/>
      <c r="O190" s="1"/>
      <c r="P190" s="1"/>
      <c r="Q190" s="15"/>
    </row>
    <row r="191" spans="2:17" x14ac:dyDescent="0.25">
      <c r="B191" s="14" t="s">
        <v>64</v>
      </c>
      <c r="C191" s="1"/>
      <c r="D191" s="1"/>
      <c r="E191" s="1"/>
      <c r="F191" s="1"/>
      <c r="G191" s="1"/>
      <c r="H191" s="15"/>
      <c r="J191" s="14" t="s">
        <v>75</v>
      </c>
      <c r="K191" s="1"/>
      <c r="L191" s="1"/>
      <c r="M191" s="1"/>
      <c r="N191" s="1"/>
      <c r="O191" s="1"/>
      <c r="P191" s="1"/>
      <c r="Q191" s="15"/>
    </row>
    <row r="192" spans="2:17" x14ac:dyDescent="0.25">
      <c r="B192" s="14" t="s">
        <v>65</v>
      </c>
      <c r="C192" s="1"/>
      <c r="D192" s="1"/>
      <c r="E192" s="1"/>
      <c r="F192" s="1"/>
      <c r="G192" s="1"/>
      <c r="H192" s="15"/>
      <c r="J192" s="14" t="s">
        <v>76</v>
      </c>
      <c r="K192" s="1"/>
      <c r="L192" s="1"/>
      <c r="M192" s="1"/>
      <c r="N192" s="1"/>
      <c r="O192" s="1"/>
      <c r="P192" s="1"/>
      <c r="Q192" s="15"/>
    </row>
    <row r="193" spans="2:17" x14ac:dyDescent="0.25">
      <c r="B193" s="14" t="s">
        <v>66</v>
      </c>
      <c r="C193" s="1"/>
      <c r="D193" s="1"/>
      <c r="E193" s="1"/>
      <c r="F193" s="1"/>
      <c r="G193" s="1"/>
      <c r="H193" s="15"/>
      <c r="J193" s="14" t="s">
        <v>77</v>
      </c>
      <c r="K193" s="1"/>
      <c r="L193" s="1"/>
      <c r="M193" s="1"/>
      <c r="N193" s="1"/>
      <c r="O193" s="1"/>
      <c r="P193" s="1"/>
      <c r="Q193" s="15"/>
    </row>
    <row r="194" spans="2:17" x14ac:dyDescent="0.25">
      <c r="B194" s="14" t="s">
        <v>67</v>
      </c>
      <c r="C194" s="1"/>
      <c r="D194" s="1"/>
      <c r="E194" s="2" t="s">
        <v>56</v>
      </c>
      <c r="F194" s="2" t="s">
        <v>59</v>
      </c>
      <c r="G194" s="2"/>
      <c r="H194" s="16"/>
      <c r="J194" s="14" t="s">
        <v>66</v>
      </c>
      <c r="K194" s="1"/>
      <c r="L194" s="1"/>
      <c r="M194" s="1"/>
      <c r="N194" s="1"/>
      <c r="O194" s="1"/>
      <c r="P194" s="1"/>
      <c r="Q194" s="15"/>
    </row>
    <row r="195" spans="2:17" x14ac:dyDescent="0.25">
      <c r="B195" s="14"/>
      <c r="C195" s="1"/>
      <c r="D195" s="1"/>
      <c r="E195" s="2" t="s">
        <v>4</v>
      </c>
      <c r="F195" s="2">
        <v>0.2</v>
      </c>
      <c r="G195" s="2"/>
      <c r="H195" s="16"/>
      <c r="J195" s="14" t="s">
        <v>67</v>
      </c>
      <c r="K195" s="1"/>
      <c r="L195" s="1"/>
      <c r="M195" s="1"/>
      <c r="N195" s="1"/>
      <c r="O195" s="1"/>
      <c r="P195" s="1"/>
      <c r="Q195" s="15"/>
    </row>
    <row r="196" spans="2:17" x14ac:dyDescent="0.25">
      <c r="B196" s="14"/>
      <c r="C196" s="1"/>
      <c r="D196" s="1"/>
      <c r="E196" s="2" t="s">
        <v>58</v>
      </c>
      <c r="F196" s="2">
        <v>0.8</v>
      </c>
      <c r="G196" s="2"/>
      <c r="H196" s="16"/>
      <c r="J196" s="14"/>
      <c r="K196" s="1"/>
      <c r="L196" s="1"/>
      <c r="M196" s="28" t="s">
        <v>81</v>
      </c>
      <c r="N196" s="2" t="s">
        <v>56</v>
      </c>
      <c r="O196" s="2" t="s">
        <v>78</v>
      </c>
      <c r="P196" s="2"/>
      <c r="Q196" s="16"/>
    </row>
    <row r="197" spans="2:17" x14ac:dyDescent="0.25">
      <c r="B197" s="14"/>
      <c r="C197" s="1"/>
      <c r="D197" s="1"/>
      <c r="E197" s="2" t="s">
        <v>5</v>
      </c>
      <c r="F197" s="2">
        <v>30</v>
      </c>
      <c r="G197" s="2"/>
      <c r="H197" s="16"/>
      <c r="J197" s="14"/>
      <c r="K197" s="1"/>
      <c r="L197" s="1"/>
      <c r="M197" s="1"/>
      <c r="N197" s="2" t="s">
        <v>79</v>
      </c>
      <c r="O197" s="2">
        <v>10</v>
      </c>
      <c r="P197" s="2" t="s">
        <v>80</v>
      </c>
      <c r="Q197" s="16"/>
    </row>
    <row r="198" spans="2:17" x14ac:dyDescent="0.25">
      <c r="B198" s="14" t="s">
        <v>21</v>
      </c>
      <c r="C198" s="1"/>
      <c r="D198" s="1"/>
      <c r="E198" s="1"/>
      <c r="F198" s="1"/>
      <c r="G198" s="1"/>
      <c r="H198" s="15"/>
      <c r="J198" s="14" t="s">
        <v>21</v>
      </c>
      <c r="K198" s="2" t="s">
        <v>82</v>
      </c>
      <c r="L198" s="2">
        <f>_xlfn.POISSON.DIST(15,10,1)</f>
        <v>0.95125959669602134</v>
      </c>
      <c r="M198" s="1"/>
      <c r="N198" s="1"/>
      <c r="O198" s="1"/>
      <c r="P198" s="1"/>
      <c r="Q198" s="15"/>
    </row>
    <row r="199" spans="2:17" x14ac:dyDescent="0.25">
      <c r="B199" s="14"/>
      <c r="C199" s="2" t="s">
        <v>60</v>
      </c>
      <c r="D199" s="2">
        <f>_xlfn.BINOM.DIST(9,F197,F195,1)</f>
        <v>0.93891285171134453</v>
      </c>
      <c r="E199" s="1"/>
      <c r="F199" s="2" t="s">
        <v>32</v>
      </c>
      <c r="G199" s="2" t="s">
        <v>71</v>
      </c>
      <c r="H199" s="16">
        <f>F197*F195</f>
        <v>6</v>
      </c>
      <c r="J199" s="14"/>
      <c r="K199" s="1"/>
      <c r="L199" s="4">
        <f>1-L198</f>
        <v>4.8740403303978663E-2</v>
      </c>
      <c r="M199" s="1"/>
      <c r="N199" s="1"/>
      <c r="O199" s="1"/>
      <c r="P199" s="1"/>
      <c r="Q199" s="15"/>
    </row>
    <row r="200" spans="2:17" x14ac:dyDescent="0.25">
      <c r="B200" s="14"/>
      <c r="C200" s="1"/>
      <c r="D200" s="27">
        <f>1-D199</f>
        <v>6.1087148288655468E-2</v>
      </c>
      <c r="E200" s="1"/>
      <c r="F200" s="2" t="s">
        <v>68</v>
      </c>
      <c r="G200" s="2" t="s">
        <v>71</v>
      </c>
      <c r="H200" s="16">
        <f>F197*F196*F195</f>
        <v>4.8000000000000007</v>
      </c>
      <c r="J200" s="14"/>
      <c r="K200" s="1"/>
      <c r="L200" s="1"/>
      <c r="M200" s="1"/>
      <c r="N200" s="1"/>
      <c r="O200" s="2" t="s">
        <v>32</v>
      </c>
      <c r="P200" s="8" t="s">
        <v>83</v>
      </c>
      <c r="Q200" s="16">
        <v>10</v>
      </c>
    </row>
    <row r="201" spans="2:17" x14ac:dyDescent="0.25">
      <c r="B201" s="14"/>
      <c r="C201" s="1"/>
      <c r="D201" s="1"/>
      <c r="E201" s="1"/>
      <c r="F201" s="2" t="s">
        <v>69</v>
      </c>
      <c r="G201" s="2" t="s">
        <v>70</v>
      </c>
      <c r="H201" s="16">
        <f>SQRT(H200)</f>
        <v>2.1908902300206647</v>
      </c>
      <c r="J201" s="14" t="s">
        <v>20</v>
      </c>
      <c r="K201" s="2" t="s">
        <v>82</v>
      </c>
      <c r="L201" s="2">
        <f>_xlfn.POISSON.DIST(15,10,1)</f>
        <v>0.95125959669602134</v>
      </c>
      <c r="M201" s="1"/>
      <c r="N201" s="1"/>
      <c r="O201" s="2" t="s">
        <v>68</v>
      </c>
      <c r="P201" s="2" t="s">
        <v>83</v>
      </c>
      <c r="Q201" s="16">
        <v>10</v>
      </c>
    </row>
    <row r="202" spans="2:17" ht="15.75" thickBot="1" x14ac:dyDescent="0.3">
      <c r="B202" s="14"/>
      <c r="C202" s="1"/>
      <c r="D202" s="1"/>
      <c r="E202" s="1"/>
      <c r="F202" s="1"/>
      <c r="G202" s="1"/>
      <c r="H202" s="15"/>
      <c r="J202" s="17"/>
      <c r="K202" s="19"/>
      <c r="L202" s="18">
        <f>1-L201</f>
        <v>4.8740403303978663E-2</v>
      </c>
      <c r="M202" s="19"/>
      <c r="N202" s="19"/>
      <c r="O202" s="23" t="s">
        <v>69</v>
      </c>
      <c r="P202" s="23" t="s">
        <v>84</v>
      </c>
      <c r="Q202" s="29">
        <f>SQRT(10)</f>
        <v>3.1622776601683795</v>
      </c>
    </row>
    <row r="203" spans="2:17" x14ac:dyDescent="0.25">
      <c r="B203" s="14" t="s">
        <v>20</v>
      </c>
      <c r="C203" s="2">
        <f>_xlfn.NORM.DIST(9.5,H199,H201,1)</f>
        <v>0.94492553790702649</v>
      </c>
      <c r="D203" s="1"/>
      <c r="E203" s="1"/>
      <c r="F203" s="1"/>
      <c r="G203" s="1"/>
      <c r="H203" s="15"/>
    </row>
    <row r="204" spans="2:17" ht="15.75" thickBot="1" x14ac:dyDescent="0.3">
      <c r="B204" s="17"/>
      <c r="C204" s="26">
        <f>1-C203</f>
        <v>5.5074462092973508E-2</v>
      </c>
      <c r="D204" s="19"/>
      <c r="E204" s="19"/>
      <c r="F204" s="19"/>
      <c r="G204" s="19"/>
      <c r="H204" s="20"/>
    </row>
    <row r="206" spans="2:17" ht="15.75" thickBot="1" x14ac:dyDescent="0.3"/>
    <row r="207" spans="2:17" ht="24" thickBot="1" x14ac:dyDescent="0.4">
      <c r="B207" s="35" t="s">
        <v>85</v>
      </c>
      <c r="C207" s="36"/>
      <c r="D207" s="36"/>
      <c r="E207" s="36"/>
      <c r="F207" s="37"/>
    </row>
    <row r="208" spans="2:17" ht="24" thickBot="1" x14ac:dyDescent="0.4">
      <c r="B208" s="35" t="s">
        <v>97</v>
      </c>
      <c r="C208" s="36"/>
      <c r="D208" s="36"/>
      <c r="E208" s="36"/>
      <c r="F208" s="36"/>
      <c r="G208" s="36"/>
      <c r="H208" s="37"/>
    </row>
    <row r="209" spans="2:19" x14ac:dyDescent="0.25">
      <c r="B209" s="11" t="s">
        <v>86</v>
      </c>
      <c r="C209" s="12" t="s">
        <v>87</v>
      </c>
      <c r="D209" s="12"/>
      <c r="E209" s="12"/>
      <c r="F209" s="12"/>
      <c r="G209" s="12"/>
      <c r="H209" s="13"/>
      <c r="I209" s="11" t="s">
        <v>94</v>
      </c>
      <c r="J209" s="12"/>
      <c r="K209" s="12"/>
      <c r="L209" s="12"/>
      <c r="M209" s="12"/>
      <c r="N209" s="13"/>
      <c r="O209" s="11" t="s">
        <v>99</v>
      </c>
      <c r="P209" s="12"/>
      <c r="Q209" s="12"/>
      <c r="R209" s="12"/>
      <c r="S209" s="13"/>
    </row>
    <row r="210" spans="2:19" x14ac:dyDescent="0.25">
      <c r="B210" s="14"/>
      <c r="C210" s="1" t="s">
        <v>88</v>
      </c>
      <c r="D210" s="1"/>
      <c r="E210" s="1"/>
      <c r="F210" s="1"/>
      <c r="G210" s="1"/>
      <c r="H210" s="15"/>
      <c r="I210" s="14" t="s">
        <v>92</v>
      </c>
      <c r="J210" s="1"/>
      <c r="K210" s="1"/>
      <c r="L210" s="1"/>
      <c r="M210" s="1"/>
      <c r="N210" s="15"/>
      <c r="O210" s="14" t="s">
        <v>98</v>
      </c>
      <c r="P210" s="1"/>
      <c r="Q210" s="1"/>
      <c r="R210" s="1"/>
      <c r="S210" s="15"/>
    </row>
    <row r="211" spans="2:19" x14ac:dyDescent="0.25">
      <c r="B211" s="14"/>
      <c r="C211" s="1" t="s">
        <v>89</v>
      </c>
      <c r="D211" s="1"/>
      <c r="E211" s="1"/>
      <c r="F211" s="1"/>
      <c r="G211" s="1"/>
      <c r="H211" s="15"/>
      <c r="I211" s="14" t="s">
        <v>93</v>
      </c>
      <c r="J211" s="1"/>
      <c r="K211" s="1"/>
      <c r="L211" s="1"/>
      <c r="M211" s="1"/>
      <c r="N211" s="15"/>
      <c r="O211" s="14"/>
      <c r="P211" s="1"/>
      <c r="Q211" s="1"/>
      <c r="R211" s="1"/>
      <c r="S211" s="15"/>
    </row>
    <row r="212" spans="2:19" ht="15.75" thickBot="1" x14ac:dyDescent="0.3">
      <c r="B212" s="14"/>
      <c r="C212" s="2" t="s">
        <v>4</v>
      </c>
      <c r="D212" s="2">
        <f>2/3</f>
        <v>0.66666666666666663</v>
      </c>
      <c r="E212" s="1"/>
      <c r="F212" s="1"/>
      <c r="G212" s="1"/>
      <c r="H212" s="15"/>
      <c r="I212" s="31" t="s">
        <v>95</v>
      </c>
      <c r="J212" s="1"/>
      <c r="K212" s="1"/>
      <c r="L212" s="1"/>
      <c r="M212" s="1"/>
      <c r="N212" s="15"/>
      <c r="O212" s="17" t="b">
        <v>1</v>
      </c>
      <c r="P212" s="19"/>
      <c r="Q212" s="19"/>
      <c r="R212" s="19"/>
      <c r="S212" s="20"/>
    </row>
    <row r="213" spans="2:19" ht="15.75" thickBot="1" x14ac:dyDescent="0.3">
      <c r="B213" s="14"/>
      <c r="C213" s="2" t="s">
        <v>58</v>
      </c>
      <c r="D213" s="2">
        <f>1-D212</f>
        <v>0.33333333333333337</v>
      </c>
      <c r="E213" s="1"/>
      <c r="F213" s="1" t="s">
        <v>90</v>
      </c>
      <c r="G213" s="1">
        <f>_xlfn.BINOM.DIST(2,D214,D212,0)</f>
        <v>0.16460905349794241</v>
      </c>
      <c r="H213" s="15"/>
      <c r="I213" s="30">
        <f>_xlfn.POISSON.DIST(2,2.3,0)</f>
        <v>0.26518464164681593</v>
      </c>
      <c r="J213" s="1"/>
      <c r="K213" s="1"/>
      <c r="L213" s="1"/>
      <c r="M213" s="1"/>
      <c r="N213" s="15"/>
      <c r="O213" s="11" t="s">
        <v>115</v>
      </c>
      <c r="P213" s="12"/>
      <c r="Q213" s="12"/>
      <c r="R213" s="12"/>
      <c r="S213" s="13"/>
    </row>
    <row r="214" spans="2:19" x14ac:dyDescent="0.25">
      <c r="B214" s="14"/>
      <c r="C214" s="2" t="s">
        <v>5</v>
      </c>
      <c r="D214" s="2">
        <v>5</v>
      </c>
      <c r="E214" s="1"/>
      <c r="F214" s="1"/>
      <c r="G214" s="1"/>
      <c r="H214" s="15"/>
      <c r="I214" s="14"/>
      <c r="J214" s="1"/>
      <c r="K214" s="1"/>
      <c r="L214" s="1"/>
      <c r="M214" s="1"/>
      <c r="N214" s="15"/>
      <c r="O214" s="14" t="s">
        <v>112</v>
      </c>
      <c r="P214" s="1"/>
      <c r="Q214" s="1"/>
      <c r="R214" s="1"/>
      <c r="S214" s="15"/>
    </row>
    <row r="215" spans="2:19" x14ac:dyDescent="0.25">
      <c r="B215" s="14"/>
      <c r="D215" s="1"/>
      <c r="E215" s="1"/>
      <c r="F215" s="1"/>
      <c r="G215" s="1"/>
      <c r="H215" s="15"/>
      <c r="I215" s="14" t="s">
        <v>96</v>
      </c>
      <c r="J215" s="1"/>
      <c r="K215" s="1"/>
      <c r="L215" s="1"/>
      <c r="M215" s="1"/>
      <c r="N215" s="15"/>
      <c r="O215" s="14" t="s">
        <v>113</v>
      </c>
      <c r="P215" s="1"/>
      <c r="Q215" s="1"/>
      <c r="R215" s="1"/>
      <c r="S215" s="15"/>
    </row>
    <row r="216" spans="2:19" ht="15.75" thickBot="1" x14ac:dyDescent="0.3">
      <c r="B216" s="17"/>
      <c r="C216" s="19" t="b">
        <v>0</v>
      </c>
      <c r="D216" s="19" t="s">
        <v>91</v>
      </c>
      <c r="E216" s="19"/>
      <c r="F216" s="19"/>
      <c r="G216" s="19"/>
      <c r="H216" s="20"/>
      <c r="I216" s="17"/>
      <c r="J216" s="19"/>
      <c r="K216" s="19"/>
      <c r="L216" s="19"/>
      <c r="M216" s="19"/>
      <c r="N216" s="20"/>
      <c r="O216" s="14" t="s">
        <v>114</v>
      </c>
      <c r="P216" s="1"/>
      <c r="Q216" s="1"/>
      <c r="R216" s="1"/>
      <c r="S216" s="15"/>
    </row>
    <row r="217" spans="2:19" x14ac:dyDescent="0.25">
      <c r="B217" s="11" t="s">
        <v>101</v>
      </c>
      <c r="C217" s="12"/>
      <c r="D217" s="12"/>
      <c r="E217" s="12"/>
      <c r="F217" s="12"/>
      <c r="G217" s="12"/>
      <c r="H217" s="12"/>
      <c r="I217" s="11" t="s">
        <v>111</v>
      </c>
      <c r="J217" s="12"/>
      <c r="K217" s="12"/>
      <c r="L217" s="12"/>
      <c r="M217" s="12"/>
      <c r="N217" s="13"/>
      <c r="O217" s="31" t="s">
        <v>116</v>
      </c>
      <c r="P217" s="1"/>
      <c r="Q217" s="1"/>
      <c r="R217" s="1"/>
      <c r="S217" s="15"/>
    </row>
    <row r="218" spans="2:19" x14ac:dyDescent="0.25">
      <c r="B218" s="14" t="s">
        <v>100</v>
      </c>
      <c r="C218" s="1"/>
      <c r="D218" s="1"/>
      <c r="E218" s="1"/>
      <c r="F218" s="1"/>
      <c r="G218" s="1"/>
      <c r="H218" s="1"/>
      <c r="I218" s="14" t="s">
        <v>103</v>
      </c>
      <c r="J218" s="1"/>
      <c r="K218" s="1"/>
      <c r="L218" s="1"/>
      <c r="M218" s="1"/>
      <c r="N218" s="15"/>
      <c r="O218" s="14">
        <f>_xlfn.POISSON.DIST(4,6,0)</f>
        <v>0.13385261753998337</v>
      </c>
      <c r="P218" s="1"/>
      <c r="Q218" s="1"/>
      <c r="R218" s="1"/>
      <c r="S218" s="15"/>
    </row>
    <row r="219" spans="2:19" ht="15.75" thickBot="1" x14ac:dyDescent="0.3">
      <c r="B219" s="21" t="s">
        <v>4</v>
      </c>
      <c r="C219" s="2">
        <f>1/4</f>
        <v>0.25</v>
      </c>
      <c r="D219" s="1"/>
      <c r="E219" s="1"/>
      <c r="F219" s="1"/>
      <c r="G219" s="1"/>
      <c r="H219" s="1"/>
      <c r="I219" s="14" t="s">
        <v>104</v>
      </c>
      <c r="J219" s="1"/>
      <c r="K219" s="1"/>
      <c r="L219" s="1"/>
      <c r="M219" s="1"/>
      <c r="N219" s="15"/>
      <c r="O219" s="14"/>
      <c r="P219" s="1"/>
      <c r="Q219" s="1"/>
      <c r="R219" s="1"/>
      <c r="S219" s="15"/>
    </row>
    <row r="220" spans="2:19" ht="15.75" thickBot="1" x14ac:dyDescent="0.3">
      <c r="B220" s="21" t="s">
        <v>58</v>
      </c>
      <c r="C220" s="2">
        <f>1-C219</f>
        <v>0.75</v>
      </c>
      <c r="D220" s="30">
        <f>_xlfn.BINOM.DIST(3,C221,C219,0)</f>
        <v>0.25028228759765631</v>
      </c>
      <c r="E220" s="1"/>
      <c r="F220" s="1" t="b">
        <v>0</v>
      </c>
      <c r="G220" s="1"/>
      <c r="H220" s="1"/>
      <c r="I220" s="14" t="s">
        <v>105</v>
      </c>
      <c r="J220" s="1"/>
      <c r="K220" s="1"/>
      <c r="L220" s="1"/>
      <c r="M220" s="1"/>
      <c r="N220" s="15"/>
      <c r="O220" s="14" t="b">
        <v>0</v>
      </c>
      <c r="P220" s="1"/>
      <c r="Q220" s="1"/>
      <c r="R220" s="1"/>
      <c r="S220" s="15"/>
    </row>
    <row r="221" spans="2:19" x14ac:dyDescent="0.25">
      <c r="B221" s="21" t="s">
        <v>5</v>
      </c>
      <c r="C221" s="2">
        <v>10</v>
      </c>
      <c r="D221" s="1"/>
      <c r="E221" s="1" t="s">
        <v>102</v>
      </c>
      <c r="F221" s="1"/>
      <c r="G221" s="1"/>
      <c r="H221" s="1"/>
      <c r="I221" s="21" t="s">
        <v>106</v>
      </c>
      <c r="J221" s="2">
        <v>80</v>
      </c>
      <c r="K221" s="1" t="b">
        <v>0</v>
      </c>
      <c r="L221" s="1"/>
      <c r="M221" s="1"/>
      <c r="N221" s="15"/>
      <c r="O221" s="14" t="s">
        <v>117</v>
      </c>
      <c r="P221" s="1"/>
      <c r="Q221" s="1"/>
      <c r="R221" s="1"/>
      <c r="S221" s="15"/>
    </row>
    <row r="222" spans="2:19" x14ac:dyDescent="0.25">
      <c r="B222" s="14"/>
      <c r="C222" s="1"/>
      <c r="D222" s="1"/>
      <c r="E222" s="1"/>
      <c r="F222" s="1"/>
      <c r="G222" s="1"/>
      <c r="H222" s="1"/>
      <c r="I222" s="21" t="s">
        <v>107</v>
      </c>
      <c r="J222" s="2">
        <v>5.6</v>
      </c>
      <c r="K222" s="1" t="s">
        <v>109</v>
      </c>
      <c r="L222" s="1"/>
      <c r="M222" s="1"/>
      <c r="N222" s="15"/>
      <c r="O222" s="14"/>
      <c r="P222" s="1"/>
      <c r="Q222" s="1"/>
      <c r="R222" s="1"/>
      <c r="S222" s="15"/>
    </row>
    <row r="223" spans="2:19" ht="15.75" thickBot="1" x14ac:dyDescent="0.3">
      <c r="B223" s="17"/>
      <c r="C223" s="19"/>
      <c r="D223" s="19"/>
      <c r="E223" s="19"/>
      <c r="F223" s="19"/>
      <c r="G223" s="19"/>
      <c r="H223" s="19"/>
      <c r="I223" s="22" t="s">
        <v>108</v>
      </c>
      <c r="J223" s="23">
        <f>0.93*80</f>
        <v>74.400000000000006</v>
      </c>
      <c r="K223" s="19" t="s">
        <v>110</v>
      </c>
      <c r="L223" s="19"/>
      <c r="M223" s="19"/>
      <c r="N223" s="20"/>
      <c r="O223" s="17"/>
      <c r="P223" s="19"/>
      <c r="Q223" s="19"/>
      <c r="R223" s="19"/>
      <c r="S223" s="20"/>
    </row>
    <row r="224" spans="2:19" ht="15.75" thickBot="1" x14ac:dyDescent="0.3">
      <c r="B224" s="11" t="s">
        <v>119</v>
      </c>
      <c r="C224" s="12"/>
      <c r="D224" s="12"/>
      <c r="E224" s="12"/>
      <c r="F224" s="12"/>
      <c r="G224" s="12"/>
      <c r="H224" s="13"/>
      <c r="I224" s="11" t="s">
        <v>122</v>
      </c>
      <c r="J224" s="12"/>
      <c r="K224" s="12"/>
      <c r="L224" s="12"/>
      <c r="M224" s="12"/>
      <c r="N224" s="13"/>
      <c r="O224" s="11" t="s">
        <v>125</v>
      </c>
      <c r="P224" s="12"/>
      <c r="Q224" s="12"/>
      <c r="R224" s="12"/>
      <c r="S224" s="13"/>
    </row>
    <row r="225" spans="2:19" ht="15.75" thickBot="1" x14ac:dyDescent="0.3">
      <c r="B225" s="14" t="s">
        <v>118</v>
      </c>
      <c r="C225" s="1"/>
      <c r="D225" s="1"/>
      <c r="E225" s="1"/>
      <c r="F225" s="1"/>
      <c r="G225" s="30">
        <f>_xlfn.NORM.S.INV(0.25)</f>
        <v>-0.67448975019608193</v>
      </c>
      <c r="H225" s="15"/>
      <c r="I225" s="14" t="s">
        <v>121</v>
      </c>
      <c r="J225" s="1"/>
      <c r="K225" s="1"/>
      <c r="L225" s="1"/>
      <c r="M225" s="1"/>
      <c r="N225" s="15"/>
      <c r="O225" s="14" t="s">
        <v>123</v>
      </c>
      <c r="P225" s="1"/>
      <c r="Q225" s="1"/>
      <c r="R225" s="1"/>
      <c r="S225" s="15"/>
    </row>
    <row r="226" spans="2:19" x14ac:dyDescent="0.25">
      <c r="B226" s="14"/>
      <c r="C226" s="1"/>
      <c r="D226" s="1"/>
      <c r="E226" s="1"/>
      <c r="F226" s="1"/>
      <c r="G226" s="1"/>
      <c r="H226" s="15"/>
      <c r="I226" s="21" t="s">
        <v>106</v>
      </c>
      <c r="J226" s="2">
        <v>90</v>
      </c>
      <c r="K226" s="1"/>
      <c r="L226" s="1" t="b">
        <v>0</v>
      </c>
      <c r="M226" s="1"/>
      <c r="N226" s="15"/>
      <c r="O226" s="14" t="s">
        <v>124</v>
      </c>
      <c r="P226" s="1"/>
      <c r="Q226" s="1"/>
      <c r="R226" s="1"/>
      <c r="S226" s="15"/>
    </row>
    <row r="227" spans="2:19" ht="15.75" thickBot="1" x14ac:dyDescent="0.3">
      <c r="B227" s="17"/>
      <c r="C227" s="19" t="b">
        <v>0</v>
      </c>
      <c r="D227" s="19" t="s">
        <v>120</v>
      </c>
      <c r="E227" s="19"/>
      <c r="F227" s="19"/>
      <c r="G227" s="19"/>
      <c r="H227" s="20"/>
      <c r="I227" s="21" t="s">
        <v>107</v>
      </c>
      <c r="J227" s="7">
        <f>0.1*J226</f>
        <v>9</v>
      </c>
      <c r="K227" s="1" t="s">
        <v>128</v>
      </c>
      <c r="M227" s="1"/>
      <c r="N227" s="15"/>
      <c r="O227" s="14"/>
      <c r="P227" s="1"/>
      <c r="Q227" s="1" t="b">
        <v>0</v>
      </c>
      <c r="R227" s="1"/>
      <c r="S227" s="15"/>
    </row>
    <row r="228" spans="2:19" ht="15.75" thickBot="1" x14ac:dyDescent="0.3">
      <c r="B228" s="11" t="s">
        <v>127</v>
      </c>
      <c r="C228" s="12"/>
      <c r="D228" s="12"/>
      <c r="E228" s="12"/>
      <c r="F228" s="12"/>
      <c r="G228" s="12"/>
      <c r="H228" s="13"/>
      <c r="I228" s="33" t="s">
        <v>108</v>
      </c>
      <c r="J228" s="25">
        <f>(1-0.1)*J226</f>
        <v>81</v>
      </c>
      <c r="K228" s="32" t="s">
        <v>129</v>
      </c>
      <c r="L228" s="19"/>
      <c r="M228" s="19"/>
      <c r="N228" s="20"/>
      <c r="O228" s="17" t="s">
        <v>130</v>
      </c>
      <c r="P228" s="19"/>
      <c r="Q228" s="19"/>
      <c r="R228" s="19"/>
      <c r="S228" s="20"/>
    </row>
    <row r="229" spans="2:19" ht="15.75" thickBot="1" x14ac:dyDescent="0.3">
      <c r="B229" s="14" t="s">
        <v>126</v>
      </c>
      <c r="C229" s="1"/>
      <c r="D229" s="1"/>
      <c r="E229" s="1"/>
      <c r="F229" s="1"/>
      <c r="G229" s="30">
        <f>_xlfn.NORM.INV(0.3,10,2)</f>
        <v>8.9511989745839173</v>
      </c>
      <c r="H229" s="15"/>
    </row>
    <row r="230" spans="2:19" x14ac:dyDescent="0.25">
      <c r="B230" s="14"/>
      <c r="C230" s="1"/>
      <c r="D230" s="1"/>
      <c r="E230" s="1"/>
      <c r="F230" s="1"/>
      <c r="G230" s="1"/>
      <c r="H230" s="15"/>
    </row>
    <row r="231" spans="2:19" x14ac:dyDescent="0.25">
      <c r="B231" s="14"/>
      <c r="C231" s="1" t="b">
        <v>0</v>
      </c>
      <c r="D231" s="1"/>
      <c r="E231" s="1"/>
      <c r="F231" s="1"/>
      <c r="G231" s="1"/>
      <c r="H231" s="15"/>
    </row>
    <row r="232" spans="2:19" ht="15.75" thickBot="1" x14ac:dyDescent="0.3">
      <c r="B232" s="17" t="s">
        <v>131</v>
      </c>
      <c r="C232" s="19"/>
      <c r="D232" s="19"/>
      <c r="E232" s="19"/>
      <c r="F232" s="19"/>
      <c r="G232" s="19"/>
      <c r="H232" s="20"/>
    </row>
    <row r="234" spans="2:19" ht="26.25" x14ac:dyDescent="0.4">
      <c r="C234" s="34" t="s">
        <v>138</v>
      </c>
    </row>
    <row r="235" spans="2:19" x14ac:dyDescent="0.25">
      <c r="B235" t="s">
        <v>132</v>
      </c>
    </row>
    <row r="236" spans="2:19" x14ac:dyDescent="0.25">
      <c r="B236" t="s">
        <v>133</v>
      </c>
    </row>
    <row r="237" spans="2:19" x14ac:dyDescent="0.25">
      <c r="B237" t="s">
        <v>134</v>
      </c>
    </row>
    <row r="238" spans="2:19" x14ac:dyDescent="0.25">
      <c r="B238" t="s">
        <v>135</v>
      </c>
    </row>
    <row r="239" spans="2:19" x14ac:dyDescent="0.25">
      <c r="B239" t="s">
        <v>136</v>
      </c>
    </row>
    <row r="240" spans="2:19" x14ac:dyDescent="0.25">
      <c r="B240" t="s">
        <v>137</v>
      </c>
    </row>
    <row r="242" spans="2:8" x14ac:dyDescent="0.25">
      <c r="B242" s="8" t="s">
        <v>0</v>
      </c>
      <c r="C242" s="2" t="s">
        <v>1</v>
      </c>
      <c r="E242" t="s">
        <v>21</v>
      </c>
      <c r="F242" s="2">
        <v>7</v>
      </c>
      <c r="G242" s="28">
        <f>_xlfn.NORM.DIST(7,10,2,1)</f>
        <v>6.6807201268858057E-2</v>
      </c>
    </row>
    <row r="243" spans="2:8" x14ac:dyDescent="0.25">
      <c r="B243" s="2">
        <v>4</v>
      </c>
      <c r="C243" s="2">
        <f>_xlfn.NORM.DIST(B243,10,2,0)</f>
        <v>2.2159242059690038E-3</v>
      </c>
      <c r="G243" s="4">
        <f>1-G242</f>
        <v>0.93319279873114191</v>
      </c>
    </row>
    <row r="244" spans="2:8" x14ac:dyDescent="0.25">
      <c r="B244" s="2">
        <v>6</v>
      </c>
      <c r="C244" s="2">
        <f t="shared" ref="C244:C249" si="11">_xlfn.NORM.DIST(B244,10,2,0)</f>
        <v>2.6995483256594031E-2</v>
      </c>
    </row>
    <row r="245" spans="2:8" x14ac:dyDescent="0.25">
      <c r="B245" s="2">
        <v>8</v>
      </c>
      <c r="C245" s="2">
        <f t="shared" si="11"/>
        <v>0.12098536225957168</v>
      </c>
      <c r="E245" t="s">
        <v>20</v>
      </c>
      <c r="F245" s="2">
        <v>13</v>
      </c>
      <c r="G245" s="2">
        <f>_xlfn.NORM.DIST(13,10,2,1)</f>
        <v>0.93319279873114191</v>
      </c>
    </row>
    <row r="246" spans="2:8" x14ac:dyDescent="0.25">
      <c r="B246" s="2">
        <v>10</v>
      </c>
      <c r="C246" s="2">
        <f t="shared" si="11"/>
        <v>0.19947114020071635</v>
      </c>
      <c r="F246" s="2">
        <v>8</v>
      </c>
      <c r="G246" s="2">
        <f>_xlfn.NORM.DIST(8,10,2,1)</f>
        <v>0.15865525393145699</v>
      </c>
    </row>
    <row r="247" spans="2:8" x14ac:dyDescent="0.25">
      <c r="B247" s="2">
        <v>12</v>
      </c>
      <c r="C247" s="2">
        <f t="shared" si="11"/>
        <v>0.12098536225957168</v>
      </c>
      <c r="G247" s="4">
        <f>G245-G246</f>
        <v>0.77453754479968495</v>
      </c>
    </row>
    <row r="248" spans="2:8" x14ac:dyDescent="0.25">
      <c r="B248" s="2">
        <v>14</v>
      </c>
      <c r="C248" s="2">
        <f t="shared" si="11"/>
        <v>2.6995483256594031E-2</v>
      </c>
    </row>
    <row r="249" spans="2:8" x14ac:dyDescent="0.25">
      <c r="B249" s="2">
        <v>16</v>
      </c>
      <c r="C249" s="2">
        <f t="shared" si="11"/>
        <v>2.2159242059690038E-3</v>
      </c>
    </row>
    <row r="251" spans="2:8" x14ac:dyDescent="0.25">
      <c r="B251" s="2" t="s">
        <v>40</v>
      </c>
      <c r="C251" s="2" t="s">
        <v>12</v>
      </c>
      <c r="E251" t="s">
        <v>22</v>
      </c>
      <c r="F251" s="2">
        <v>7</v>
      </c>
      <c r="G251" s="7">
        <f>(F251-10)/2</f>
        <v>-1.5</v>
      </c>
      <c r="H251" s="2">
        <f>_xlfn.NORM.DIST(G251,0,1,1)</f>
        <v>6.6807201268858057E-2</v>
      </c>
    </row>
    <row r="252" spans="2:8" x14ac:dyDescent="0.25">
      <c r="B252" s="2">
        <v>-3</v>
      </c>
      <c r="C252" s="2">
        <f>_xlfn.NORM.S.DIST(B252,0)</f>
        <v>4.4318484119380075E-3</v>
      </c>
      <c r="H252" s="4">
        <f>1-H251</f>
        <v>0.93319279873114191</v>
      </c>
    </row>
    <row r="253" spans="2:8" x14ac:dyDescent="0.25">
      <c r="B253" s="2">
        <v>-2</v>
      </c>
      <c r="C253" s="2">
        <f t="shared" ref="C253:C258" si="12">_xlfn.NORM.S.DIST(B253,0)</f>
        <v>5.3990966513188063E-2</v>
      </c>
    </row>
    <row r="254" spans="2:8" x14ac:dyDescent="0.25">
      <c r="B254" s="2">
        <v>-1</v>
      </c>
      <c r="C254" s="2">
        <f t="shared" si="12"/>
        <v>0.24197072451914337</v>
      </c>
      <c r="F254" s="2">
        <v>13</v>
      </c>
      <c r="G254" s="7">
        <f>(F254-10)/2</f>
        <v>1.5</v>
      </c>
      <c r="H254" s="2">
        <f>_xlfn.NORM.DIST(G254,0,1,1)</f>
        <v>0.93319279873114191</v>
      </c>
    </row>
    <row r="255" spans="2:8" x14ac:dyDescent="0.25">
      <c r="B255" s="2">
        <v>0</v>
      </c>
      <c r="C255" s="2">
        <f t="shared" si="12"/>
        <v>0.3989422804014327</v>
      </c>
      <c r="F255" s="2">
        <v>8</v>
      </c>
      <c r="G255" s="7">
        <f>(F255-10)/2</f>
        <v>-1</v>
      </c>
      <c r="H255" s="2">
        <f>_xlfn.NORM.DIST(G255,0,1,1)</f>
        <v>0.15865525393145699</v>
      </c>
    </row>
    <row r="256" spans="2:8" x14ac:dyDescent="0.25">
      <c r="B256" s="2">
        <v>1</v>
      </c>
      <c r="C256" s="2">
        <f t="shared" si="12"/>
        <v>0.24197072451914337</v>
      </c>
      <c r="H256" s="4">
        <f>H254-H255</f>
        <v>0.77453754479968495</v>
      </c>
    </row>
    <row r="257" spans="2:3" x14ac:dyDescent="0.25">
      <c r="B257" s="2">
        <v>2</v>
      </c>
      <c r="C257" s="2">
        <f t="shared" si="12"/>
        <v>5.3990966513188063E-2</v>
      </c>
    </row>
    <row r="258" spans="2:3" x14ac:dyDescent="0.25">
      <c r="B258" s="2">
        <v>3</v>
      </c>
      <c r="C258" s="2">
        <f t="shared" si="12"/>
        <v>4.4318484119380075E-3</v>
      </c>
    </row>
  </sheetData>
  <mergeCells count="14">
    <mergeCell ref="AJ2:AV2"/>
    <mergeCell ref="AX2:BK2"/>
    <mergeCell ref="C7:D7"/>
    <mergeCell ref="C8:D8"/>
    <mergeCell ref="B2:Q2"/>
    <mergeCell ref="S2:AH2"/>
    <mergeCell ref="B208:H208"/>
    <mergeCell ref="B207:F207"/>
    <mergeCell ref="B164:F164"/>
    <mergeCell ref="B186:I186"/>
    <mergeCell ref="C18:D18"/>
    <mergeCell ref="C19:D19"/>
    <mergeCell ref="C26:D26"/>
    <mergeCell ref="C27:D2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2021-08-25T23:26:41Z</dcterms:created>
  <dcterms:modified xsi:type="dcterms:W3CDTF">2021-09-29T20:09:57Z</dcterms:modified>
</cp:coreProperties>
</file>