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4.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trlProps/ctrlProp55.xml" ContentType="application/vnd.ms-excel.controlproperties+xml"/>
  <Override PartName="/xl/comments2.xml" ContentType="application/vnd.openxmlformats-officedocument.spreadsheetml.comments+xml"/>
  <Override PartName="/xl/drawings/drawing9.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10.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drawings/drawing11.xml" ContentType="application/vnd.openxmlformats-officedocument.drawing+xml"/>
  <Override PartName="/xl/comments3.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omments4.xml" ContentType="application/vnd.openxmlformats-officedocument.spreadsheetml.comments+xml"/>
  <Override PartName="/xl/comments5.xml" ContentType="application/vnd.openxmlformats-officedocument.spreadsheetml.comments+xml"/>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hidePivotFieldList="1"/>
  <mc:AlternateContent xmlns:mc="http://schemas.openxmlformats.org/markup-compatibility/2006">
    <mc:Choice Requires="x15">
      <x15ac:absPath xmlns:x15ac="http://schemas.microsoft.com/office/spreadsheetml/2010/11/ac" url="D:\Code\yg-sh-excel\"/>
    </mc:Choice>
  </mc:AlternateContent>
  <xr:revisionPtr revIDLastSave="0" documentId="10_ncr:8100000_{D371D4EF-8E4B-4E8F-BEE7-CBE43E719A31}" xr6:coauthVersionLast="33" xr6:coauthVersionMax="33" xr10:uidLastSave="{00000000-0000-0000-0000-000000000000}"/>
  <bookViews>
    <workbookView xWindow="0" yWindow="828" windowWidth="6120" windowHeight="5952" tabRatio="825" firstSheet="8" activeTab="8" xr2:uid="{00000000-000D-0000-FFFF-FFFF00000000}"/>
  </bookViews>
  <sheets>
    <sheet name="封面" sheetId="1" r:id="rId1"/>
    <sheet name="模型框架" sheetId="102" r:id="rId2"/>
    <sheet name="修改记录" sheetId="55" state="hidden" r:id="rId3"/>
    <sheet name="=&gt;第一部分" sheetId="117" r:id="rId4"/>
    <sheet name="多维联动分析" sheetId="80" r:id="rId5"/>
    <sheet name="Sheet1" sheetId="119" state="hidden" r:id="rId6"/>
    <sheet name="经济活动分析" sheetId="121" state="hidden" r:id="rId7"/>
    <sheet name="动因指标对成果指标影响分析" sheetId="93" r:id="rId8"/>
    <sheet name="动态展示" sheetId="122" r:id="rId9"/>
    <sheet name="关键业绩指标滚动预判" sheetId="109" r:id="rId10"/>
    <sheet name="动因指标和成果指标内部影响分析" sheetId="94" r:id="rId11"/>
    <sheet name="核价与实际情况对比分析" sheetId="92" r:id="rId12"/>
    <sheet name="投资能力规划" sheetId="81" r:id="rId13"/>
    <sheet name="敏感性分析" sheetId="56" state="hidden" r:id="rId14"/>
    <sheet name="=&gt;预算管理、风险监控" sheetId="116" r:id="rId15"/>
    <sheet name="损益预算完成情况" sheetId="114" r:id="rId16"/>
    <sheet name="资产负债预算完成情况" sheetId="115" r:id="rId17"/>
    <sheet name="净资产收益率完成情况" sheetId="120" r:id="rId18"/>
    <sheet name="预算完成风险预警" sheetId="111" r:id="rId19"/>
    <sheet name="购售电分析" sheetId="112" r:id="rId20"/>
    <sheet name="购售电分析图表" sheetId="113" r:id="rId21"/>
    <sheet name="税金预测" sheetId="110" r:id="rId22"/>
    <sheet name="=&gt;第二部分" sheetId="118" r:id="rId23"/>
    <sheet name="=&gt;数据输入区" sheetId="97" r:id="rId24"/>
    <sheet name="长期债务表" sheetId="42" state="hidden" r:id="rId25"/>
    <sheet name="假设" sheetId="30" r:id="rId26"/>
    <sheet name="固定资产结构及折旧参数" sheetId="105" r:id="rId27"/>
    <sheet name="发展投入" sheetId="17" r:id="rId28"/>
    <sheet name="输配电价测算参数" sheetId="74" r:id="rId29"/>
    <sheet name="投资与电量关系测算数据" sheetId="96" r:id="rId30"/>
    <sheet name="=&gt;分析测算区" sheetId="98" state="hidden" r:id="rId31"/>
    <sheet name="=&gt;结果输出区" sheetId="99" r:id="rId32"/>
    <sheet name="输配电价测算模型" sheetId="75" r:id="rId33"/>
    <sheet name="损益表" sheetId="47" r:id="rId34"/>
    <sheet name="资产负债表" sheetId="51" r:id="rId35"/>
    <sheet name="现金流量表" sheetId="39" r:id="rId36"/>
    <sheet name="主要评级指标表" sheetId="88" r:id="rId37"/>
    <sheet name="主要经济指标表" sheetId="89" r:id="rId38"/>
    <sheet name="国资委考核指标" sheetId="79" r:id="rId39"/>
    <sheet name="变动统计" sheetId="103" r:id="rId40"/>
    <sheet name="变动统计2" sheetId="104" r:id="rId41"/>
    <sheet name="=&gt;测算过程区" sheetId="100" r:id="rId42"/>
    <sheet name="准许收入假设" sheetId="64" r:id="rId43"/>
    <sheet name="实际情况下输配电价Ⅰ" sheetId="90" r:id="rId44"/>
    <sheet name="电量电价" sheetId="68" state="hidden" r:id="rId45"/>
    <sheet name="实际收入" sheetId="4" r:id="rId46"/>
    <sheet name="固定资产" sheetId="48" r:id="rId47"/>
    <sheet name="债务" sheetId="37" r:id="rId48"/>
    <sheet name="现金缺口测算" sheetId="45" r:id="rId49"/>
    <sheet name="=&gt;历史数据区" sheetId="101" r:id="rId50"/>
    <sheet name="历史资产负债表" sheetId="14" r:id="rId51"/>
    <sheet name="历史利润表" sheetId="9" r:id="rId52"/>
    <sheet name="历史现金流量表" sheetId="65" r:id="rId53"/>
    <sheet name="关键参数底稿" sheetId="41" r:id="rId54"/>
    <sheet name="历史发展投入" sheetId="73" state="hidden" r:id="rId55"/>
    <sheet name="=&gt;明细信息区" sheetId="63" state="hidden" r:id="rId56"/>
    <sheet name="17分部" sheetId="70" state="hidden" r:id="rId57"/>
    <sheet name="17成本" sheetId="71" state="hidden" r:id="rId58"/>
    <sheet name="16分部" sheetId="66" state="hidden" r:id="rId59"/>
    <sheet name="16成本" sheetId="67" state="hidden" r:id="rId60"/>
  </sheets>
  <externalReferences>
    <externalReference r:id="rId61"/>
    <externalReference r:id="rId62"/>
  </externalReferences>
  <definedNames>
    <definedName name="_xlnm._FilterDatabase" localSheetId="42" hidden="1">准许收入假设!$B$2:$E$3</definedName>
    <definedName name="AS2DocOpenMode" hidden="1">"AS2DocumentEdit"</definedName>
    <definedName name="assetcase" localSheetId="28">#REF!</definedName>
    <definedName name="assetcase" localSheetId="32">#REF!</definedName>
    <definedName name="assetcase">#REF!</definedName>
    <definedName name="assetocase" localSheetId="28">#REF!</definedName>
    <definedName name="assetocase" localSheetId="32">#REF!</definedName>
    <definedName name="assetocase">#REF!</definedName>
    <definedName name="czcase" localSheetId="28">#REF!</definedName>
    <definedName name="czcase" localSheetId="32">#REF!</definedName>
    <definedName name="czcase">#REF!</definedName>
    <definedName name="czcaset" localSheetId="28">#REF!</definedName>
    <definedName name="czcaset" localSheetId="32">#REF!</definedName>
    <definedName name="czcaset">#REF!</definedName>
    <definedName name="_xlnm.Database" localSheetId="57" hidden="1">#REF!</definedName>
    <definedName name="_xlnm.Database" localSheetId="56" hidden="1">#REF!</definedName>
    <definedName name="_xlnm.Database" localSheetId="44" hidden="1">#REF!</definedName>
    <definedName name="_xlnm.Database" localSheetId="54" hidden="1">#REF!</definedName>
    <definedName name="_xlnm.Database" localSheetId="52" hidden="1">#REF!</definedName>
    <definedName name="_xlnm.Database" localSheetId="2" hidden="1">#REF!</definedName>
    <definedName name="_xlnm.Database" localSheetId="42" hidden="1">#REF!</definedName>
    <definedName name="_xlnm.Database" hidden="1">#REF!</definedName>
    <definedName name="IQ_ADDIN" hidden="1">"AUTO"</definedName>
    <definedName name="IQ_AE_BR" hidden="1">"c10"</definedName>
    <definedName name="IQ_AP_BR" hidden="1">"c34"</definedName>
    <definedName name="IQ_AR_BR" hidden="1">"c41"</definedName>
    <definedName name="IQ_ASSET_WRITEDOWN_BR" hidden="1">"c50"</definedName>
    <definedName name="IQ_ASSET_WRITEDOWN_CF_BR" hidden="1">"c53"</definedName>
    <definedName name="IQ_CAPEX_BR" hidden="1">"c111"</definedName>
    <definedName name="IQ_CH" hidden="1">110000</definedName>
    <definedName name="IQ_CHANGE_AP_BR" hidden="1">"c135"</definedName>
    <definedName name="IQ_CHANGE_AR_BR" hidden="1">"c142"</definedName>
    <definedName name="IQ_CHANGE_OTHER_NET_OPER_ASSETS_BR" hidden="1">"c3595"</definedName>
    <definedName name="IQ_CHANGE_OTHER_WORK_CAP_BR" hidden="1">"c154"</definedName>
    <definedName name="IQ_COMMERCIAL_DOM" hidden="1">"c177"</definedName>
    <definedName name="IQ_COMMERCIAL_MORT" hidden="1">"c179"</definedName>
    <definedName name="IQ_COMMON_APIC_BR" hidden="1">"c185"</definedName>
    <definedName name="IQ_COMMON_ISSUED_BR" hidden="1">"c199"</definedName>
    <definedName name="IQ_COMMON_REP_BR" hidden="1">"c208"</definedName>
    <definedName name="IQ_CQ" hidden="1">5000</definedName>
    <definedName name="IQ_CURRENCY_GAIN_BR" hidden="1">"c236"</definedName>
    <definedName name="IQ_CURRENT_PORT_DEBT_BR" hidden="1">"c1567"</definedName>
    <definedName name="IQ_CY" hidden="1">10000</definedName>
    <definedName name="IQ_DA_BR" hidden="1">"c248"</definedName>
    <definedName name="IQ_DA_CF_BR" hidden="1">"c251"</definedName>
    <definedName name="IQ_DA_SUPPL_BR" hidden="1">"c260"</definedName>
    <definedName name="IQ_DA_SUPPL_CF_BR" hidden="1">"c263"</definedName>
    <definedName name="IQ_DAILY" hidden="1">500000</definedName>
    <definedName name="IQ_DEF_AMORT_BR" hidden="1">"c278"</definedName>
    <definedName name="IQ_DEF_CHARGES_BR" hidden="1">"c288"</definedName>
    <definedName name="IQ_DEF_CHARGES_LT_BR" hidden="1">"c294"</definedName>
    <definedName name="IQ_DEF_TAX_ASSET_LT_BR" hidden="1">"c304"</definedName>
    <definedName name="IQ_DEF_TAX_LIAB_LT_BR" hidden="1">"c315"</definedName>
    <definedName name="IQ_DNTM" hidden="1">700000</definedName>
    <definedName name="IQ_EBT_BR" hidden="1">"c378"</definedName>
    <definedName name="IQ_EBT_EXCL_BR" hidden="1">"c381"</definedName>
    <definedName name="IQ_EXTRA_ACC_ITEMS_BR" hidden="1">"c412"</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GAIN_ASSETS_BR" hidden="1">"c454"</definedName>
    <definedName name="IQ_GAIN_ASSETS_CF_BR" hidden="1">"c457"</definedName>
    <definedName name="IQ_GAIN_ASSETS_REV_BR" hidden="1">"c474"</definedName>
    <definedName name="IQ_GAIN_INVEST_BR" hidden="1">"c1464"</definedName>
    <definedName name="IQ_GAIN_INVEST_CF_BR" hidden="1">"c482"</definedName>
    <definedName name="IQ_GAIN_INVEST_REV_BR" hidden="1">"c496"</definedName>
    <definedName name="IQ_GCP_CDS_MDS_DATE" hidden="1">"c27273"</definedName>
    <definedName name="IQ_GCP_CDS_MDS_SCORE" hidden="1">"c27272"</definedName>
    <definedName name="IQ_GCP_CDS_MDS_Z_SCORE" hidden="1">"c27274"</definedName>
    <definedName name="IQ_GW_AMORT_BR" hidden="1">"c532"</definedName>
    <definedName name="IQ_GW_INTAN_AMORT_BR" hidden="1">"c1470"</definedName>
    <definedName name="IQ_GW_INTAN_AMORT_CF_BR" hidden="1">"c1473"</definedName>
    <definedName name="IQ_INC_EQUITY_BR" hidden="1">"c550"</definedName>
    <definedName name="IQ_INDEX_PROVIDED_DIVIDEND" hidden="1">"c19252"</definedName>
    <definedName name="IQ_INDEXCONSTITUENT_CLOSEPRICE" hidden="1">"c19241"</definedName>
    <definedName name="IQ_INS_SETTLE_BR" hidden="1">"c572"</definedName>
    <definedName name="IQ_INT_EXP_BR" hidden="1">"c586"</definedName>
    <definedName name="IQ_INT_INC_BR" hidden="1">"c593"</definedName>
    <definedName name="IQ_INVEST_LOANS_CF_BR" hidden="1">"c630"</definedName>
    <definedName name="IQ_INVEST_SECURITY_CF_BR" hidden="1">"c639"</definedName>
    <definedName name="IQ_LATESTK" hidden="1">1000</definedName>
    <definedName name="IQ_LATESTQ" hidden="1">500</definedName>
    <definedName name="IQ_LEGAL_SETTLE_BR" hidden="1">"c649"</definedName>
    <definedName name="IQ_LOANS_CF_BR" hidden="1">"c661"</definedName>
    <definedName name="IQ_LT_DEBT_BR" hidden="1">"c676"</definedName>
    <definedName name="IQ_LT_DEBT_ISSUED_BR" hidden="1">"c683"</definedName>
    <definedName name="IQ_LT_DEBT_REPAID_BR" hidden="1">"c691"</definedName>
    <definedName name="IQ_LT_INVEST_BR" hidden="1">"c698"</definedName>
    <definedName name="IQ_LTM" hidden="1">2000</definedName>
    <definedName name="IQ_LTMMONTH" hidden="1">120000</definedName>
    <definedName name="IQ_MERGER_BR" hidden="1">"c715"</definedName>
    <definedName name="IQ_MERGER_RESTRUCTURE_BR" hidden="1">"c721"</definedName>
    <definedName name="IQ_MINORITY_INTEREST_BR" hidden="1">"c729"</definedName>
    <definedName name="IQ_MONTH" hidden="1">15000</definedName>
    <definedName name="IQ_MTD" hidden="1">800000</definedName>
    <definedName name="IQ_NAMES_REVISION_DATE_" hidden="1">42827.5621759259</definedName>
    <definedName name="IQ_NET_DEBT_ISSUED_BR" hidden="1">"c753"</definedName>
    <definedName name="IQ_NET_INT_INC_BR" hidden="1">"c765"</definedName>
    <definedName name="IQ_NTM" hidden="1">6000</definedName>
    <definedName name="IQ_OPENED55" hidden="1">1</definedName>
    <definedName name="IQ_OPER_INC_BR" hidden="1">"c850"</definedName>
    <definedName name="IQ_OTHER_AMORT_BR" hidden="1">"c5566"</definedName>
    <definedName name="IQ_OTHER_ASSETS_BR" hidden="1">"c862"</definedName>
    <definedName name="IQ_OTHER_CA_SUPPL_BR" hidden="1">"c871"</definedName>
    <definedName name="IQ_OTHER_CL_SUPPL_BR" hidden="1">"c880"</definedName>
    <definedName name="IQ_OTHER_EQUITY_BR" hidden="1">"c888"</definedName>
    <definedName name="IQ_OTHER_FINANCE_ACT_BR" hidden="1">"c895"</definedName>
    <definedName name="IQ_OTHER_FINANCE_ACT_SUPPL_BR" hidden="1">"c901"</definedName>
    <definedName name="IQ_OTHER_INTAN_BR" hidden="1">"c909"</definedName>
    <definedName name="IQ_OTHER_INVEST_ACT_BR" hidden="1">"c918"</definedName>
    <definedName name="IQ_OTHER_INVEST_ACT_SUPPL_BR" hidden="1">"c924"</definedName>
    <definedName name="IQ_OTHER_LIAB_BR" hidden="1">"c932"</definedName>
    <definedName name="IQ_OTHER_LIAB_LT_BR" hidden="1">"c937"</definedName>
    <definedName name="IQ_OTHER_LT_ASSETS_BR" hidden="1">"c948"</definedName>
    <definedName name="IQ_OTHER_MINING_REVENUE_COAL" hidden="1">"c15931"</definedName>
    <definedName name="IQ_OTHER_NON_OPER_EXP_BR" hidden="1">"c957"</definedName>
    <definedName name="IQ_OTHER_NON_OPER_EXP_SUPPL_BR" hidden="1">"c962"</definedName>
    <definedName name="IQ_OTHER_OPER_ACT_BR" hidden="1">"c985"</definedName>
    <definedName name="IQ_OTHER_OPER_BR" hidden="1">"c990"</definedName>
    <definedName name="IQ_OTHER_OPER_SUPPL_BR" hidden="1">"c994"</definedName>
    <definedName name="IQ_OTHER_OPER_TOT_BR" hidden="1">"c1000"</definedName>
    <definedName name="IQ_OTHER_REV_BR" hidden="1">"c1011"</definedName>
    <definedName name="IQ_OTHER_REV_SUPPL_BR" hidden="1">"c1016"</definedName>
    <definedName name="IQ_OTHER_UNUSUAL_BR" hidden="1">"c1561"</definedName>
    <definedName name="IQ_OTHER_UNUSUAL_SUPPL_BR" hidden="1">"c1496"</definedName>
    <definedName name="IQ_PC_WRITTEN" hidden="1">"c1027"</definedName>
    <definedName name="IQ_PREF_ISSUED_BR" hidden="1">"c1047"</definedName>
    <definedName name="IQ_PREF_OTHER_BR" hidden="1">"c1055"</definedName>
    <definedName name="IQ_PREF_REP_BR" hidden="1">"c1062"</definedName>
    <definedName name="IQ_QTD" hidden="1">750000</definedName>
    <definedName name="IQ_RESIDENTIAL_LOANS" hidden="1">"c1102"</definedName>
    <definedName name="IQ_RESTRUCTURE_BR" hidden="1">"c1106"</definedName>
    <definedName name="IQ_RETURN_ASSETS_BROK" hidden="1">"c1115"</definedName>
    <definedName name="IQ_RETURN_EQUITY_BROK" hidden="1">"c1120"</definedName>
    <definedName name="IQ_ROYALTY_REVENUE_COAL" hidden="1">"c15932"</definedName>
    <definedName name="IQ_SALE_INTAN_CF_BR" hidden="1">"c1133"</definedName>
    <definedName name="IQ_SALE_PPE_CF_BR" hidden="1">"c1139"</definedName>
    <definedName name="IQ_SALE_REAL_ESTATE_CF_BR" hidden="1">"c1145"</definedName>
    <definedName name="IQ_SP_BIRCA" hidden="1">"c28811"</definedName>
    <definedName name="IQ_SPECIAL_DIV_CF_BR" hidden="1">"c1171"</definedName>
    <definedName name="IQ_ST_DEBT_BR" hidden="1">"c1178"</definedName>
    <definedName name="IQ_ST_DEBT_ISSUED_BR" hidden="1">"c1183"</definedName>
    <definedName name="IQ_ST_DEBT_REPAID_BR" hidden="1">"c1191"</definedName>
    <definedName name="IQ_TODAY" hidden="1">0</definedName>
    <definedName name="IQ_TOTAL_AR_BR" hidden="1">"c1231"</definedName>
    <definedName name="IQ_TOTAL_DEBT_ISSUED_BR" hidden="1">"c1253"</definedName>
    <definedName name="IQ_TOTAL_DEBT_REPAID_BR" hidden="1">"c1260"</definedName>
    <definedName name="IQ_TOTAL_LIAB_BR" hidden="1">"c1278"</definedName>
    <definedName name="IQ_TOTAL_OPER_EXP_BR" hidden="1">"c1284"</definedName>
    <definedName name="IQ_TOTAL_REV_BR" hidden="1">"c1303"</definedName>
    <definedName name="IQ_TOTAL_UNUSUAL_BR" hidden="1">"c5517"</definedName>
    <definedName name="IQ_TREASURY_OTHER_EQUITY_BR" hidden="1">"c1314"</definedName>
    <definedName name="IQ_UNEARN_REV_CURRENT_BR" hidden="1">"c1324"</definedName>
    <definedName name="IQ_WEEK" hidden="1">50000</definedName>
    <definedName name="IQ_YTD" hidden="1">3000</definedName>
    <definedName name="IQ_YTDMONTH" hidden="1">130000</definedName>
    <definedName name="_xlnm.Print_Area" localSheetId="59">'16成本'!$G$7</definedName>
    <definedName name="_xlnm.Print_Area" localSheetId="57">'17成本'!$G$7</definedName>
    <definedName name="_xlnm.Print_Area" localSheetId="51">历史利润表!$A$1:$L$48</definedName>
    <definedName name="_xlnm.Print_Area" localSheetId="50">历史资产负债表!$A$1:$L$65</definedName>
    <definedName name="_xlnm.Print_Area" localSheetId="13">敏感性分析!$A$1:$J$41</definedName>
    <definedName name="_xlnm.Print_Area" localSheetId="45">实际收入!$A$1:$G$35</definedName>
    <definedName name="_xlnm.Print_Area" localSheetId="24">长期债务表!$B$1:$R$5</definedName>
    <definedName name="_xlnm.Print_Titles" localSheetId="59">'16成本'!$1:$7</definedName>
    <definedName name="_xlnm.Print_Titles" localSheetId="57">'17成本'!$1:$7</definedName>
    <definedName name="_xlnm.Print_Titles" localSheetId="46">固定资产!$1:$3</definedName>
    <definedName name="_xlnm.Print_Titles" localSheetId="25">假设!$1:$3</definedName>
    <definedName name="_xlnm.Print_Titles" localSheetId="34">资产负债表!$1:$3</definedName>
    <definedName name="sfcase" localSheetId="28">#REF!</definedName>
    <definedName name="sfcase" localSheetId="32">#REF!</definedName>
    <definedName name="sfcase">#REF!</definedName>
    <definedName name="sfrcase" localSheetId="28">#REF!</definedName>
    <definedName name="sfrcase" localSheetId="32">#REF!</definedName>
    <definedName name="sfrcase">#REF!</definedName>
    <definedName name="smcase" localSheetId="28">#REF!</definedName>
    <definedName name="smcase" localSheetId="32">#REF!</definedName>
    <definedName name="smcase">#REF!</definedName>
    <definedName name="smrcase" localSheetId="28">#REF!</definedName>
    <definedName name="smrcase" localSheetId="32">#REF!</definedName>
    <definedName name="smrcase">#REF!</definedName>
    <definedName name="socase" localSheetId="28">#REF!</definedName>
    <definedName name="socase" localSheetId="32">#REF!</definedName>
    <definedName name="socase">#REF!</definedName>
    <definedName name="solver_adj" localSheetId="4" hidden="1">多维联动分析!$C$34,多维联动分析!$C$35,多维联动分析!$C$36,多维联动分析!$C$37,多维联动分析!$C$38,多维联动分析!$C$39,多维联动分析!$C$41,多维联动分析!$C$42,多维联动分析!$C$43,多维联动分析!$C$44,多维联动分析!$C$45,多维联动分析!$C$46,多维联动分析!$C$47</definedName>
    <definedName name="solver_adj" localSheetId="38" hidden="1">国资委考核指标!$G$28</definedName>
    <definedName name="solver_adj" localSheetId="28" hidden="1">输配电价测算参数!$C$60</definedName>
    <definedName name="solver_adj" localSheetId="12" hidden="1">投资能力规划!$D$4:$F$4</definedName>
    <definedName name="solver_cvg" localSheetId="4" hidden="1">0.0001</definedName>
    <definedName name="solver_cvg" localSheetId="38" hidden="1">0.0001</definedName>
    <definedName name="solver_cvg" localSheetId="28" hidden="1">0.0001</definedName>
    <definedName name="solver_cvg" localSheetId="32" hidden="1">0.0001</definedName>
    <definedName name="solver_cvg" localSheetId="12" hidden="1">0.0001</definedName>
    <definedName name="solver_drv" localSheetId="4" hidden="1">1</definedName>
    <definedName name="solver_drv" localSheetId="38" hidden="1">1</definedName>
    <definedName name="solver_drv" localSheetId="28" hidden="1">1</definedName>
    <definedName name="solver_drv" localSheetId="32" hidden="1">2</definedName>
    <definedName name="solver_drv" localSheetId="12" hidden="1">2</definedName>
    <definedName name="solver_eng" localSheetId="4" hidden="1">1</definedName>
    <definedName name="solver_eng" localSheetId="27" hidden="1">1</definedName>
    <definedName name="solver_eng" localSheetId="38" hidden="1">1</definedName>
    <definedName name="solver_eng" localSheetId="25" hidden="1">1</definedName>
    <definedName name="solver_eng" localSheetId="28" hidden="1">1</definedName>
    <definedName name="solver_eng" localSheetId="32" hidden="1">1</definedName>
    <definedName name="solver_eng" localSheetId="12" hidden="1">1</definedName>
    <definedName name="solver_est" localSheetId="4" hidden="1">1</definedName>
    <definedName name="solver_est" localSheetId="38" hidden="1">1</definedName>
    <definedName name="solver_est" localSheetId="28" hidden="1">1</definedName>
    <definedName name="solver_est" localSheetId="32" hidden="1">1</definedName>
    <definedName name="solver_est" localSheetId="12" hidden="1">1</definedName>
    <definedName name="solver_itr" localSheetId="4" hidden="1">2147483647</definedName>
    <definedName name="solver_itr" localSheetId="38" hidden="1">2147483647</definedName>
    <definedName name="solver_itr" localSheetId="28" hidden="1">2147483647</definedName>
    <definedName name="solver_itr" localSheetId="32" hidden="1">2147483647</definedName>
    <definedName name="solver_itr" localSheetId="12" hidden="1">2147483647</definedName>
    <definedName name="solver_lhs1" localSheetId="4" hidden="1">多维联动分析!$D$16:$D$18</definedName>
    <definedName name="solver_lhs1" localSheetId="32" hidden="1">[1]电价反算投资规模!$I$11</definedName>
    <definedName name="solver_lhs1" localSheetId="12" hidden="1">投资能力规划!$D$11:$F$11</definedName>
    <definedName name="solver_lhs10" localSheetId="4" hidden="1">多维联动分析!$D$36</definedName>
    <definedName name="solver_lhs10" localSheetId="12" hidden="1">投资能力规划!$D$53:$H$53</definedName>
    <definedName name="solver_lhs11" localSheetId="4" hidden="1">多维联动分析!$D$37</definedName>
    <definedName name="solver_lhs11" localSheetId="12" hidden="1">投资能力规划!$D$56:$H$56</definedName>
    <definedName name="solver_lhs12" localSheetId="4" hidden="1">多维联动分析!$D$37</definedName>
    <definedName name="solver_lhs12" localSheetId="12" hidden="1">投资能力规划!$D$59:$H$59</definedName>
    <definedName name="solver_lhs13" localSheetId="4" hidden="1">多维联动分析!$D$38</definedName>
    <definedName name="solver_lhs13" localSheetId="12" hidden="1">投资能力规划!$D$77:$H$77</definedName>
    <definedName name="solver_lhs14" localSheetId="4" hidden="1">多维联动分析!$D$38</definedName>
    <definedName name="solver_lhs14" localSheetId="12" hidden="1">投资能力规划!$D$80:$H$80</definedName>
    <definedName name="solver_lhs15" localSheetId="4" hidden="1">多维联动分析!$D$39</definedName>
    <definedName name="solver_lhs15" localSheetId="12" hidden="1">投资能力规划!$D$83:$H$83</definedName>
    <definedName name="solver_lhs16" localSheetId="4" hidden="1">多维联动分析!$D$39</definedName>
    <definedName name="solver_lhs16" localSheetId="12" hidden="1">投资能力规划!$D$29:$H$29</definedName>
    <definedName name="solver_lhs17" localSheetId="4" hidden="1">多维联动分析!$D$41</definedName>
    <definedName name="solver_lhs17" localSheetId="12" hidden="1">投资能力规划!$D$32:$H$32</definedName>
    <definedName name="solver_lhs18" localSheetId="4" hidden="1">多维联动分析!$D$41</definedName>
    <definedName name="solver_lhs18" localSheetId="12" hidden="1">投资能力规划!$D$35:$H$35</definedName>
    <definedName name="solver_lhs19" localSheetId="4" hidden="1">多维联动分析!$D$42</definedName>
    <definedName name="solver_lhs19" localSheetId="12" hidden="1">投资能力规划!$D$53:$H$53</definedName>
    <definedName name="solver_lhs2" localSheetId="4" hidden="1">多维联动分析!$D$16:$D$18</definedName>
    <definedName name="solver_lhs2" localSheetId="12" hidden="1">投资能力规划!$D$11:$F$11</definedName>
    <definedName name="solver_lhs20" localSheetId="4" hidden="1">多维联动分析!$D$42</definedName>
    <definedName name="solver_lhs20" localSheetId="12" hidden="1">投资能力规划!$D$56:$H$56</definedName>
    <definedName name="solver_lhs21" localSheetId="4" hidden="1">多维联动分析!$D$43</definedName>
    <definedName name="solver_lhs21" localSheetId="12" hidden="1">投资能力规划!$D$59:$H$59</definedName>
    <definedName name="solver_lhs22" localSheetId="4" hidden="1">多维联动分析!$D$43</definedName>
    <definedName name="solver_lhs22" localSheetId="12" hidden="1">投资能力规划!$D$5:$H$5</definedName>
    <definedName name="solver_lhs23" localSheetId="4" hidden="1">多维联动分析!$D$44</definedName>
    <definedName name="solver_lhs23" localSheetId="12" hidden="1">投资能力规划!$D$8:$H$8</definedName>
    <definedName name="solver_lhs24" localSheetId="4" hidden="1">多维联动分析!$D$44</definedName>
    <definedName name="solver_lhs24" localSheetId="12" hidden="1">投资能力规划!$D$11:$H$11</definedName>
    <definedName name="solver_lhs25" localSheetId="4" hidden="1">多维联动分析!$D$45</definedName>
    <definedName name="solver_lhs25" localSheetId="12" hidden="1">投资能力规划!$D$53:$H$53</definedName>
    <definedName name="solver_lhs26" localSheetId="4" hidden="1">多维联动分析!$D$45</definedName>
    <definedName name="solver_lhs26" localSheetId="12" hidden="1">投资能力规划!$D$56:$H$56</definedName>
    <definedName name="solver_lhs27" localSheetId="4" hidden="1">多维联动分析!$D$46</definedName>
    <definedName name="solver_lhs27" localSheetId="12" hidden="1">投资能力规划!$D$59:$H$59</definedName>
    <definedName name="solver_lhs28" localSheetId="4" hidden="1">多维联动分析!$D$46</definedName>
    <definedName name="solver_lhs28" localSheetId="12" hidden="1">投资能力规划!$D$29:$H$29</definedName>
    <definedName name="solver_lhs29" localSheetId="4" hidden="1">多维联动分析!$D$47</definedName>
    <definedName name="solver_lhs29" localSheetId="12" hidden="1">投资能力规划!$D$32:$H$32</definedName>
    <definedName name="solver_lhs3" localSheetId="4" hidden="1">多维联动分析!$D$23:$D$29</definedName>
    <definedName name="solver_lhs3" localSheetId="12" hidden="1">投资能力规划!$D$5:$F$5</definedName>
    <definedName name="solver_lhs30" localSheetId="4" hidden="1">多维联动分析!$D$47</definedName>
    <definedName name="solver_lhs30" localSheetId="12" hidden="1">投资能力规划!$D$35:$H$35</definedName>
    <definedName name="solver_lhs31" localSheetId="4" hidden="1">多维联动分析!$F$18</definedName>
    <definedName name="solver_lhs4" localSheetId="4" hidden="1">多维联动分析!$D$23:$D$29</definedName>
    <definedName name="solver_lhs4" localSheetId="12" hidden="1">投资能力规划!$D$5:$F$5</definedName>
    <definedName name="solver_lhs5" localSheetId="4" hidden="1">多维联动分析!$D$34</definedName>
    <definedName name="solver_lhs5" localSheetId="12" hidden="1">投资能力规划!$D$8:$F$8</definedName>
    <definedName name="solver_lhs6" localSheetId="4" hidden="1">多维联动分析!$D$34</definedName>
    <definedName name="solver_lhs6" localSheetId="12" hidden="1">投资能力规划!$D$8:$F$8</definedName>
    <definedName name="solver_lhs7" localSheetId="4" hidden="1">多维联动分析!$D$35</definedName>
    <definedName name="solver_lhs7" localSheetId="12" hidden="1">投资能力规划!$D$29:$H$29</definedName>
    <definedName name="solver_lhs8" localSheetId="4" hidden="1">多维联动分析!$D$35</definedName>
    <definedName name="solver_lhs8" localSheetId="12" hidden="1">投资能力规划!$D$32:$H$32</definedName>
    <definedName name="solver_lhs9" localSheetId="4" hidden="1">多维联动分析!$D$36</definedName>
    <definedName name="solver_lhs9" localSheetId="12" hidden="1">投资能力规划!$D$35:$H$35</definedName>
    <definedName name="solver_mip" localSheetId="4" hidden="1">2147483647</definedName>
    <definedName name="solver_mip" localSheetId="38" hidden="1">2147483647</definedName>
    <definedName name="solver_mip" localSheetId="28" hidden="1">2147483647</definedName>
    <definedName name="solver_mip" localSheetId="32" hidden="1">2147483647</definedName>
    <definedName name="solver_mip" localSheetId="12" hidden="1">2147483647</definedName>
    <definedName name="solver_mni" localSheetId="4" hidden="1">30</definedName>
    <definedName name="solver_mni" localSheetId="38" hidden="1">30</definedName>
    <definedName name="solver_mni" localSheetId="28" hidden="1">30</definedName>
    <definedName name="solver_mni" localSheetId="32" hidden="1">30</definedName>
    <definedName name="solver_mni" localSheetId="12" hidden="1">30</definedName>
    <definedName name="solver_mrt" localSheetId="4" hidden="1">0.075</definedName>
    <definedName name="solver_mrt" localSheetId="38" hidden="1">0.075</definedName>
    <definedName name="solver_mrt" localSheetId="28" hidden="1">0.075</definedName>
    <definedName name="solver_mrt" localSheetId="32" hidden="1">0.075</definedName>
    <definedName name="solver_mrt" localSheetId="12" hidden="1">0.075</definedName>
    <definedName name="solver_msl" localSheetId="4" hidden="1">2</definedName>
    <definedName name="solver_msl" localSheetId="38" hidden="1">2</definedName>
    <definedName name="solver_msl" localSheetId="28" hidden="1">2</definedName>
    <definedName name="solver_msl" localSheetId="32" hidden="1">2</definedName>
    <definedName name="solver_msl" localSheetId="12" hidden="1">2</definedName>
    <definedName name="solver_neg" localSheetId="4" hidden="1">1</definedName>
    <definedName name="solver_neg" localSheetId="27" hidden="1">1</definedName>
    <definedName name="solver_neg" localSheetId="38" hidden="1">1</definedName>
    <definedName name="solver_neg" localSheetId="25" hidden="1">1</definedName>
    <definedName name="solver_neg" localSheetId="28" hidden="1">1</definedName>
    <definedName name="solver_neg" localSheetId="32" hidden="1">1</definedName>
    <definedName name="solver_neg" localSheetId="12" hidden="1">1</definedName>
    <definedName name="solver_nod" localSheetId="4" hidden="1">2147483647</definedName>
    <definedName name="solver_nod" localSheetId="38" hidden="1">2147483647</definedName>
    <definedName name="solver_nod" localSheetId="28" hidden="1">2147483647</definedName>
    <definedName name="solver_nod" localSheetId="32" hidden="1">2147483647</definedName>
    <definedName name="solver_nod" localSheetId="12" hidden="1">2147483647</definedName>
    <definedName name="solver_num" localSheetId="4" hidden="1">31</definedName>
    <definedName name="solver_num" localSheetId="27" hidden="1">0</definedName>
    <definedName name="solver_num" localSheetId="38" hidden="1">0</definedName>
    <definedName name="solver_num" localSheetId="25" hidden="1">0</definedName>
    <definedName name="solver_num" localSheetId="28" hidden="1">0</definedName>
    <definedName name="solver_num" localSheetId="32" hidden="1">0</definedName>
    <definedName name="solver_num" localSheetId="12" hidden="1">6</definedName>
    <definedName name="solver_nwt" localSheetId="4" hidden="1">1</definedName>
    <definedName name="solver_nwt" localSheetId="38" hidden="1">1</definedName>
    <definedName name="solver_nwt" localSheetId="28" hidden="1">1</definedName>
    <definedName name="solver_nwt" localSheetId="32" hidden="1">1</definedName>
    <definedName name="solver_nwt" localSheetId="12" hidden="1">1</definedName>
    <definedName name="solver_opt" localSheetId="4" hidden="1">多维联动分析!$D$15</definedName>
    <definedName name="solver_opt" localSheetId="27" hidden="1">发展投入!$D$40</definedName>
    <definedName name="solver_opt" localSheetId="38" hidden="1">国资委考核指标!$G$65</definedName>
    <definedName name="solver_opt" localSheetId="25" hidden="1">假设!$D$190</definedName>
    <definedName name="solver_opt" localSheetId="28" hidden="1">输配电价测算参数!$I$80</definedName>
    <definedName name="solver_opt" localSheetId="32" hidden="1">输配电价测算参数!$I$81</definedName>
    <definedName name="solver_opt" localSheetId="12" hidden="1">投资能力规划!$I$4</definedName>
    <definedName name="solver_pre" localSheetId="4" hidden="1">0.000001</definedName>
    <definedName name="solver_pre" localSheetId="38" hidden="1">0.000001</definedName>
    <definedName name="solver_pre" localSheetId="28" hidden="1">0.000001</definedName>
    <definedName name="solver_pre" localSheetId="32" hidden="1">0.000001</definedName>
    <definedName name="solver_pre" localSheetId="12" hidden="1">0.000001</definedName>
    <definedName name="solver_rbv" localSheetId="4" hidden="1">1</definedName>
    <definedName name="solver_rbv" localSheetId="38" hidden="1">1</definedName>
    <definedName name="solver_rbv" localSheetId="28" hidden="1">1</definedName>
    <definedName name="solver_rbv" localSheetId="32" hidden="1">2</definedName>
    <definedName name="solver_rbv" localSheetId="12" hidden="1">2</definedName>
    <definedName name="solver_rel1" localSheetId="4" hidden="1">1</definedName>
    <definedName name="solver_rel1" localSheetId="32" hidden="1">1</definedName>
    <definedName name="solver_rel1" localSheetId="12" hidden="1">1</definedName>
    <definedName name="solver_rel10" localSheetId="4" hidden="1">3</definedName>
    <definedName name="solver_rel10" localSheetId="12" hidden="1">3</definedName>
    <definedName name="solver_rel11" localSheetId="4" hidden="1">1</definedName>
    <definedName name="solver_rel11" localSheetId="12" hidden="1">1</definedName>
    <definedName name="solver_rel12" localSheetId="4" hidden="1">3</definedName>
    <definedName name="solver_rel12" localSheetId="12" hidden="1">3</definedName>
    <definedName name="solver_rel13" localSheetId="4" hidden="1">1</definedName>
    <definedName name="solver_rel13" localSheetId="12" hidden="1">3</definedName>
    <definedName name="solver_rel14" localSheetId="4" hidden="1">3</definedName>
    <definedName name="solver_rel14" localSheetId="12" hidden="1">1</definedName>
    <definedName name="solver_rel15" localSheetId="4" hidden="1">1</definedName>
    <definedName name="solver_rel15" localSheetId="12" hidden="1">3</definedName>
    <definedName name="solver_rel16" localSheetId="4" hidden="1">3</definedName>
    <definedName name="solver_rel16" localSheetId="12" hidden="1">3</definedName>
    <definedName name="solver_rel17" localSheetId="4" hidden="1">1</definedName>
    <definedName name="solver_rel17" localSheetId="12" hidden="1">1</definedName>
    <definedName name="solver_rel18" localSheetId="4" hidden="1">3</definedName>
    <definedName name="solver_rel18" localSheetId="12" hidden="1">3</definedName>
    <definedName name="solver_rel19" localSheetId="4" hidden="1">1</definedName>
    <definedName name="solver_rel19" localSheetId="12" hidden="1">3</definedName>
    <definedName name="solver_rel2" localSheetId="4" hidden="1">3</definedName>
    <definedName name="solver_rel2" localSheetId="12" hidden="1">3</definedName>
    <definedName name="solver_rel20" localSheetId="4" hidden="1">3</definedName>
    <definedName name="solver_rel20" localSheetId="12" hidden="1">1</definedName>
    <definedName name="solver_rel21" localSheetId="4" hidden="1">1</definedName>
    <definedName name="solver_rel21" localSheetId="12" hidden="1">3</definedName>
    <definedName name="solver_rel22" localSheetId="4" hidden="1">3</definedName>
    <definedName name="solver_rel22" localSheetId="12" hidden="1">3</definedName>
    <definedName name="solver_rel23" localSheetId="4" hidden="1">1</definedName>
    <definedName name="solver_rel23" localSheetId="12" hidden="1">1</definedName>
    <definedName name="solver_rel24" localSheetId="4" hidden="1">3</definedName>
    <definedName name="solver_rel24" localSheetId="12" hidden="1">3</definedName>
    <definedName name="solver_rel25" localSheetId="4" hidden="1">1</definedName>
    <definedName name="solver_rel25" localSheetId="12" hidden="1">3</definedName>
    <definedName name="solver_rel26" localSheetId="4" hidden="1">3</definedName>
    <definedName name="solver_rel26" localSheetId="12" hidden="1">1</definedName>
    <definedName name="solver_rel27" localSheetId="4" hidden="1">1</definedName>
    <definedName name="solver_rel27" localSheetId="12" hidden="1">3</definedName>
    <definedName name="solver_rel28" localSheetId="4" hidden="1">3</definedName>
    <definedName name="solver_rel28" localSheetId="12" hidden="1">3</definedName>
    <definedName name="solver_rel29" localSheetId="4" hidden="1">1</definedName>
    <definedName name="solver_rel29" localSheetId="12" hidden="1">1</definedName>
    <definedName name="solver_rel3" localSheetId="4" hidden="1">1</definedName>
    <definedName name="solver_rel3" localSheetId="12" hidden="1">1</definedName>
    <definedName name="solver_rel30" localSheetId="4" hidden="1">3</definedName>
    <definedName name="solver_rel30" localSheetId="12" hidden="1">3</definedName>
    <definedName name="solver_rel31" localSheetId="4" hidden="1">3</definedName>
    <definedName name="solver_rel4" localSheetId="4" hidden="1">3</definedName>
    <definedName name="solver_rel4" localSheetId="12" hidden="1">3</definedName>
    <definedName name="solver_rel5" localSheetId="4" hidden="1">1</definedName>
    <definedName name="solver_rel5" localSheetId="12" hidden="1">1</definedName>
    <definedName name="solver_rel6" localSheetId="4" hidden="1">3</definedName>
    <definedName name="solver_rel6" localSheetId="12" hidden="1">3</definedName>
    <definedName name="solver_rel7" localSheetId="4" hidden="1">1</definedName>
    <definedName name="solver_rel7" localSheetId="12" hidden="1">3</definedName>
    <definedName name="solver_rel8" localSheetId="4" hidden="1">3</definedName>
    <definedName name="solver_rel8" localSheetId="12" hidden="1">1</definedName>
    <definedName name="solver_rel9" localSheetId="4" hidden="1">1</definedName>
    <definedName name="solver_rel9" localSheetId="12" hidden="1">3</definedName>
    <definedName name="solver_rhs1" localSheetId="4" hidden="1">多维联动分析!$E$16:$E$18</definedName>
    <definedName name="solver_rhs1" localSheetId="32" hidden="1">100</definedName>
    <definedName name="solver_rhs1" localSheetId="12" hidden="1">投资能力规划!$D$12:$F$12</definedName>
    <definedName name="solver_rhs10" localSheetId="4" hidden="1">多维联动分析!$F$36</definedName>
    <definedName name="solver_rhs10" localSheetId="12" hidden="1">投资能力规划!$D$55:$H$55</definedName>
    <definedName name="solver_rhs11" localSheetId="4" hidden="1">多维联动分析!$E$37</definedName>
    <definedName name="solver_rhs11" localSheetId="12" hidden="1">投资能力规划!$D$57:$H$57</definedName>
    <definedName name="solver_rhs12" localSheetId="4" hidden="1">多维联动分析!$F$37</definedName>
    <definedName name="solver_rhs12" localSheetId="12" hidden="1">投资能力规划!$D$61:$H$61</definedName>
    <definedName name="solver_rhs13" localSheetId="4" hidden="1">多维联动分析!$E$38</definedName>
    <definedName name="solver_rhs13" localSheetId="12" hidden="1">投资能力规划!$D$79:$H$79</definedName>
    <definedName name="solver_rhs14" localSheetId="4" hidden="1">多维联动分析!$F$38</definedName>
    <definedName name="solver_rhs14" localSheetId="12" hidden="1">投资能力规划!$D$81:$H$81</definedName>
    <definedName name="solver_rhs15" localSheetId="4" hidden="1">多维联动分析!$E$39</definedName>
    <definedName name="solver_rhs15" localSheetId="12" hidden="1">投资能力规划!$D$85:$H$85</definedName>
    <definedName name="solver_rhs16" localSheetId="4" hidden="1">多维联动分析!$F$39</definedName>
    <definedName name="solver_rhs16" localSheetId="12" hidden="1">投资能力规划!$D$31:$H$31</definedName>
    <definedName name="solver_rhs17" localSheetId="4" hidden="1">多维联动分析!$E$41</definedName>
    <definedName name="solver_rhs17" localSheetId="12" hidden="1">投资能力规划!$D$33:$H$33</definedName>
    <definedName name="solver_rhs18" localSheetId="4" hidden="1">多维联动分析!$F$41</definedName>
    <definedName name="solver_rhs18" localSheetId="12" hidden="1">投资能力规划!$D$37:$H$37</definedName>
    <definedName name="solver_rhs19" localSheetId="4" hidden="1">多维联动分析!$E$42</definedName>
    <definedName name="solver_rhs19" localSheetId="12" hidden="1">投资能力规划!$D$55:$H$55</definedName>
    <definedName name="solver_rhs2" localSheetId="4" hidden="1">多维联动分析!$F$16:$F$18</definedName>
    <definedName name="solver_rhs2" localSheetId="12" hidden="1">投资能力规划!$D$13:$F$13</definedName>
    <definedName name="solver_rhs20" localSheetId="4" hidden="1">多维联动分析!$F$42</definedName>
    <definedName name="solver_rhs20" localSheetId="12" hidden="1">投资能力规划!$D$57:$H$57</definedName>
    <definedName name="solver_rhs21" localSheetId="4" hidden="1">多维联动分析!$E$43</definedName>
    <definedName name="solver_rhs21" localSheetId="12" hidden="1">投资能力规划!$D$61:$H$61</definedName>
    <definedName name="solver_rhs22" localSheetId="4" hidden="1">多维联动分析!$F$43</definedName>
    <definedName name="solver_rhs22" localSheetId="12" hidden="1">投资能力规划!$D$7:$H$7</definedName>
    <definedName name="solver_rhs23" localSheetId="4" hidden="1">多维联动分析!$E$44</definedName>
    <definedName name="solver_rhs23" localSheetId="12" hidden="1">投资能力规划!$D$9:$H$9</definedName>
    <definedName name="solver_rhs24" localSheetId="4" hidden="1">多维联动分析!$F$44</definedName>
    <definedName name="solver_rhs24" localSheetId="12" hidden="1">投资能力规划!$D$13:$H$13</definedName>
    <definedName name="solver_rhs25" localSheetId="4" hidden="1">多维联动分析!$E$45</definedName>
    <definedName name="solver_rhs25" localSheetId="12" hidden="1">投资能力规划!$D$55:$H$55</definedName>
    <definedName name="solver_rhs26" localSheetId="4" hidden="1">多维联动分析!$F$45</definedName>
    <definedName name="solver_rhs26" localSheetId="12" hidden="1">投资能力规划!$D$57:$H$57</definedName>
    <definedName name="solver_rhs27" localSheetId="4" hidden="1">多维联动分析!$E$46</definedName>
    <definedName name="solver_rhs27" localSheetId="12" hidden="1">投资能力规划!$D$61:$H$61</definedName>
    <definedName name="solver_rhs28" localSheetId="4" hidden="1">多维联动分析!$F$46</definedName>
    <definedName name="solver_rhs28" localSheetId="12" hidden="1">投资能力规划!$D$31:$H$31</definedName>
    <definedName name="solver_rhs29" localSheetId="4" hidden="1">多维联动分析!$E$47</definedName>
    <definedName name="solver_rhs29" localSheetId="12" hidden="1">投资能力规划!$D$33:$H$33</definedName>
    <definedName name="solver_rhs3" localSheetId="4" hidden="1">多维联动分析!$E$23:$E$29</definedName>
    <definedName name="solver_rhs3" localSheetId="12" hidden="1">投资能力规划!$D$6:$F$6</definedName>
    <definedName name="solver_rhs30" localSheetId="4" hidden="1">多维联动分析!$F$47</definedName>
    <definedName name="solver_rhs30" localSheetId="12" hidden="1">投资能力规划!$D$37:$H$37</definedName>
    <definedName name="solver_rhs31" localSheetId="4" hidden="1">0</definedName>
    <definedName name="solver_rhs4" localSheetId="4" hidden="1">多维联动分析!$F$23:$F$29</definedName>
    <definedName name="solver_rhs4" localSheetId="12" hidden="1">投资能力规划!$D$7:$F$7</definedName>
    <definedName name="solver_rhs5" localSheetId="4" hidden="1">多维联动分析!$E$34</definedName>
    <definedName name="solver_rhs5" localSheetId="12" hidden="1">投资能力规划!$D$9:$F$9</definedName>
    <definedName name="solver_rhs6" localSheetId="4" hidden="1">多维联动分析!$F$34</definedName>
    <definedName name="solver_rhs6" localSheetId="12" hidden="1">投资能力规划!$D$10:$F$10</definedName>
    <definedName name="solver_rhs7" localSheetId="4" hidden="1">多维联动分析!$E$35</definedName>
    <definedName name="solver_rhs7" localSheetId="12" hidden="1">投资能力规划!$D$31:$H$31</definedName>
    <definedName name="solver_rhs8" localSheetId="4" hidden="1">多维联动分析!$F$35</definedName>
    <definedName name="solver_rhs8" localSheetId="12" hidden="1">投资能力规划!$D$33:$H$33</definedName>
    <definedName name="solver_rhs9" localSheetId="4" hidden="1">多维联动分析!$E$36</definedName>
    <definedName name="solver_rhs9" localSheetId="12" hidden="1">投资能力规划!$D$37:$H$37</definedName>
    <definedName name="solver_rlx" localSheetId="4" hidden="1">2</definedName>
    <definedName name="solver_rlx" localSheetId="38" hidden="1">2</definedName>
    <definedName name="solver_rlx" localSheetId="28" hidden="1">2</definedName>
    <definedName name="solver_rlx" localSheetId="32" hidden="1">2</definedName>
    <definedName name="solver_rlx" localSheetId="12" hidden="1">2</definedName>
    <definedName name="solver_rsd" localSheetId="4" hidden="1">0</definedName>
    <definedName name="solver_rsd" localSheetId="38" hidden="1">0</definedName>
    <definedName name="solver_rsd" localSheetId="28" hidden="1">0</definedName>
    <definedName name="solver_rsd" localSheetId="32" hidden="1">0</definedName>
    <definedName name="solver_rsd" localSheetId="12" hidden="1">0</definedName>
    <definedName name="solver_scl" localSheetId="4" hidden="1">1</definedName>
    <definedName name="solver_scl" localSheetId="38" hidden="1">1</definedName>
    <definedName name="solver_scl" localSheetId="28" hidden="1">1</definedName>
    <definedName name="solver_scl" localSheetId="32" hidden="1">2</definedName>
    <definedName name="solver_scl" localSheetId="12" hidden="1">2</definedName>
    <definedName name="solver_sho" localSheetId="4" hidden="1">2</definedName>
    <definedName name="solver_sho" localSheetId="38" hidden="1">2</definedName>
    <definedName name="solver_sho" localSheetId="28" hidden="1">2</definedName>
    <definedName name="solver_sho" localSheetId="32" hidden="1">2</definedName>
    <definedName name="solver_sho" localSheetId="12" hidden="1">2</definedName>
    <definedName name="solver_ssz" localSheetId="4" hidden="1">100</definedName>
    <definedName name="solver_ssz" localSheetId="38" hidden="1">100</definedName>
    <definedName name="solver_ssz" localSheetId="28" hidden="1">100</definedName>
    <definedName name="solver_ssz" localSheetId="32" hidden="1">100</definedName>
    <definedName name="solver_ssz" localSheetId="12" hidden="1">100</definedName>
    <definedName name="solver_tim" localSheetId="4" hidden="1">2147483647</definedName>
    <definedName name="solver_tim" localSheetId="38" hidden="1">2147483647</definedName>
    <definedName name="solver_tim" localSheetId="28" hidden="1">2147483647</definedName>
    <definedName name="solver_tim" localSheetId="32" hidden="1">2147483647</definedName>
    <definedName name="solver_tim" localSheetId="12" hidden="1">2147483647</definedName>
    <definedName name="solver_tol" localSheetId="4" hidden="1">0.01</definedName>
    <definedName name="solver_tol" localSheetId="38" hidden="1">0.01</definedName>
    <definedName name="solver_tol" localSheetId="28" hidden="1">0.01</definedName>
    <definedName name="solver_tol" localSheetId="32" hidden="1">0.01</definedName>
    <definedName name="solver_tol" localSheetId="12" hidden="1">0.01</definedName>
    <definedName name="solver_typ" localSheetId="4" hidden="1">1</definedName>
    <definedName name="solver_typ" localSheetId="27" hidden="1">1</definedName>
    <definedName name="solver_typ" localSheetId="38" hidden="1">3</definedName>
    <definedName name="solver_typ" localSheetId="25" hidden="1">1</definedName>
    <definedName name="solver_typ" localSheetId="28" hidden="1">3</definedName>
    <definedName name="solver_typ" localSheetId="32" hidden="1">3</definedName>
    <definedName name="solver_typ" localSheetId="12" hidden="1">1</definedName>
    <definedName name="solver_val" localSheetId="4" hidden="1">0</definedName>
    <definedName name="solver_val" localSheetId="27" hidden="1">0</definedName>
    <definedName name="solver_val" localSheetId="38" hidden="1">0</definedName>
    <definedName name="solver_val" localSheetId="25" hidden="1">0</definedName>
    <definedName name="solver_val" localSheetId="28" hidden="1">0</definedName>
    <definedName name="solver_val" localSheetId="32" hidden="1">0</definedName>
    <definedName name="solver_val" localSheetId="12" hidden="1">0</definedName>
    <definedName name="solver_ver" localSheetId="4" hidden="1">3</definedName>
    <definedName name="solver_ver" localSheetId="27" hidden="1">3</definedName>
    <definedName name="solver_ver" localSheetId="38" hidden="1">3</definedName>
    <definedName name="solver_ver" localSheetId="25" hidden="1">3</definedName>
    <definedName name="solver_ver" localSheetId="28" hidden="1">3</definedName>
    <definedName name="solver_ver" localSheetId="32" hidden="1">3</definedName>
    <definedName name="solver_ver" localSheetId="12" hidden="1">3</definedName>
    <definedName name="sorcase" localSheetId="28">#REF!</definedName>
    <definedName name="sorcase" localSheetId="32">#REF!</definedName>
    <definedName name="sorcase">#REF!</definedName>
    <definedName name="srcase" localSheetId="28">#REF!</definedName>
    <definedName name="srcase" localSheetId="32">#REF!</definedName>
    <definedName name="srcase">#REF!</definedName>
    <definedName name="sycase" localSheetId="28">#REF!</definedName>
    <definedName name="sycase" localSheetId="32">#REF!</definedName>
    <definedName name="sycase">#REF!</definedName>
    <definedName name="sycse" localSheetId="28">#REF!</definedName>
    <definedName name="sycse" localSheetId="32">#REF!</definedName>
    <definedName name="sycse">#REF!</definedName>
    <definedName name="TextRefCopyRangeCount" hidden="1">23</definedName>
    <definedName name="tfcase" localSheetId="28">#REF!</definedName>
    <definedName name="tfcase" localSheetId="32">#REF!</definedName>
    <definedName name="tfcase">#REF!</definedName>
    <definedName name="tfrcase" localSheetId="28">#REF!</definedName>
    <definedName name="tfrcase" localSheetId="32">#REF!</definedName>
    <definedName name="tfrcase">#REF!</definedName>
    <definedName name="tmcase" localSheetId="28">#REF!</definedName>
    <definedName name="tmcase" localSheetId="32">#REF!</definedName>
    <definedName name="tmcase">#REF!</definedName>
    <definedName name="tmrcase" localSheetId="28">#REF!</definedName>
    <definedName name="tmrcase" localSheetId="32">#REF!</definedName>
    <definedName name="tmrcase">#REF!</definedName>
    <definedName name="tocase" localSheetId="28">#REF!</definedName>
    <definedName name="tocase" localSheetId="32">#REF!</definedName>
    <definedName name="tocase">#REF!</definedName>
    <definedName name="torcae" localSheetId="28">#REF!</definedName>
    <definedName name="torcae" localSheetId="32">#REF!</definedName>
    <definedName name="torcae">#REF!</definedName>
    <definedName name="torcase" localSheetId="28">#REF!</definedName>
    <definedName name="torcase" localSheetId="32">#REF!</definedName>
    <definedName name="torcase">#REF!</definedName>
    <definedName name="trcase" localSheetId="28">#REF!</definedName>
    <definedName name="trcase" localSheetId="32">#REF!</definedName>
    <definedName name="trcase">#REF!</definedName>
    <definedName name="tycase" localSheetId="28">#REF!</definedName>
    <definedName name="tycase" localSheetId="32">#REF!</definedName>
    <definedName name="tycase">#REF!</definedName>
    <definedName name="ycase" localSheetId="28">#REF!</definedName>
    <definedName name="ycase" localSheetId="32">#REF!</definedName>
    <definedName name="ycase">#REF!</definedName>
    <definedName name="ycase1" localSheetId="28">#REF!</definedName>
    <definedName name="ycase1" localSheetId="32">#REF!</definedName>
    <definedName name="ycase1">#REF!</definedName>
    <definedName name="测算模式" localSheetId="19">[2]封面!$C$7</definedName>
    <definedName name="测算模式">封面!$C$7</definedName>
    <definedName name="测算年份" localSheetId="19">[2]封面!$C$8</definedName>
    <definedName name="测算年份">封面!$C$8</definedName>
    <definedName name="电网投资变动" localSheetId="19">[2]敏感性分析!$C$3</definedName>
    <definedName name="电网投资变动">敏感性分析!$C$3</definedName>
    <definedName name="售电量变动" localSheetId="19">[2]敏感性分析!$C$4</definedName>
    <definedName name="售电量变动">敏感性分析!$C$4</definedName>
    <definedName name="输配电价变动" localSheetId="19">[2]敏感性分析!$C$5</definedName>
    <definedName name="输配电价变动">敏感性分析!$C$5</definedName>
    <definedName name="循环开关" localSheetId="19">[2]封面!$C$9</definedName>
    <definedName name="循环开关">封面!$C$9</definedName>
    <definedName name="预测对象">封面!$C$6</definedName>
    <definedName name="运维费变动" localSheetId="19">[2]敏感性分析!$C$7</definedName>
    <definedName name="运维费变动">敏感性分析!$C$7</definedName>
    <definedName name="折旧率变动">敏感性分析!$C$6</definedName>
  </definedNames>
  <calcPr calcId="162913" calcMode="autoNoTable" iterate="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区域-d7b5bbeb-10ca-435d-9b84-3db4b9b97a3b" name="区域" connection="WorksheetConnection_经营指标表!$B$3:$L$76"/>
        </x15:modelTables>
      </x15:dataModel>
    </ext>
  </extLst>
</workbook>
</file>

<file path=xl/calcChain.xml><?xml version="1.0" encoding="utf-8"?>
<calcChain xmlns="http://schemas.openxmlformats.org/spreadsheetml/2006/main">
  <c r="G7" i="30" l="1"/>
  <c r="G20" i="30"/>
  <c r="G118" i="30"/>
  <c r="G74" i="30"/>
  <c r="G76" i="30"/>
  <c r="G18" i="17"/>
  <c r="G16" i="30" l="1"/>
  <c r="I14" i="30"/>
  <c r="J14" i="30"/>
  <c r="K14" i="30"/>
  <c r="H14" i="30"/>
  <c r="G22" i="30" l="1"/>
  <c r="G19" i="30"/>
  <c r="S7" i="122"/>
  <c r="T7" i="122"/>
  <c r="U7" i="122"/>
  <c r="V7" i="122"/>
  <c r="W7" i="122"/>
  <c r="X7" i="122"/>
  <c r="Y7" i="122"/>
  <c r="Z7" i="122"/>
  <c r="AA7" i="122"/>
  <c r="AB7" i="122"/>
  <c r="AC7" i="122"/>
  <c r="R7" i="122"/>
  <c r="S5" i="122"/>
  <c r="T5" i="122"/>
  <c r="U5" i="122"/>
  <c r="V5" i="122"/>
  <c r="W5" i="122"/>
  <c r="X5" i="122"/>
  <c r="Y5" i="122"/>
  <c r="Z5" i="122"/>
  <c r="AA5" i="122"/>
  <c r="AB5" i="122"/>
  <c r="AC5" i="122"/>
  <c r="R5" i="122"/>
  <c r="S4" i="122"/>
  <c r="T4" i="122"/>
  <c r="U4" i="122"/>
  <c r="V4" i="122"/>
  <c r="W4" i="122"/>
  <c r="X4" i="122"/>
  <c r="Y4" i="122"/>
  <c r="Z4" i="122"/>
  <c r="AA4" i="122"/>
  <c r="AB4" i="122"/>
  <c r="AC4" i="122"/>
  <c r="R4" i="122"/>
  <c r="X3" i="122"/>
  <c r="Y3" i="122"/>
  <c r="Z3" i="122"/>
  <c r="AA3" i="122"/>
  <c r="AB3" i="122"/>
  <c r="AC3" i="122"/>
  <c r="S3" i="122"/>
  <c r="T3" i="122"/>
  <c r="U3" i="122"/>
  <c r="V3" i="122"/>
  <c r="W3" i="122"/>
  <c r="R3" i="122"/>
  <c r="B6" i="122"/>
  <c r="G13" i="30" l="1"/>
  <c r="G104" i="30" l="1"/>
  <c r="L8" i="122" l="1"/>
  <c r="L7" i="122"/>
  <c r="L9" i="122" s="1"/>
  <c r="L5" i="122"/>
  <c r="L6" i="122"/>
  <c r="L4" i="122"/>
  <c r="L3" i="122"/>
  <c r="F5" i="122"/>
  <c r="F4" i="122"/>
  <c r="G94" i="30" l="1"/>
  <c r="G66" i="30" s="1"/>
  <c r="G95" i="30"/>
  <c r="H91" i="30"/>
  <c r="I91" i="30"/>
  <c r="J91" i="30"/>
  <c r="K91" i="30"/>
  <c r="G91" i="30"/>
  <c r="G90" i="30" s="1"/>
  <c r="H90" i="30" s="1"/>
  <c r="I90" i="30" l="1"/>
  <c r="J90" i="30" s="1"/>
  <c r="K90" i="30" s="1"/>
  <c r="H94" i="30"/>
  <c r="H50" i="51"/>
  <c r="G50" i="51"/>
  <c r="I94" i="30" l="1"/>
  <c r="H66" i="30"/>
  <c r="H95" i="30"/>
  <c r="I50" i="51"/>
  <c r="I95" i="30" l="1"/>
  <c r="J94" i="30"/>
  <c r="I66" i="30"/>
  <c r="K50" i="51"/>
  <c r="J50" i="51"/>
  <c r="C6" i="121"/>
  <c r="C5" i="121"/>
  <c r="C4" i="121"/>
  <c r="C3" i="121"/>
  <c r="K94" i="30" l="1"/>
  <c r="K66" i="30" s="1"/>
  <c r="J66" i="30"/>
  <c r="J95" i="30"/>
  <c r="M46" i="114"/>
  <c r="K95" i="30" l="1"/>
  <c r="N9" i="93"/>
  <c r="O9" i="93"/>
  <c r="P9" i="93"/>
  <c r="M9" i="93"/>
  <c r="D60" i="37"/>
  <c r="D61" i="37" s="1"/>
  <c r="T5" i="93"/>
  <c r="X5" i="93" s="1"/>
  <c r="AB5" i="93" s="1"/>
  <c r="L6" i="93"/>
  <c r="L7" i="93" s="1"/>
  <c r="L8" i="93" s="1"/>
  <c r="L9" i="93" s="1"/>
  <c r="L10" i="93" s="1"/>
  <c r="L11" i="93" s="1"/>
  <c r="L12" i="93" s="1"/>
  <c r="L13" i="93" s="1"/>
  <c r="G33" i="105"/>
  <c r="K10" i="109"/>
  <c r="K9" i="109"/>
  <c r="K8" i="109"/>
  <c r="K7" i="109"/>
  <c r="K6" i="109"/>
  <c r="K5" i="109"/>
  <c r="A36" i="80"/>
  <c r="D26" i="115"/>
  <c r="D27" i="115"/>
  <c r="D28" i="115"/>
  <c r="D29" i="115"/>
  <c r="D30" i="115"/>
  <c r="D31" i="115"/>
  <c r="D32" i="115"/>
  <c r="D33" i="115"/>
  <c r="D34" i="115"/>
  <c r="D35" i="115"/>
  <c r="D36" i="115"/>
  <c r="D37" i="115"/>
  <c r="D38" i="115"/>
  <c r="D39" i="115"/>
  <c r="D40" i="115"/>
  <c r="D41" i="115"/>
  <c r="D42" i="115"/>
  <c r="D43" i="115"/>
  <c r="D44" i="115"/>
  <c r="D45" i="115"/>
  <c r="D46" i="115"/>
  <c r="D47" i="115"/>
  <c r="D48" i="115"/>
  <c r="D49" i="115"/>
  <c r="D50" i="115"/>
  <c r="D51" i="115"/>
  <c r="D52" i="115"/>
  <c r="D53" i="115"/>
  <c r="D54" i="115"/>
  <c r="D55" i="115"/>
  <c r="D56" i="115"/>
  <c r="D57" i="115"/>
  <c r="D58" i="115"/>
  <c r="D59" i="115"/>
  <c r="D60" i="115"/>
  <c r="D61" i="115"/>
  <c r="D62" i="115"/>
  <c r="D63" i="115"/>
  <c r="D64" i="115"/>
  <c r="D65" i="115"/>
  <c r="D66" i="115"/>
  <c r="D67" i="115"/>
  <c r="D68" i="115"/>
  <c r="D69" i="115"/>
  <c r="D70" i="115"/>
  <c r="D71" i="115"/>
  <c r="D72" i="115"/>
  <c r="D73" i="115"/>
  <c r="D74" i="115"/>
  <c r="D75" i="115"/>
  <c r="D76" i="115"/>
  <c r="D77" i="115"/>
  <c r="D78" i="115"/>
  <c r="D79" i="115"/>
  <c r="D80" i="115"/>
  <c r="D81" i="115"/>
  <c r="D82" i="115"/>
  <c r="D83" i="115"/>
  <c r="D84" i="115"/>
  <c r="D85" i="115"/>
  <c r="D86" i="115"/>
  <c r="D87" i="115"/>
  <c r="D88" i="115"/>
  <c r="D89" i="115"/>
  <c r="D90" i="115"/>
  <c r="D91" i="115"/>
  <c r="D92" i="115"/>
  <c r="D93" i="115"/>
  <c r="D94" i="115"/>
  <c r="D95" i="115"/>
  <c r="D96" i="115"/>
  <c r="D97" i="115"/>
  <c r="D98" i="115"/>
  <c r="D25" i="115"/>
  <c r="D7" i="115"/>
  <c r="D8" i="115"/>
  <c r="D9" i="115"/>
  <c r="D10" i="115"/>
  <c r="D11" i="115"/>
  <c r="D12" i="115"/>
  <c r="D13" i="115"/>
  <c r="D14" i="115"/>
  <c r="D15" i="115"/>
  <c r="D16" i="115"/>
  <c r="D17" i="115"/>
  <c r="D18" i="115"/>
  <c r="D19" i="115"/>
  <c r="D20" i="115"/>
  <c r="D21" i="115"/>
  <c r="D22" i="115"/>
  <c r="D23" i="115"/>
  <c r="D24" i="115"/>
  <c r="E24" i="115" s="1"/>
  <c r="D6" i="115"/>
  <c r="D10" i="120"/>
  <c r="D13" i="120" s="1"/>
  <c r="L15" i="120"/>
  <c r="M15" i="120"/>
  <c r="N15" i="120"/>
  <c r="O15" i="120"/>
  <c r="P15" i="120"/>
  <c r="Q15" i="120"/>
  <c r="R15" i="120"/>
  <c r="S15" i="120"/>
  <c r="T15" i="120"/>
  <c r="U15" i="120"/>
  <c r="V15" i="120"/>
  <c r="D14" i="120" s="1"/>
  <c r="L11" i="120"/>
  <c r="L13" i="120" s="1"/>
  <c r="M11" i="120"/>
  <c r="N11" i="120"/>
  <c r="O11" i="120"/>
  <c r="O13" i="120" s="1"/>
  <c r="P11" i="120"/>
  <c r="F10" i="120" s="1"/>
  <c r="F13" i="120" s="1"/>
  <c r="Q11" i="120"/>
  <c r="R11" i="120"/>
  <c r="S11" i="120"/>
  <c r="S13" i="120" s="1"/>
  <c r="T11" i="120"/>
  <c r="T13" i="120" s="1"/>
  <c r="U11" i="120"/>
  <c r="U13" i="120" s="1"/>
  <c r="V11" i="120"/>
  <c r="V13" i="120" s="1"/>
  <c r="K15" i="120"/>
  <c r="K11" i="120"/>
  <c r="K13" i="120" s="1"/>
  <c r="F14" i="120"/>
  <c r="F6" i="120"/>
  <c r="D6" i="120"/>
  <c r="E6" i="120" s="1"/>
  <c r="C7" i="120"/>
  <c r="C9" i="120" s="1"/>
  <c r="M13" i="120"/>
  <c r="N13" i="120"/>
  <c r="P13" i="120"/>
  <c r="Q13" i="120"/>
  <c r="R13" i="120"/>
  <c r="L7" i="120"/>
  <c r="L9" i="120" s="1"/>
  <c r="M7" i="120"/>
  <c r="M9" i="120" s="1"/>
  <c r="N7" i="120"/>
  <c r="N9" i="120" s="1"/>
  <c r="O7" i="120"/>
  <c r="O9" i="120" s="1"/>
  <c r="P7" i="120"/>
  <c r="P9" i="120" s="1"/>
  <c r="Q7" i="120"/>
  <c r="Q9" i="120" s="1"/>
  <c r="R7" i="120"/>
  <c r="R9" i="120" s="1"/>
  <c r="S7" i="120"/>
  <c r="S9" i="120" s="1"/>
  <c r="T7" i="120"/>
  <c r="T9" i="120" s="1"/>
  <c r="U7" i="120"/>
  <c r="U9" i="120" s="1"/>
  <c r="V7" i="120"/>
  <c r="V9" i="120" s="1"/>
  <c r="K7" i="120"/>
  <c r="K9" i="120" s="1"/>
  <c r="V2" i="120"/>
  <c r="U2" i="120"/>
  <c r="T2" i="120"/>
  <c r="S2" i="120"/>
  <c r="R2" i="120"/>
  <c r="Q2" i="120"/>
  <c r="P2" i="120"/>
  <c r="O2" i="120"/>
  <c r="N2" i="120"/>
  <c r="M2" i="120"/>
  <c r="L2" i="120"/>
  <c r="K2" i="120"/>
  <c r="H6" i="120"/>
  <c r="I6" i="120" s="1"/>
  <c r="T9" i="93" l="1"/>
  <c r="D12" i="120"/>
  <c r="X6" i="93"/>
  <c r="AB6" i="93" s="1"/>
  <c r="X7" i="93"/>
  <c r="AB7" i="93" s="1"/>
  <c r="D7" i="120"/>
  <c r="F7" i="120"/>
  <c r="F12" i="120"/>
  <c r="C5" i="120"/>
  <c r="X8" i="93" l="1"/>
  <c r="AB8" i="93" s="1"/>
  <c r="D9" i="120"/>
  <c r="E7" i="120"/>
  <c r="F5" i="120"/>
  <c r="F9" i="120"/>
  <c r="X9" i="93" l="1"/>
  <c r="AB9" i="93" s="1"/>
  <c r="F8" i="120"/>
  <c r="E9" i="120"/>
  <c r="D8" i="120"/>
  <c r="X10" i="93" l="1"/>
  <c r="AB10" i="93" s="1"/>
  <c r="F4" i="120"/>
  <c r="X11" i="93" l="1"/>
  <c r="AB11" i="93" s="1"/>
  <c r="X12" i="93" l="1"/>
  <c r="AB12" i="93" s="1"/>
  <c r="L100" i="115" l="1"/>
  <c r="M100" i="115"/>
  <c r="N100" i="115"/>
  <c r="O100" i="115"/>
  <c r="L101" i="115"/>
  <c r="M101" i="115"/>
  <c r="N101" i="115"/>
  <c r="O101" i="115"/>
  <c r="K101" i="115"/>
  <c r="K100" i="115"/>
  <c r="G4" i="115"/>
  <c r="F93" i="115"/>
  <c r="H93" i="115" s="1"/>
  <c r="F96" i="115"/>
  <c r="F95" i="115"/>
  <c r="H95" i="115" s="1"/>
  <c r="I95" i="115" s="1"/>
  <c r="F94" i="115"/>
  <c r="F92" i="115"/>
  <c r="F91" i="115"/>
  <c r="F90" i="115"/>
  <c r="F89" i="115"/>
  <c r="H89" i="115" s="1"/>
  <c r="I89" i="115" s="1"/>
  <c r="F88" i="115"/>
  <c r="F87" i="115"/>
  <c r="H87" i="115" s="1"/>
  <c r="I87" i="115" s="1"/>
  <c r="F86" i="115"/>
  <c r="F85" i="115"/>
  <c r="H85" i="115" s="1"/>
  <c r="I85" i="115" s="1"/>
  <c r="F84" i="115"/>
  <c r="F83" i="115"/>
  <c r="F81" i="115"/>
  <c r="F80" i="115"/>
  <c r="F79" i="115"/>
  <c r="H79" i="115" s="1"/>
  <c r="I79" i="115" s="1"/>
  <c r="F78" i="115"/>
  <c r="H78" i="115" s="1"/>
  <c r="I78" i="115" s="1"/>
  <c r="F77" i="115"/>
  <c r="F76" i="115"/>
  <c r="H76" i="115" s="1"/>
  <c r="I76" i="115" s="1"/>
  <c r="F75" i="115"/>
  <c r="H75" i="115" s="1"/>
  <c r="I75" i="115" s="1"/>
  <c r="F74" i="115"/>
  <c r="H74" i="115" s="1"/>
  <c r="I74" i="115" s="1"/>
  <c r="F73" i="115"/>
  <c r="F72" i="115"/>
  <c r="H72" i="115" s="1"/>
  <c r="I72" i="115" s="1"/>
  <c r="F71" i="115"/>
  <c r="H71" i="115" s="1"/>
  <c r="I71" i="115" s="1"/>
  <c r="F70" i="115"/>
  <c r="H70" i="115" s="1"/>
  <c r="I70" i="115" s="1"/>
  <c r="F69" i="115"/>
  <c r="F68" i="115"/>
  <c r="F67" i="115"/>
  <c r="F66" i="115"/>
  <c r="H66" i="115" s="1"/>
  <c r="I66" i="115" s="1"/>
  <c r="F65" i="115"/>
  <c r="F64" i="115"/>
  <c r="H64" i="115" s="1"/>
  <c r="I64" i="115" s="1"/>
  <c r="F63" i="115"/>
  <c r="F62" i="115"/>
  <c r="H62" i="115" s="1"/>
  <c r="I62" i="115" s="1"/>
  <c r="F61" i="115"/>
  <c r="F60" i="115"/>
  <c r="H60" i="115" s="1"/>
  <c r="I60" i="115" s="1"/>
  <c r="F59" i="115"/>
  <c r="F58" i="115"/>
  <c r="H58" i="115" s="1"/>
  <c r="I58" i="115" s="1"/>
  <c r="F57" i="115"/>
  <c r="F56" i="115"/>
  <c r="H56" i="115" s="1"/>
  <c r="I56" i="115" s="1"/>
  <c r="F55" i="115"/>
  <c r="F54" i="115"/>
  <c r="H54" i="115" s="1"/>
  <c r="I54" i="115" s="1"/>
  <c r="F53" i="115"/>
  <c r="F52" i="115"/>
  <c r="F50" i="115"/>
  <c r="F49" i="115"/>
  <c r="H49" i="115" s="1"/>
  <c r="I49" i="115" s="1"/>
  <c r="F48" i="115"/>
  <c r="H48" i="115" s="1"/>
  <c r="I48" i="115" s="1"/>
  <c r="F47" i="115"/>
  <c r="H47" i="115" s="1"/>
  <c r="I47" i="115" s="1"/>
  <c r="F46" i="115"/>
  <c r="F45" i="115"/>
  <c r="F44" i="115"/>
  <c r="H44" i="115" s="1"/>
  <c r="I44" i="115" s="1"/>
  <c r="F43" i="115"/>
  <c r="H43" i="115" s="1"/>
  <c r="I43" i="115" s="1"/>
  <c r="F42" i="115"/>
  <c r="F41" i="115"/>
  <c r="F40" i="115"/>
  <c r="H40" i="115" s="1"/>
  <c r="I40" i="115" s="1"/>
  <c r="F39" i="115"/>
  <c r="H39" i="115" s="1"/>
  <c r="I39" i="115" s="1"/>
  <c r="F38" i="115"/>
  <c r="F37" i="115"/>
  <c r="F36" i="115"/>
  <c r="H36" i="115" s="1"/>
  <c r="I36" i="115" s="1"/>
  <c r="F35" i="115"/>
  <c r="H35" i="115" s="1"/>
  <c r="I35" i="115" s="1"/>
  <c r="F34" i="115"/>
  <c r="F33" i="115"/>
  <c r="F32" i="115"/>
  <c r="H32" i="115" s="1"/>
  <c r="I32" i="115" s="1"/>
  <c r="F31" i="115"/>
  <c r="H31" i="115" s="1"/>
  <c r="I31" i="115" s="1"/>
  <c r="F30" i="115"/>
  <c r="F29" i="115"/>
  <c r="F28" i="115"/>
  <c r="H28" i="115" s="1"/>
  <c r="I28" i="115" s="1"/>
  <c r="F27" i="115"/>
  <c r="H27" i="115" s="1"/>
  <c r="I27" i="115" s="1"/>
  <c r="F7" i="115"/>
  <c r="F8" i="115"/>
  <c r="H8" i="115" s="1"/>
  <c r="I8" i="115" s="1"/>
  <c r="F9" i="115"/>
  <c r="F10" i="115"/>
  <c r="H10" i="115" s="1"/>
  <c r="I10" i="115" s="1"/>
  <c r="F11" i="115"/>
  <c r="F12" i="115"/>
  <c r="H12" i="115" s="1"/>
  <c r="I12" i="115" s="1"/>
  <c r="F13" i="115"/>
  <c r="F14" i="115"/>
  <c r="H14" i="115" s="1"/>
  <c r="I14" i="115" s="1"/>
  <c r="F15" i="115"/>
  <c r="F16" i="115"/>
  <c r="F17" i="115"/>
  <c r="F18" i="115"/>
  <c r="H18" i="115" s="1"/>
  <c r="I18" i="115" s="1"/>
  <c r="F19" i="115"/>
  <c r="F20" i="115"/>
  <c r="H20" i="115" s="1"/>
  <c r="I20" i="115" s="1"/>
  <c r="F21" i="115"/>
  <c r="F22" i="115"/>
  <c r="H22" i="115" s="1"/>
  <c r="I22" i="115" s="1"/>
  <c r="F23" i="115"/>
  <c r="F24" i="115"/>
  <c r="H24" i="115" s="1"/>
  <c r="I24" i="115" s="1"/>
  <c r="F25" i="115"/>
  <c r="F5" i="115"/>
  <c r="F6" i="115"/>
  <c r="H96" i="115"/>
  <c r="I96" i="115" s="1"/>
  <c r="H94" i="115"/>
  <c r="I94" i="115" s="1"/>
  <c r="H92" i="115"/>
  <c r="I92" i="115" s="1"/>
  <c r="H91" i="115"/>
  <c r="I91" i="115" s="1"/>
  <c r="H90" i="115"/>
  <c r="I90" i="115" s="1"/>
  <c r="H88" i="115"/>
  <c r="I88" i="115" s="1"/>
  <c r="H86" i="115"/>
  <c r="I86" i="115" s="1"/>
  <c r="H84" i="115"/>
  <c r="I84" i="115" s="1"/>
  <c r="H83" i="115"/>
  <c r="I83" i="115" s="1"/>
  <c r="H81" i="115"/>
  <c r="I81" i="115" s="1"/>
  <c r="H80" i="115"/>
  <c r="I80" i="115" s="1"/>
  <c r="H77" i="115"/>
  <c r="I77" i="115" s="1"/>
  <c r="H73" i="115"/>
  <c r="I73" i="115" s="1"/>
  <c r="H67" i="115"/>
  <c r="I67" i="115" s="1"/>
  <c r="H65" i="115"/>
  <c r="I65" i="115" s="1"/>
  <c r="H63" i="115"/>
  <c r="I63" i="115" s="1"/>
  <c r="H61" i="115"/>
  <c r="I61" i="115" s="1"/>
  <c r="H59" i="115"/>
  <c r="I59" i="115" s="1"/>
  <c r="H57" i="115"/>
  <c r="I57" i="115" s="1"/>
  <c r="H55" i="115"/>
  <c r="I55" i="115" s="1"/>
  <c r="H53" i="115"/>
  <c r="I53" i="115" s="1"/>
  <c r="H25" i="115"/>
  <c r="I25" i="115" s="1"/>
  <c r="H50" i="115"/>
  <c r="I50" i="115" s="1"/>
  <c r="H46" i="115"/>
  <c r="I46" i="115" s="1"/>
  <c r="H45" i="115"/>
  <c r="I45" i="115" s="1"/>
  <c r="H42" i="115"/>
  <c r="I42" i="115" s="1"/>
  <c r="H41" i="115"/>
  <c r="I41" i="115" s="1"/>
  <c r="H38" i="115"/>
  <c r="I38" i="115" s="1"/>
  <c r="H37" i="115"/>
  <c r="I37" i="115" s="1"/>
  <c r="H34" i="115"/>
  <c r="I34" i="115" s="1"/>
  <c r="H33" i="115"/>
  <c r="I33" i="115" s="1"/>
  <c r="H30" i="115"/>
  <c r="I30" i="115" s="1"/>
  <c r="H29" i="115"/>
  <c r="I29" i="115" s="1"/>
  <c r="H7" i="115"/>
  <c r="I7" i="115" s="1"/>
  <c r="H9" i="115"/>
  <c r="I9" i="115" s="1"/>
  <c r="H11" i="115"/>
  <c r="I11" i="115" s="1"/>
  <c r="H13" i="115"/>
  <c r="I13" i="115" s="1"/>
  <c r="H15" i="115"/>
  <c r="I15" i="115" s="1"/>
  <c r="H16" i="115"/>
  <c r="I16" i="115" s="1"/>
  <c r="H17" i="115"/>
  <c r="I17" i="115" s="1"/>
  <c r="H19" i="115"/>
  <c r="I19" i="115" s="1"/>
  <c r="H21" i="115"/>
  <c r="I21" i="115" s="1"/>
  <c r="H23" i="115"/>
  <c r="I23" i="115" s="1"/>
  <c r="H6" i="115"/>
  <c r="I6" i="115" s="1"/>
  <c r="H68" i="115" l="1"/>
  <c r="I68" i="115" s="1"/>
  <c r="H52" i="115"/>
  <c r="I52" i="115" s="1"/>
  <c r="I8" i="114" l="1"/>
  <c r="H5" i="114"/>
  <c r="H6" i="114"/>
  <c r="H7" i="114"/>
  <c r="H10" i="114"/>
  <c r="H13" i="114"/>
  <c r="H14" i="114"/>
  <c r="H15" i="114"/>
  <c r="H16" i="114"/>
  <c r="H17" i="114"/>
  <c r="H18" i="114"/>
  <c r="H19" i="114"/>
  <c r="H20" i="114"/>
  <c r="H21" i="114"/>
  <c r="H22" i="114"/>
  <c r="H23" i="114"/>
  <c r="H24" i="114"/>
  <c r="H25" i="114"/>
  <c r="H26" i="114"/>
  <c r="H27" i="114"/>
  <c r="H29" i="114"/>
  <c r="H31" i="114"/>
  <c r="H32" i="114"/>
  <c r="H33" i="114"/>
  <c r="H34" i="114"/>
  <c r="H35" i="114"/>
  <c r="H36" i="114"/>
  <c r="H37" i="114"/>
  <c r="H38" i="114"/>
  <c r="H39" i="114"/>
  <c r="H40" i="114"/>
  <c r="H41" i="114"/>
  <c r="H42" i="114"/>
  <c r="H43" i="114"/>
  <c r="H44" i="114"/>
  <c r="H45" i="114"/>
  <c r="H46" i="114"/>
  <c r="H47" i="114"/>
  <c r="H48" i="114"/>
  <c r="H49" i="114"/>
  <c r="H50" i="114"/>
  <c r="H51" i="114"/>
  <c r="H52" i="114"/>
  <c r="H53" i="114"/>
  <c r="H54" i="114"/>
  <c r="H55" i="114"/>
  <c r="H56" i="114"/>
  <c r="H57" i="114"/>
  <c r="H58" i="114"/>
  <c r="H59" i="114"/>
  <c r="H60" i="114"/>
  <c r="H61" i="114"/>
  <c r="H62" i="114"/>
  <c r="H63" i="114"/>
  <c r="H4" i="114"/>
  <c r="F4" i="114"/>
  <c r="A4" i="114" s="1"/>
  <c r="C4" i="115"/>
  <c r="F61" i="114"/>
  <c r="V4" i="115" l="1"/>
  <c r="U4" i="115"/>
  <c r="T4" i="115"/>
  <c r="S4" i="115"/>
  <c r="R4" i="115"/>
  <c r="Q4" i="115"/>
  <c r="P4" i="115"/>
  <c r="F4" i="115" s="1"/>
  <c r="H4" i="115" s="1"/>
  <c r="O4" i="115"/>
  <c r="N4" i="115"/>
  <c r="M4" i="115"/>
  <c r="L4" i="115"/>
  <c r="K4" i="115"/>
  <c r="J21" i="115" l="1"/>
  <c r="J17" i="115"/>
  <c r="J13" i="115"/>
  <c r="J9" i="115"/>
  <c r="J24" i="115"/>
  <c r="J20" i="115"/>
  <c r="J16" i="115"/>
  <c r="J12" i="115"/>
  <c r="J8" i="115"/>
  <c r="J22" i="115"/>
  <c r="J14" i="115"/>
  <c r="J6" i="115"/>
  <c r="J23" i="115"/>
  <c r="J19" i="115"/>
  <c r="J15" i="115"/>
  <c r="J11" i="115"/>
  <c r="J7" i="115"/>
  <c r="J18" i="115"/>
  <c r="J10" i="115"/>
  <c r="J46" i="115"/>
  <c r="J25" i="115"/>
  <c r="J33" i="115"/>
  <c r="J48" i="115"/>
  <c r="J28" i="115"/>
  <c r="J92" i="115"/>
  <c r="J84" i="115"/>
  <c r="J83" i="115"/>
  <c r="J76" i="115"/>
  <c r="J71" i="115"/>
  <c r="J74" i="115"/>
  <c r="J63" i="115"/>
  <c r="J66" i="115"/>
  <c r="J60" i="115"/>
  <c r="J57" i="115"/>
  <c r="J31" i="115"/>
  <c r="J75" i="115"/>
  <c r="J50" i="115"/>
  <c r="J56" i="115"/>
  <c r="J42" i="115"/>
  <c r="J49" i="115"/>
  <c r="J29" i="115"/>
  <c r="J44" i="115"/>
  <c r="J47" i="115"/>
  <c r="J85" i="115"/>
  <c r="J93" i="115"/>
  <c r="J86" i="115"/>
  <c r="J72" i="115"/>
  <c r="J77" i="115"/>
  <c r="J70" i="115"/>
  <c r="J59" i="115"/>
  <c r="J62" i="115"/>
  <c r="J52" i="115"/>
  <c r="J53" i="115"/>
  <c r="J89" i="115"/>
  <c r="J78" i="115"/>
  <c r="J61" i="115"/>
  <c r="J38" i="115"/>
  <c r="J45" i="115"/>
  <c r="J43" i="115"/>
  <c r="J40" i="115"/>
  <c r="J39" i="115"/>
  <c r="J95" i="115"/>
  <c r="J94" i="115"/>
  <c r="J81" i="115"/>
  <c r="J79" i="115"/>
  <c r="J68" i="115"/>
  <c r="J73" i="115"/>
  <c r="J55" i="115"/>
  <c r="J58" i="115"/>
  <c r="J65" i="115"/>
  <c r="J64" i="115"/>
  <c r="J41" i="115"/>
  <c r="J27" i="115"/>
  <c r="J80" i="115"/>
  <c r="J67" i="115"/>
  <c r="J30" i="115"/>
  <c r="J32" i="115"/>
  <c r="J88" i="115"/>
  <c r="J54" i="115"/>
  <c r="F7" i="114"/>
  <c r="J37" i="115" l="1"/>
  <c r="J36" i="115"/>
  <c r="I48" i="114"/>
  <c r="I49" i="114"/>
  <c r="I47" i="114"/>
  <c r="I46" i="114"/>
  <c r="J46" i="114" s="1"/>
  <c r="K46" i="114" s="1"/>
  <c r="I45" i="114"/>
  <c r="J45" i="114" s="1"/>
  <c r="K45" i="114" s="1"/>
  <c r="I44" i="114"/>
  <c r="J44" i="114" s="1"/>
  <c r="K44" i="114" s="1"/>
  <c r="I43" i="114"/>
  <c r="I42" i="114"/>
  <c r="J42" i="114" s="1"/>
  <c r="I40" i="114"/>
  <c r="J40" i="114" s="1"/>
  <c r="K40" i="114" s="1"/>
  <c r="I39" i="114"/>
  <c r="I38" i="114"/>
  <c r="J38" i="114" s="1"/>
  <c r="I37" i="114"/>
  <c r="I36" i="114"/>
  <c r="J36" i="114" s="1"/>
  <c r="K36" i="114" s="1"/>
  <c r="I35" i="114"/>
  <c r="K38" i="114"/>
  <c r="I30" i="114"/>
  <c r="E57" i="114"/>
  <c r="E23" i="114"/>
  <c r="B6" i="114"/>
  <c r="F6" i="114"/>
  <c r="N57" i="114"/>
  <c r="N66" i="114" s="1"/>
  <c r="O57" i="114"/>
  <c r="O66" i="114" s="1"/>
  <c r="P57" i="114"/>
  <c r="P66" i="114" s="1"/>
  <c r="Q57" i="114"/>
  <c r="Q66" i="114" s="1"/>
  <c r="M57" i="114"/>
  <c r="M66" i="114" s="1"/>
  <c r="R64" i="114"/>
  <c r="S64" i="114"/>
  <c r="T64" i="114"/>
  <c r="U64" i="114"/>
  <c r="V64" i="114"/>
  <c r="W64" i="114"/>
  <c r="X64" i="114"/>
  <c r="N64" i="114"/>
  <c r="N23" i="114"/>
  <c r="O23" i="114"/>
  <c r="O64" i="114" s="1"/>
  <c r="P23" i="114"/>
  <c r="P64" i="114" s="1"/>
  <c r="Q23" i="114"/>
  <c r="Q64" i="114" s="1"/>
  <c r="M23" i="114"/>
  <c r="M64" i="114" s="1"/>
  <c r="M65" i="114"/>
  <c r="J35" i="114" l="1"/>
  <c r="J39" i="114"/>
  <c r="J49" i="114"/>
  <c r="J48" i="114"/>
  <c r="K48" i="114" s="1"/>
  <c r="J37" i="114"/>
  <c r="J35" i="115"/>
  <c r="J34" i="115"/>
  <c r="K42" i="114"/>
  <c r="J43" i="114"/>
  <c r="J47" i="114"/>
  <c r="K47" i="114" s="1"/>
  <c r="A6" i="114"/>
  <c r="S9" i="114"/>
  <c r="S8" i="114" s="1"/>
  <c r="T9" i="114"/>
  <c r="T8" i="114" s="1"/>
  <c r="U9" i="114"/>
  <c r="U8" i="114" s="1"/>
  <c r="V9" i="114"/>
  <c r="V8" i="114" s="1"/>
  <c r="W9" i="114"/>
  <c r="W8" i="114" s="1"/>
  <c r="X9" i="114"/>
  <c r="X8" i="114" s="1"/>
  <c r="S12" i="114"/>
  <c r="S11" i="114" s="1"/>
  <c r="T12" i="114"/>
  <c r="T11" i="114" s="1"/>
  <c r="U12" i="114"/>
  <c r="U11" i="114" s="1"/>
  <c r="V12" i="114"/>
  <c r="V11" i="114" s="1"/>
  <c r="W12" i="114"/>
  <c r="W11" i="114" s="1"/>
  <c r="X12" i="114"/>
  <c r="X11" i="114" s="1"/>
  <c r="S30" i="114"/>
  <c r="S28" i="114" s="1"/>
  <c r="X6" i="122" s="1"/>
  <c r="T30" i="114"/>
  <c r="T28" i="114" s="1"/>
  <c r="Y6" i="122" s="1"/>
  <c r="U30" i="114"/>
  <c r="U28" i="114" s="1"/>
  <c r="Z6" i="122" s="1"/>
  <c r="V30" i="114"/>
  <c r="V28" i="114" s="1"/>
  <c r="AA6" i="122" s="1"/>
  <c r="W30" i="114"/>
  <c r="W28" i="114" s="1"/>
  <c r="AB6" i="122" s="1"/>
  <c r="X30" i="114"/>
  <c r="X28" i="114" s="1"/>
  <c r="AC6" i="122" s="1"/>
  <c r="B60" i="114"/>
  <c r="A21" i="114"/>
  <c r="A29" i="114"/>
  <c r="A31" i="114"/>
  <c r="A32" i="114"/>
  <c r="A33" i="114"/>
  <c r="A43" i="114"/>
  <c r="A58" i="114"/>
  <c r="F5" i="114"/>
  <c r="A5" i="114" s="1"/>
  <c r="S66" i="114"/>
  <c r="T66" i="114"/>
  <c r="U66" i="114"/>
  <c r="V66" i="114"/>
  <c r="W66" i="114"/>
  <c r="X66" i="114"/>
  <c r="S67" i="114"/>
  <c r="T67" i="114"/>
  <c r="U67" i="114"/>
  <c r="V67" i="114"/>
  <c r="W67" i="114"/>
  <c r="X67" i="114"/>
  <c r="S68" i="114"/>
  <c r="T68" i="114"/>
  <c r="U68" i="114"/>
  <c r="V68" i="114"/>
  <c r="W68" i="114"/>
  <c r="X68" i="114"/>
  <c r="R67" i="114"/>
  <c r="N67" i="114"/>
  <c r="O67" i="114"/>
  <c r="P67" i="114"/>
  <c r="Q67" i="114"/>
  <c r="R66" i="114"/>
  <c r="N65" i="114"/>
  <c r="O65" i="114"/>
  <c r="P65" i="114"/>
  <c r="Q65" i="114"/>
  <c r="R65" i="114"/>
  <c r="M67" i="114"/>
  <c r="N68" i="114"/>
  <c r="O68" i="114"/>
  <c r="P68" i="114"/>
  <c r="Q68" i="114"/>
  <c r="R68" i="114"/>
  <c r="S65" i="114"/>
  <c r="T65" i="114"/>
  <c r="U65" i="114"/>
  <c r="V65" i="114"/>
  <c r="W65" i="114"/>
  <c r="X65" i="114"/>
  <c r="M68" i="114"/>
  <c r="K39" i="114" l="1"/>
  <c r="K43" i="114"/>
  <c r="K37" i="114"/>
  <c r="K49" i="114"/>
  <c r="K35" i="114"/>
  <c r="I11" i="114"/>
  <c r="I7" i="114" s="1"/>
  <c r="J7" i="114" s="1"/>
  <c r="I14" i="114"/>
  <c r="J14" i="114" s="1"/>
  <c r="I12" i="114"/>
  <c r="I9" i="114"/>
  <c r="I62" i="114"/>
  <c r="J62" i="114" s="1"/>
  <c r="I63" i="114"/>
  <c r="J63" i="114" s="1"/>
  <c r="I59" i="114"/>
  <c r="J59" i="114" s="1"/>
  <c r="I60" i="114"/>
  <c r="J60" i="114" s="1"/>
  <c r="I58" i="114"/>
  <c r="J58" i="114" s="1"/>
  <c r="I55" i="114"/>
  <c r="J55" i="114" s="1"/>
  <c r="I56" i="114"/>
  <c r="J56" i="114" s="1"/>
  <c r="I54" i="114"/>
  <c r="J54" i="114" s="1"/>
  <c r="I53" i="114"/>
  <c r="J53" i="114" s="1"/>
  <c r="I52" i="114"/>
  <c r="J52" i="114" s="1"/>
  <c r="I51" i="114"/>
  <c r="J51" i="114" s="1"/>
  <c r="I50" i="114"/>
  <c r="J50" i="114" s="1"/>
  <c r="I28" i="114"/>
  <c r="I41" i="114"/>
  <c r="J41" i="114" s="1"/>
  <c r="I34" i="114"/>
  <c r="J34" i="114" s="1"/>
  <c r="I25" i="114"/>
  <c r="J25" i="114" s="1"/>
  <c r="I24" i="114"/>
  <c r="J24" i="114" s="1"/>
  <c r="K50" i="114" l="1"/>
  <c r="K54" i="114"/>
  <c r="K60" i="114"/>
  <c r="K34" i="114"/>
  <c r="K51" i="114"/>
  <c r="K56" i="114"/>
  <c r="K59" i="114"/>
  <c r="K41" i="114"/>
  <c r="K52" i="114"/>
  <c r="K55" i="114"/>
  <c r="K63" i="114"/>
  <c r="K25" i="114"/>
  <c r="K24" i="114"/>
  <c r="K53" i="114"/>
  <c r="K58" i="114"/>
  <c r="K62" i="114"/>
  <c r="I27" i="114"/>
  <c r="I26" i="114" l="1"/>
  <c r="J27" i="114"/>
  <c r="C27" i="114"/>
  <c r="I22" i="114"/>
  <c r="J22" i="114" s="1"/>
  <c r="I21" i="114"/>
  <c r="J21" i="114" s="1"/>
  <c r="I20" i="114"/>
  <c r="J20" i="114" s="1"/>
  <c r="I19" i="114"/>
  <c r="J19" i="114" s="1"/>
  <c r="I18" i="114"/>
  <c r="J18" i="114" s="1"/>
  <c r="I17" i="114"/>
  <c r="J17" i="114" s="1"/>
  <c r="I16" i="114"/>
  <c r="J16" i="114" s="1"/>
  <c r="K22" i="114" l="1"/>
  <c r="K19" i="114"/>
  <c r="K18" i="114"/>
  <c r="K16" i="114"/>
  <c r="K20" i="114"/>
  <c r="K27" i="114"/>
  <c r="K17" i="114"/>
  <c r="K21" i="114"/>
  <c r="C26" i="114"/>
  <c r="J26" i="114"/>
  <c r="I57" i="114"/>
  <c r="C131" i="41"/>
  <c r="C134" i="41"/>
  <c r="K26" i="114" l="1"/>
  <c r="M134" i="41"/>
  <c r="M132" i="41"/>
  <c r="C128" i="41"/>
  <c r="C129" i="41" s="1"/>
  <c r="C125" i="41"/>
  <c r="C25" i="109"/>
  <c r="E71" i="74"/>
  <c r="F71" i="74"/>
  <c r="G71" i="74"/>
  <c r="I40" i="105" l="1"/>
  <c r="H22" i="14" l="1"/>
  <c r="D22" i="109" l="1"/>
  <c r="E19" i="109"/>
  <c r="F19" i="109"/>
  <c r="E20" i="109"/>
  <c r="F20" i="109"/>
  <c r="E21" i="109"/>
  <c r="F21" i="109"/>
  <c r="E22" i="109"/>
  <c r="F22" i="109"/>
  <c r="D21" i="109"/>
  <c r="D20" i="109"/>
  <c r="D19" i="109"/>
  <c r="D29" i="109"/>
  <c r="E29" i="109"/>
  <c r="F29" i="109"/>
  <c r="G29" i="109"/>
  <c r="H29" i="109"/>
  <c r="I29" i="109"/>
  <c r="J29" i="109"/>
  <c r="K29" i="109"/>
  <c r="L29" i="109"/>
  <c r="M29" i="109"/>
  <c r="N29" i="109"/>
  <c r="D18" i="109"/>
  <c r="D17" i="109"/>
  <c r="D15" i="109"/>
  <c r="C18" i="109"/>
  <c r="C17" i="109"/>
  <c r="C15" i="109"/>
  <c r="C19" i="109"/>
  <c r="C20" i="109"/>
  <c r="C21" i="109"/>
  <c r="C22" i="109"/>
  <c r="C14" i="109"/>
  <c r="Q33" i="14" l="1"/>
  <c r="G9" i="4" l="1"/>
  <c r="E37" i="81" l="1"/>
  <c r="F37" i="81" s="1"/>
  <c r="G37" i="81" s="1"/>
  <c r="E36" i="81"/>
  <c r="F36" i="81" s="1"/>
  <c r="G36" i="81" s="1"/>
  <c r="H36" i="81" s="1"/>
  <c r="E34" i="81"/>
  <c r="E31" i="81"/>
  <c r="E30" i="81"/>
  <c r="F30" i="81" s="1"/>
  <c r="G30" i="81" s="1"/>
  <c r="K8" i="30" l="1"/>
  <c r="E7" i="81" l="1"/>
  <c r="E13" i="81" l="1"/>
  <c r="F13" i="81" s="1"/>
  <c r="G13" i="81" s="1"/>
  <c r="E12" i="81"/>
  <c r="F12" i="81" s="1"/>
  <c r="G12" i="81" s="1"/>
  <c r="H12" i="81" s="1"/>
  <c r="E10" i="81"/>
  <c r="E6" i="81" l="1"/>
  <c r="F6" i="81" s="1"/>
  <c r="G6" i="81" s="1"/>
  <c r="C6" i="109" l="1"/>
  <c r="C5" i="109"/>
  <c r="H70" i="74"/>
  <c r="I70" i="74" s="1"/>
  <c r="J70" i="74" s="1"/>
  <c r="G54" i="74"/>
  <c r="H54" i="74" s="1"/>
  <c r="I54" i="74" s="1"/>
  <c r="I4" i="81" l="1"/>
  <c r="A133" i="41" l="1"/>
  <c r="M133" i="41" s="1"/>
  <c r="H142" i="30"/>
  <c r="I142" i="30" s="1"/>
  <c r="J142" i="30" s="1"/>
  <c r="K142" i="30" s="1"/>
  <c r="E24" i="105"/>
  <c r="E23" i="105"/>
  <c r="E29" i="105"/>
  <c r="H13" i="17" l="1"/>
  <c r="I13" i="17" s="1"/>
  <c r="J13" i="17" s="1"/>
  <c r="K13" i="17" s="1"/>
  <c r="H14" i="17"/>
  <c r="I14" i="17" s="1"/>
  <c r="J14" i="17" s="1"/>
  <c r="K14" i="17" s="1"/>
  <c r="H15" i="17"/>
  <c r="I15" i="17" s="1"/>
  <c r="J15" i="17" s="1"/>
  <c r="K15" i="17" s="1"/>
  <c r="H16" i="17"/>
  <c r="I16" i="17" s="1"/>
  <c r="J16" i="17" s="1"/>
  <c r="K16" i="17" s="1"/>
  <c r="H17" i="17"/>
  <c r="I17" i="17" s="1"/>
  <c r="J17" i="17" s="1"/>
  <c r="K17" i="17" s="1"/>
  <c r="H12" i="17"/>
  <c r="I12" i="17" s="1"/>
  <c r="J12" i="17" s="1"/>
  <c r="K12" i="17" s="1"/>
  <c r="H7" i="17"/>
  <c r="I7" i="17" s="1"/>
  <c r="J7" i="17" s="1"/>
  <c r="K7" i="17" s="1"/>
  <c r="H8" i="17"/>
  <c r="I8" i="17" s="1"/>
  <c r="J8" i="17" s="1"/>
  <c r="K8" i="17" s="1"/>
  <c r="H9" i="17"/>
  <c r="I9" i="17" s="1"/>
  <c r="J9" i="17" s="1"/>
  <c r="K9" i="17" s="1"/>
  <c r="H10" i="17"/>
  <c r="I10" i="17" s="1"/>
  <c r="J10" i="17" s="1"/>
  <c r="K10" i="17" s="1"/>
  <c r="H6" i="17"/>
  <c r="I6" i="17" s="1"/>
  <c r="J6" i="17" s="1"/>
  <c r="K6" i="17" s="1"/>
  <c r="H7" i="30"/>
  <c r="J33" i="105" l="1"/>
  <c r="J36" i="105"/>
  <c r="I36" i="105"/>
  <c r="G36" i="105"/>
  <c r="E25" i="105"/>
  <c r="E31" i="105"/>
  <c r="E30" i="105"/>
  <c r="M37" i="119"/>
  <c r="G103" i="119"/>
  <c r="G104" i="119"/>
  <c r="D24" i="119" l="1"/>
  <c r="D27" i="119"/>
  <c r="D31" i="119"/>
  <c r="D33" i="119"/>
  <c r="K4" i="109" l="1"/>
  <c r="K3" i="109"/>
  <c r="D39" i="109"/>
  <c r="E39" i="109"/>
  <c r="E16" i="109" s="1"/>
  <c r="F39" i="109"/>
  <c r="G39" i="109"/>
  <c r="G16" i="109" s="1"/>
  <c r="H39" i="109"/>
  <c r="I39" i="109"/>
  <c r="J39" i="109"/>
  <c r="K39" i="109"/>
  <c r="L39" i="109"/>
  <c r="M39" i="109"/>
  <c r="N39" i="109"/>
  <c r="C39" i="109"/>
  <c r="C16" i="109" s="1"/>
  <c r="D45" i="80"/>
  <c r="D47" i="80"/>
  <c r="D46" i="80"/>
  <c r="D44" i="80"/>
  <c r="D43" i="80"/>
  <c r="D36" i="80"/>
  <c r="G17" i="30" s="1"/>
  <c r="D42" i="80"/>
  <c r="D37" i="80"/>
  <c r="D35" i="80"/>
  <c r="A37" i="80"/>
  <c r="D40" i="80"/>
  <c r="D39" i="80"/>
  <c r="D38" i="80"/>
  <c r="A44" i="80"/>
  <c r="A42" i="80"/>
  <c r="F143" i="41"/>
  <c r="G143" i="41"/>
  <c r="H143" i="41"/>
  <c r="E143" i="41"/>
  <c r="B29" i="80"/>
  <c r="B28" i="80"/>
  <c r="B27" i="80"/>
  <c r="D56" i="79"/>
  <c r="E56" i="79"/>
  <c r="F56" i="79"/>
  <c r="D58" i="79"/>
  <c r="E58" i="79"/>
  <c r="F58" i="79"/>
  <c r="G58" i="79"/>
  <c r="H58" i="79"/>
  <c r="I58" i="79"/>
  <c r="J58" i="79"/>
  <c r="K58" i="79"/>
  <c r="D59" i="79"/>
  <c r="E59" i="79"/>
  <c r="F59" i="79"/>
  <c r="G59" i="79"/>
  <c r="H59" i="79"/>
  <c r="I59" i="79"/>
  <c r="J59" i="79"/>
  <c r="K59" i="79"/>
  <c r="C59" i="79"/>
  <c r="C58" i="79"/>
  <c r="G38" i="39"/>
  <c r="G56" i="79" s="1"/>
  <c r="C56" i="79"/>
  <c r="G64" i="79"/>
  <c r="F6" i="105" l="1"/>
  <c r="F34" i="105"/>
  <c r="F14" i="105"/>
  <c r="F29" i="105"/>
  <c r="F19" i="105"/>
  <c r="F30" i="105"/>
  <c r="F5" i="105"/>
  <c r="F21" i="105"/>
  <c r="F7" i="105"/>
  <c r="F25" i="105"/>
  <c r="F13" i="105"/>
  <c r="F24" i="105"/>
  <c r="F32" i="105"/>
  <c r="F33" i="105"/>
  <c r="G51" i="109"/>
  <c r="F9" i="105"/>
  <c r="F11" i="105"/>
  <c r="F15" i="105"/>
  <c r="F22" i="105"/>
  <c r="F26" i="105"/>
  <c r="F31" i="105"/>
  <c r="F8" i="105"/>
  <c r="F12" i="105"/>
  <c r="F18" i="105"/>
  <c r="F23" i="105"/>
  <c r="F28" i="105"/>
  <c r="H104" i="30" l="1"/>
  <c r="I104" i="30" s="1"/>
  <c r="J104" i="30" s="1"/>
  <c r="K104" i="30" s="1"/>
  <c r="F144" i="41"/>
  <c r="G144" i="41"/>
  <c r="H144" i="41"/>
  <c r="E144" i="41"/>
  <c r="P142" i="41"/>
  <c r="Q142" i="41"/>
  <c r="R142" i="41"/>
  <c r="E41" i="30"/>
  <c r="F41" i="30"/>
  <c r="L21" i="4" l="1"/>
  <c r="H21" i="30"/>
  <c r="H20" i="30" s="1"/>
  <c r="C126" i="30"/>
  <c r="I21" i="30" l="1"/>
  <c r="J21" i="30" s="1"/>
  <c r="K21" i="30" s="1"/>
  <c r="D126" i="30"/>
  <c r="D125" i="30"/>
  <c r="C125" i="30" s="1"/>
  <c r="L2" i="115" l="1"/>
  <c r="M2" i="115"/>
  <c r="N2" i="115"/>
  <c r="O2" i="115"/>
  <c r="P2" i="115"/>
  <c r="Q2" i="115"/>
  <c r="R2" i="115"/>
  <c r="S2" i="115"/>
  <c r="T2" i="115"/>
  <c r="U2" i="115"/>
  <c r="V2" i="115"/>
  <c r="K2" i="115"/>
  <c r="D125" i="41"/>
  <c r="E125" i="41"/>
  <c r="F125" i="41"/>
  <c r="G125" i="41"/>
  <c r="H125" i="41"/>
  <c r="I125" i="41"/>
  <c r="J125" i="41"/>
  <c r="K125" i="41"/>
  <c r="L125" i="41"/>
  <c r="M125" i="41"/>
  <c r="N125" i="41"/>
  <c r="A126" i="41"/>
  <c r="D128" i="41"/>
  <c r="E128" i="41"/>
  <c r="E129" i="41" s="1"/>
  <c r="E28" i="109" s="1"/>
  <c r="F128" i="41"/>
  <c r="F129" i="41" s="1"/>
  <c r="F28" i="109" s="1"/>
  <c r="G128" i="41"/>
  <c r="H128" i="41"/>
  <c r="H129" i="41" s="1"/>
  <c r="H28" i="109" s="1"/>
  <c r="I128" i="41"/>
  <c r="I129" i="41" s="1"/>
  <c r="I28" i="109" s="1"/>
  <c r="J128" i="41"/>
  <c r="J129" i="41" s="1"/>
  <c r="J28" i="109" s="1"/>
  <c r="K128" i="41"/>
  <c r="K129" i="41" s="1"/>
  <c r="K28" i="109" s="1"/>
  <c r="L128" i="41"/>
  <c r="M128" i="41"/>
  <c r="M129" i="41" s="1"/>
  <c r="M28" i="109" s="1"/>
  <c r="N128" i="41"/>
  <c r="N129" i="41" s="1"/>
  <c r="N28" i="109" s="1"/>
  <c r="C28" i="109"/>
  <c r="L5" i="109" s="1"/>
  <c r="D129" i="41"/>
  <c r="D28" i="109" s="1"/>
  <c r="G129" i="41"/>
  <c r="G28" i="109" s="1"/>
  <c r="L129" i="41"/>
  <c r="L28" i="109" s="1"/>
  <c r="C30" i="109"/>
  <c r="L7" i="109" s="1"/>
  <c r="D131" i="41"/>
  <c r="E131" i="41"/>
  <c r="F131" i="41"/>
  <c r="F30" i="109" s="1"/>
  <c r="G131" i="41"/>
  <c r="G30" i="109" s="1"/>
  <c r="H131" i="41"/>
  <c r="H30" i="109" s="1"/>
  <c r="I131" i="41"/>
  <c r="J131" i="41"/>
  <c r="J30" i="109" s="1"/>
  <c r="K131" i="41"/>
  <c r="K30" i="109" s="1"/>
  <c r="L131" i="41"/>
  <c r="L30" i="109" s="1"/>
  <c r="M131" i="41"/>
  <c r="N131" i="41"/>
  <c r="N30" i="109" s="1"/>
  <c r="C132" i="41"/>
  <c r="C31" i="109" s="1"/>
  <c r="D132" i="41"/>
  <c r="E132" i="41"/>
  <c r="E31" i="109" s="1"/>
  <c r="F132" i="41"/>
  <c r="F31" i="109" s="1"/>
  <c r="G132" i="41"/>
  <c r="G31" i="109" s="1"/>
  <c r="H132" i="41"/>
  <c r="H31" i="109" s="1"/>
  <c r="I132" i="41"/>
  <c r="I31" i="109" s="1"/>
  <c r="J132" i="41"/>
  <c r="J31" i="109" s="1"/>
  <c r="K132" i="41"/>
  <c r="K31" i="109" s="1"/>
  <c r="L132" i="41"/>
  <c r="L31" i="109" s="1"/>
  <c r="M31" i="109"/>
  <c r="N132" i="41"/>
  <c r="N31" i="109" s="1"/>
  <c r="C133" i="41"/>
  <c r="C32" i="109" s="1"/>
  <c r="D133" i="41"/>
  <c r="D32" i="109" s="1"/>
  <c r="E133" i="41"/>
  <c r="F133" i="41"/>
  <c r="F32" i="109" s="1"/>
  <c r="G133" i="41"/>
  <c r="G32" i="109" s="1"/>
  <c r="H133" i="41"/>
  <c r="H32" i="109" s="1"/>
  <c r="I133" i="41"/>
  <c r="J133" i="41"/>
  <c r="J32" i="109" s="1"/>
  <c r="K133" i="41"/>
  <c r="K32" i="109" s="1"/>
  <c r="L133" i="41"/>
  <c r="L32" i="109" s="1"/>
  <c r="N133" i="41"/>
  <c r="N32" i="109" s="1"/>
  <c r="O135" i="41"/>
  <c r="O136" i="41"/>
  <c r="O137" i="41"/>
  <c r="O138" i="41"/>
  <c r="O139" i="41"/>
  <c r="O140" i="41"/>
  <c r="D30" i="109"/>
  <c r="E30" i="109"/>
  <c r="I30" i="109"/>
  <c r="M30" i="109"/>
  <c r="E32" i="109"/>
  <c r="I32" i="109"/>
  <c r="M32" i="109"/>
  <c r="C29" i="109"/>
  <c r="L6" i="109" s="1"/>
  <c r="D27" i="109"/>
  <c r="E17" i="109"/>
  <c r="F17" i="109"/>
  <c r="E15" i="109"/>
  <c r="F15" i="109"/>
  <c r="E14" i="109"/>
  <c r="F14" i="109"/>
  <c r="D14" i="109"/>
  <c r="E27" i="109"/>
  <c r="F27" i="109"/>
  <c r="G27" i="109"/>
  <c r="H27" i="109"/>
  <c r="I27" i="109"/>
  <c r="J27" i="109"/>
  <c r="K27" i="109"/>
  <c r="L27" i="109"/>
  <c r="M27" i="109"/>
  <c r="N27" i="109"/>
  <c r="C27" i="109"/>
  <c r="L8" i="109" l="1"/>
  <c r="E126" i="41"/>
  <c r="C126" i="41"/>
  <c r="L9" i="109"/>
  <c r="O32" i="109"/>
  <c r="O131" i="41"/>
  <c r="O125" i="41"/>
  <c r="O129" i="41"/>
  <c r="O128" i="41"/>
  <c r="O132" i="41"/>
  <c r="N126" i="41"/>
  <c r="K126" i="41"/>
  <c r="G126" i="41"/>
  <c r="O30" i="109"/>
  <c r="O130" i="41"/>
  <c r="O133" i="41"/>
  <c r="L126" i="41"/>
  <c r="H126" i="41"/>
  <c r="D126" i="41"/>
  <c r="J126" i="41"/>
  <c r="F126" i="41"/>
  <c r="D31" i="109"/>
  <c r="O31" i="109" s="1"/>
  <c r="M126" i="41"/>
  <c r="I126" i="41"/>
  <c r="G20" i="109" l="1"/>
  <c r="H20" i="109" s="1"/>
  <c r="G19" i="109"/>
  <c r="G21" i="109"/>
  <c r="H21" i="109" s="1"/>
  <c r="I21" i="109" s="1"/>
  <c r="O127" i="41"/>
  <c r="D26" i="109"/>
  <c r="O126" i="41"/>
  <c r="I20" i="109" l="1"/>
  <c r="J20" i="109" s="1"/>
  <c r="K20" i="109" s="1"/>
  <c r="J21" i="109"/>
  <c r="K21" i="109" s="1"/>
  <c r="L21" i="109" s="1"/>
  <c r="H19" i="109"/>
  <c r="A43" i="80"/>
  <c r="G9" i="30"/>
  <c r="G11" i="30" s="1"/>
  <c r="H9" i="30"/>
  <c r="I9" i="30" s="1"/>
  <c r="J9" i="30" s="1"/>
  <c r="K9" i="30" s="1"/>
  <c r="H11" i="30" l="1"/>
  <c r="B5" i="122"/>
  <c r="L20" i="109"/>
  <c r="M20" i="109" s="1"/>
  <c r="M21" i="109"/>
  <c r="N21" i="109" s="1"/>
  <c r="I19" i="109"/>
  <c r="A41" i="80"/>
  <c r="I39" i="105"/>
  <c r="M36" i="119" s="1"/>
  <c r="G5" i="17"/>
  <c r="H29" i="17"/>
  <c r="I29" i="17" s="1"/>
  <c r="J29" i="17" s="1"/>
  <c r="K29" i="17" s="1"/>
  <c r="H30" i="17"/>
  <c r="I30" i="17" s="1"/>
  <c r="J30" i="17" s="1"/>
  <c r="K30" i="17" s="1"/>
  <c r="H31" i="17"/>
  <c r="I31" i="17" s="1"/>
  <c r="J31" i="17" s="1"/>
  <c r="K31" i="17" s="1"/>
  <c r="H32" i="17"/>
  <c r="I32" i="17" s="1"/>
  <c r="J32" i="17" s="1"/>
  <c r="K32" i="17" s="1"/>
  <c r="H33" i="17"/>
  <c r="I33" i="17" s="1"/>
  <c r="J33" i="17" s="1"/>
  <c r="K33" i="17" s="1"/>
  <c r="H27" i="17"/>
  <c r="I27" i="17" s="1"/>
  <c r="J27" i="17" s="1"/>
  <c r="K27" i="17" s="1"/>
  <c r="H26" i="17"/>
  <c r="I26" i="17" s="1"/>
  <c r="J26" i="17" s="1"/>
  <c r="K26" i="17" s="1"/>
  <c r="H28" i="4"/>
  <c r="I28" i="4"/>
  <c r="J28" i="4"/>
  <c r="K28" i="4"/>
  <c r="H30" i="4"/>
  <c r="I30" i="4"/>
  <c r="J30" i="4"/>
  <c r="K30" i="4"/>
  <c r="H32" i="4"/>
  <c r="I32" i="4"/>
  <c r="J32" i="4"/>
  <c r="K32" i="4"/>
  <c r="H7" i="37"/>
  <c r="I7" i="37"/>
  <c r="J7" i="37"/>
  <c r="K7" i="37"/>
  <c r="H15" i="37"/>
  <c r="I15" i="37"/>
  <c r="J15" i="37"/>
  <c r="K15" i="37"/>
  <c r="H17" i="37"/>
  <c r="H13" i="37" s="1"/>
  <c r="I17" i="37"/>
  <c r="I13" i="37" s="1"/>
  <c r="J17" i="37"/>
  <c r="J13" i="37" s="1"/>
  <c r="K17" i="37"/>
  <c r="H22" i="37"/>
  <c r="H25" i="37" s="1"/>
  <c r="I22" i="37"/>
  <c r="I25" i="37" s="1"/>
  <c r="J22" i="37"/>
  <c r="J25" i="37" s="1"/>
  <c r="K22" i="37"/>
  <c r="K25" i="37" s="1"/>
  <c r="H36" i="37"/>
  <c r="I36" i="37"/>
  <c r="J36" i="37"/>
  <c r="K36" i="37"/>
  <c r="H44" i="37"/>
  <c r="I44" i="37"/>
  <c r="J44" i="37"/>
  <c r="K44" i="37"/>
  <c r="H45" i="37"/>
  <c r="I45" i="37"/>
  <c r="J45" i="37"/>
  <c r="K45" i="37"/>
  <c r="H46" i="37"/>
  <c r="I46" i="37"/>
  <c r="J46" i="37"/>
  <c r="K46" i="37"/>
  <c r="H47" i="37"/>
  <c r="I47" i="37"/>
  <c r="J47" i="37"/>
  <c r="K47" i="37"/>
  <c r="H48" i="37"/>
  <c r="I48" i="37"/>
  <c r="J48" i="37"/>
  <c r="K48" i="37"/>
  <c r="H49" i="37"/>
  <c r="I49" i="37"/>
  <c r="J49" i="37"/>
  <c r="K49" i="37"/>
  <c r="H40" i="79"/>
  <c r="I40" i="79" s="1"/>
  <c r="J40" i="79" s="1"/>
  <c r="K40" i="79" s="1"/>
  <c r="H49" i="89"/>
  <c r="I49" i="89"/>
  <c r="I50" i="89" s="1"/>
  <c r="J49" i="89"/>
  <c r="K49" i="89"/>
  <c r="H26" i="39"/>
  <c r="I26" i="39"/>
  <c r="J26" i="39"/>
  <c r="K26" i="39"/>
  <c r="H38" i="39"/>
  <c r="H56" i="79" s="1"/>
  <c r="I38" i="39"/>
  <c r="I56" i="79" s="1"/>
  <c r="J38" i="39"/>
  <c r="J56" i="79" s="1"/>
  <c r="K38" i="39"/>
  <c r="K56" i="79" s="1"/>
  <c r="H62" i="51"/>
  <c r="I62" i="51"/>
  <c r="J62" i="51"/>
  <c r="K62" i="51"/>
  <c r="H41" i="51" l="1"/>
  <c r="I34" i="39" s="1"/>
  <c r="N20" i="109"/>
  <c r="J19" i="109"/>
  <c r="K19" i="109" s="1"/>
  <c r="K50" i="89"/>
  <c r="K13" i="37"/>
  <c r="K41" i="51"/>
  <c r="J41" i="51"/>
  <c r="K34" i="39" s="1"/>
  <c r="I41" i="51"/>
  <c r="J34" i="39" s="1"/>
  <c r="J50" i="89"/>
  <c r="L19" i="109" l="1"/>
  <c r="M19" i="109" s="1"/>
  <c r="H55" i="30"/>
  <c r="H37" i="4" s="1"/>
  <c r="H54" i="30"/>
  <c r="H67" i="30"/>
  <c r="H16" i="47" s="1"/>
  <c r="H20" i="79" s="1"/>
  <c r="H68" i="30"/>
  <c r="H17" i="47" s="1"/>
  <c r="H21" i="79" s="1"/>
  <c r="H69" i="30"/>
  <c r="I69" i="30" s="1"/>
  <c r="J69" i="30" s="1"/>
  <c r="K69" i="30" s="1"/>
  <c r="H14" i="47"/>
  <c r="H19" i="79" s="1"/>
  <c r="H71" i="30"/>
  <c r="H28" i="79" s="1"/>
  <c r="H27" i="79" s="1"/>
  <c r="H30" i="30"/>
  <c r="I30" i="30" s="1"/>
  <c r="J30" i="30" s="1"/>
  <c r="K30" i="30" s="1"/>
  <c r="H31" i="30"/>
  <c r="I31" i="30" s="1"/>
  <c r="J31" i="30" s="1"/>
  <c r="K31" i="30" s="1"/>
  <c r="H32" i="30"/>
  <c r="I32" i="30" s="1"/>
  <c r="J32" i="30" s="1"/>
  <c r="K32" i="30" s="1"/>
  <c r="H33" i="30"/>
  <c r="I33" i="30" s="1"/>
  <c r="J33" i="30" s="1"/>
  <c r="K33" i="30" s="1"/>
  <c r="H34" i="30"/>
  <c r="H35" i="30"/>
  <c r="I35" i="30" s="1"/>
  <c r="J35" i="30" s="1"/>
  <c r="K35" i="30" s="1"/>
  <c r="H36" i="30"/>
  <c r="H10" i="4" s="1"/>
  <c r="H37" i="30"/>
  <c r="H11" i="4" s="1"/>
  <c r="H29" i="30"/>
  <c r="H28" i="30"/>
  <c r="I28" i="30" s="1"/>
  <c r="H144" i="30"/>
  <c r="H149" i="30"/>
  <c r="H55" i="37" s="1"/>
  <c r="H150" i="30"/>
  <c r="H148" i="30"/>
  <c r="I8" i="45"/>
  <c r="J8" i="45"/>
  <c r="K8" i="45"/>
  <c r="H9" i="45"/>
  <c r="I9" i="45"/>
  <c r="J9" i="45"/>
  <c r="K9" i="45"/>
  <c r="H10" i="45"/>
  <c r="I10" i="45"/>
  <c r="J10" i="45"/>
  <c r="K10" i="45"/>
  <c r="H14" i="45"/>
  <c r="I14" i="45"/>
  <c r="J14" i="45"/>
  <c r="K14" i="45"/>
  <c r="L3" i="37"/>
  <c r="G3" i="47"/>
  <c r="K3" i="30"/>
  <c r="J3" i="30"/>
  <c r="I3" i="30"/>
  <c r="K142" i="41" s="1"/>
  <c r="H3" i="30"/>
  <c r="I67" i="30" l="1"/>
  <c r="J67" i="30" s="1"/>
  <c r="N19" i="109"/>
  <c r="O19" i="109" s="1"/>
  <c r="L142" i="41"/>
  <c r="Q3" i="105"/>
  <c r="H9" i="4"/>
  <c r="M142" i="41"/>
  <c r="R3" i="105"/>
  <c r="I29" i="30"/>
  <c r="AC5" i="4"/>
  <c r="J142" i="41"/>
  <c r="I68" i="30"/>
  <c r="I17" i="47" s="1"/>
  <c r="I21" i="79" s="1"/>
  <c r="J28" i="30"/>
  <c r="K28" i="30" s="1"/>
  <c r="I144" i="30"/>
  <c r="H51" i="37"/>
  <c r="I3" i="79"/>
  <c r="P3" i="105"/>
  <c r="I3" i="51"/>
  <c r="I150" i="30"/>
  <c r="H56" i="37"/>
  <c r="H3" i="47"/>
  <c r="O3" i="105"/>
  <c r="I148" i="30"/>
  <c r="H54" i="37"/>
  <c r="AE3" i="4"/>
  <c r="K3" i="4"/>
  <c r="H3" i="4"/>
  <c r="I149" i="30"/>
  <c r="I71" i="30"/>
  <c r="I54" i="30"/>
  <c r="H36" i="4"/>
  <c r="I55" i="30"/>
  <c r="K3" i="39"/>
  <c r="O3" i="4"/>
  <c r="AC3" i="4"/>
  <c r="I36" i="30"/>
  <c r="K3" i="79"/>
  <c r="I3" i="47"/>
  <c r="K3" i="88"/>
  <c r="H3" i="48"/>
  <c r="V3" i="4"/>
  <c r="I37" i="30"/>
  <c r="I34" i="30"/>
  <c r="K3" i="51"/>
  <c r="K3" i="89"/>
  <c r="H3" i="45"/>
  <c r="J3" i="47"/>
  <c r="J3" i="51"/>
  <c r="J3" i="88"/>
  <c r="J3" i="89"/>
  <c r="J3" i="79"/>
  <c r="K3" i="48"/>
  <c r="K3" i="45"/>
  <c r="R3" i="4"/>
  <c r="Y3" i="4"/>
  <c r="AF5" i="4"/>
  <c r="AF3" i="4"/>
  <c r="K3" i="47"/>
  <c r="H3" i="51"/>
  <c r="H3" i="39"/>
  <c r="H3" i="88"/>
  <c r="H3" i="89"/>
  <c r="H3" i="79"/>
  <c r="H3" i="37"/>
  <c r="I3" i="37"/>
  <c r="I3" i="48"/>
  <c r="I3" i="45"/>
  <c r="I3" i="4"/>
  <c r="P3" i="4"/>
  <c r="W3" i="4"/>
  <c r="AD5" i="4"/>
  <c r="AD3" i="4"/>
  <c r="J3" i="39"/>
  <c r="K3" i="37"/>
  <c r="I3" i="39"/>
  <c r="I3" i="88"/>
  <c r="I3" i="89"/>
  <c r="J3" i="37"/>
  <c r="J3" i="48"/>
  <c r="J3" i="45"/>
  <c r="J3" i="4"/>
  <c r="Q3" i="4"/>
  <c r="X3" i="4"/>
  <c r="AE5" i="4"/>
  <c r="Y13" i="114"/>
  <c r="Z13" i="114" s="1"/>
  <c r="Y15" i="114"/>
  <c r="Z15" i="114" s="1"/>
  <c r="Y21" i="114"/>
  <c r="Z21" i="114" s="1"/>
  <c r="Y29" i="114"/>
  <c r="Z29" i="114" s="1"/>
  <c r="Y31" i="114"/>
  <c r="Z31" i="114" s="1"/>
  <c r="Y32" i="114"/>
  <c r="Z32" i="114" s="1"/>
  <c r="Y33" i="114"/>
  <c r="Z33" i="114" s="1"/>
  <c r="Y43" i="114"/>
  <c r="Z43" i="114" s="1"/>
  <c r="Y58" i="114"/>
  <c r="Z58" i="114" s="1"/>
  <c r="I16" i="47" l="1"/>
  <c r="I20" i="79" s="1"/>
  <c r="J29" i="30"/>
  <c r="I9" i="4"/>
  <c r="J68" i="30"/>
  <c r="K68" i="30" s="1"/>
  <c r="K17" i="47" s="1"/>
  <c r="K21" i="79" s="1"/>
  <c r="J54" i="30"/>
  <c r="I36" i="4"/>
  <c r="J149" i="30"/>
  <c r="I55" i="37"/>
  <c r="J144" i="30"/>
  <c r="I51" i="37"/>
  <c r="J148" i="30"/>
  <c r="I54" i="37"/>
  <c r="K67" i="30"/>
  <c r="K16" i="47" s="1"/>
  <c r="K20" i="79" s="1"/>
  <c r="J16" i="47"/>
  <c r="J20" i="79" s="1"/>
  <c r="J150" i="30"/>
  <c r="I56" i="37"/>
  <c r="I14" i="47"/>
  <c r="I19" i="79" s="1"/>
  <c r="I37" i="4"/>
  <c r="J55" i="30"/>
  <c r="I28" i="79"/>
  <c r="I27" i="79" s="1"/>
  <c r="J71" i="30"/>
  <c r="I10" i="4"/>
  <c r="J36" i="30"/>
  <c r="J34" i="30"/>
  <c r="J37" i="30"/>
  <c r="I11" i="4"/>
  <c r="G50" i="109"/>
  <c r="H50" i="109"/>
  <c r="I50" i="109"/>
  <c r="J50" i="109"/>
  <c r="K50" i="109"/>
  <c r="L50" i="109"/>
  <c r="M50" i="109"/>
  <c r="N50" i="109"/>
  <c r="N12" i="114"/>
  <c r="N11" i="114" s="1"/>
  <c r="O12" i="114"/>
  <c r="O11" i="114" s="1"/>
  <c r="P12" i="114"/>
  <c r="P11" i="114" s="1"/>
  <c r="Q12" i="114"/>
  <c r="Q11" i="114" s="1"/>
  <c r="R12" i="114"/>
  <c r="M12" i="114"/>
  <c r="M11" i="114" s="1"/>
  <c r="G26" i="109"/>
  <c r="G10" i="114"/>
  <c r="Y10" i="114" s="1"/>
  <c r="Z10" i="114" s="1"/>
  <c r="N30" i="114"/>
  <c r="N28" i="114" s="1"/>
  <c r="S6" i="122" s="1"/>
  <c r="O30" i="114"/>
  <c r="O28" i="114" s="1"/>
  <c r="T6" i="122" s="1"/>
  <c r="P30" i="114"/>
  <c r="P28" i="114" s="1"/>
  <c r="U6" i="122" s="1"/>
  <c r="Q30" i="114"/>
  <c r="Q28" i="114" s="1"/>
  <c r="V6" i="122" s="1"/>
  <c r="R30" i="114"/>
  <c r="M30" i="114"/>
  <c r="M28" i="114" s="1"/>
  <c r="R6" i="122" s="1"/>
  <c r="E15" i="114"/>
  <c r="R28" i="114" l="1"/>
  <c r="H30" i="114"/>
  <c r="J30" i="114" s="1"/>
  <c r="R11" i="114"/>
  <c r="H11" i="114" s="1"/>
  <c r="J11" i="114" s="1"/>
  <c r="H12" i="114"/>
  <c r="J12" i="114" s="1"/>
  <c r="K29" i="30"/>
  <c r="J9" i="4"/>
  <c r="J17" i="47"/>
  <c r="J21" i="79" s="1"/>
  <c r="K144" i="30"/>
  <c r="K51" i="37" s="1"/>
  <c r="J51" i="37"/>
  <c r="K54" i="30"/>
  <c r="K36" i="4" s="1"/>
  <c r="J36" i="4"/>
  <c r="J37" i="4"/>
  <c r="K55" i="30"/>
  <c r="K37" i="4" s="1"/>
  <c r="K150" i="30"/>
  <c r="K56" i="37" s="1"/>
  <c r="J56" i="37"/>
  <c r="K148" i="30"/>
  <c r="K54" i="37" s="1"/>
  <c r="J54" i="37"/>
  <c r="K149" i="30"/>
  <c r="K55" i="37" s="1"/>
  <c r="J55" i="37"/>
  <c r="K71" i="30"/>
  <c r="K28" i="79" s="1"/>
  <c r="K27" i="79" s="1"/>
  <c r="J28" i="79"/>
  <c r="J27" i="79" s="1"/>
  <c r="J14" i="47"/>
  <c r="J19" i="79" s="1"/>
  <c r="K14" i="47"/>
  <c r="K19" i="79" s="1"/>
  <c r="K34" i="30"/>
  <c r="J10" i="4"/>
  <c r="K36" i="30"/>
  <c r="K10" i="4" s="1"/>
  <c r="K37" i="30"/>
  <c r="K11" i="4" s="1"/>
  <c r="J11" i="4"/>
  <c r="N26" i="109"/>
  <c r="M26" i="109"/>
  <c r="J26" i="109"/>
  <c r="I26" i="109"/>
  <c r="L26" i="109"/>
  <c r="H26" i="109"/>
  <c r="K26" i="109"/>
  <c r="E34" i="115"/>
  <c r="N9" i="114"/>
  <c r="O9" i="114"/>
  <c r="P9" i="114"/>
  <c r="Q9" i="114"/>
  <c r="Q8" i="114" s="1"/>
  <c r="R9" i="114"/>
  <c r="M9" i="114"/>
  <c r="G14" i="47"/>
  <c r="D12" i="119" s="1"/>
  <c r="G37" i="4"/>
  <c r="D44" i="119" s="1"/>
  <c r="G36" i="4"/>
  <c r="D43" i="119" s="1"/>
  <c r="G10" i="4"/>
  <c r="G8" i="4"/>
  <c r="C33" i="4"/>
  <c r="C52" i="79" s="1"/>
  <c r="D33" i="4"/>
  <c r="D52" i="79" s="1"/>
  <c r="E33" i="4"/>
  <c r="E52" i="79" s="1"/>
  <c r="F33" i="4"/>
  <c r="F52" i="79" s="1"/>
  <c r="H28" i="114" l="1"/>
  <c r="J28" i="114" s="1"/>
  <c r="W6" i="122"/>
  <c r="R8" i="114"/>
  <c r="H8" i="114" s="1"/>
  <c r="J8" i="114" s="1"/>
  <c r="H9" i="114"/>
  <c r="J9" i="114" s="1"/>
  <c r="K9" i="4"/>
  <c r="C50" i="109"/>
  <c r="C26" i="109"/>
  <c r="E50" i="109"/>
  <c r="E26" i="109"/>
  <c r="O28" i="109"/>
  <c r="F50" i="109"/>
  <c r="F26" i="109"/>
  <c r="D50" i="109"/>
  <c r="P8" i="114"/>
  <c r="P14" i="114"/>
  <c r="O8" i="114"/>
  <c r="O14" i="114"/>
  <c r="N8" i="114"/>
  <c r="N14" i="114"/>
  <c r="M8" i="114"/>
  <c r="M14" i="114"/>
  <c r="Q14" i="114"/>
  <c r="L4" i="109" l="1"/>
  <c r="F8" i="114"/>
  <c r="G8" i="114" s="1"/>
  <c r="K8" i="114"/>
  <c r="O50" i="109"/>
  <c r="O26" i="109"/>
  <c r="G28" i="4"/>
  <c r="D35" i="119" s="1"/>
  <c r="G30" i="4"/>
  <c r="D37" i="119" s="1"/>
  <c r="G32" i="4"/>
  <c r="D39" i="119" s="1"/>
  <c r="E114" i="41"/>
  <c r="F114" i="41"/>
  <c r="E117" i="41"/>
  <c r="F117" i="41"/>
  <c r="G117" i="41"/>
  <c r="H117" i="41"/>
  <c r="F120" i="41"/>
  <c r="G120" i="41" l="1"/>
  <c r="G15" i="109"/>
  <c r="H15" i="109" s="1"/>
  <c r="E98" i="115"/>
  <c r="E97" i="115"/>
  <c r="E96" i="115"/>
  <c r="E95" i="115"/>
  <c r="E94" i="115"/>
  <c r="E93" i="115"/>
  <c r="E92" i="115"/>
  <c r="E91" i="115"/>
  <c r="E90" i="115"/>
  <c r="E89" i="115"/>
  <c r="E88" i="115"/>
  <c r="E87" i="115"/>
  <c r="E86" i="115"/>
  <c r="E85" i="115"/>
  <c r="E84" i="115"/>
  <c r="E83" i="115"/>
  <c r="E81" i="115"/>
  <c r="E80" i="115"/>
  <c r="E79" i="115"/>
  <c r="E78" i="115"/>
  <c r="E77" i="115"/>
  <c r="E76" i="115"/>
  <c r="E75" i="115"/>
  <c r="E74" i="115"/>
  <c r="E73" i="115"/>
  <c r="E72" i="115"/>
  <c r="E71" i="115"/>
  <c r="E70" i="115"/>
  <c r="E68" i="115"/>
  <c r="E67" i="115"/>
  <c r="E66" i="115"/>
  <c r="E65" i="115"/>
  <c r="E64" i="115"/>
  <c r="E63" i="115"/>
  <c r="E62" i="115"/>
  <c r="E61" i="115"/>
  <c r="E60" i="115"/>
  <c r="E59" i="115"/>
  <c r="E58" i="115"/>
  <c r="E57" i="115"/>
  <c r="E56" i="115"/>
  <c r="E55" i="115"/>
  <c r="E54" i="115"/>
  <c r="E53" i="115"/>
  <c r="E52" i="115"/>
  <c r="E50" i="115"/>
  <c r="E49" i="115"/>
  <c r="E48" i="115"/>
  <c r="E47" i="115"/>
  <c r="E46" i="115"/>
  <c r="E45" i="115"/>
  <c r="E44" i="115"/>
  <c r="E43" i="115"/>
  <c r="E42" i="115"/>
  <c r="E41" i="115"/>
  <c r="E40" i="115"/>
  <c r="E39" i="115"/>
  <c r="E38" i="115"/>
  <c r="E37" i="115"/>
  <c r="E36" i="115"/>
  <c r="E35" i="115"/>
  <c r="E33" i="115"/>
  <c r="E32" i="115"/>
  <c r="E31" i="115"/>
  <c r="E30" i="115"/>
  <c r="E29" i="115"/>
  <c r="E28" i="115"/>
  <c r="E27" i="115"/>
  <c r="E25" i="115"/>
  <c r="E23" i="115"/>
  <c r="E22" i="115"/>
  <c r="E21" i="115"/>
  <c r="E20" i="115"/>
  <c r="E19" i="115"/>
  <c r="E18" i="115"/>
  <c r="E17" i="115"/>
  <c r="E16" i="115"/>
  <c r="E15" i="115"/>
  <c r="E14" i="115"/>
  <c r="E13" i="115"/>
  <c r="E12" i="115"/>
  <c r="E11" i="115"/>
  <c r="E10" i="115"/>
  <c r="E9" i="115"/>
  <c r="E8" i="115"/>
  <c r="E7" i="115"/>
  <c r="E6" i="115"/>
  <c r="F63" i="114"/>
  <c r="A63" i="114" s="1"/>
  <c r="F62" i="114"/>
  <c r="A62" i="114" s="1"/>
  <c r="F60" i="114"/>
  <c r="A60" i="114" s="1"/>
  <c r="F59" i="114"/>
  <c r="A59" i="114" s="1"/>
  <c r="F56" i="114"/>
  <c r="A56" i="114" s="1"/>
  <c r="F55" i="114"/>
  <c r="A55" i="114" s="1"/>
  <c r="F54" i="114"/>
  <c r="A54" i="114" s="1"/>
  <c r="F53" i="114"/>
  <c r="A53" i="114" s="1"/>
  <c r="F52" i="114"/>
  <c r="A52" i="114" s="1"/>
  <c r="F51" i="114"/>
  <c r="A51" i="114" s="1"/>
  <c r="F50" i="114"/>
  <c r="A50" i="114" s="1"/>
  <c r="F49" i="114"/>
  <c r="A49" i="114" s="1"/>
  <c r="F48" i="114"/>
  <c r="A48" i="114" s="1"/>
  <c r="F47" i="114"/>
  <c r="A47" i="114" s="1"/>
  <c r="F46" i="114"/>
  <c r="A46" i="114" s="1"/>
  <c r="F45" i="114"/>
  <c r="A45" i="114" s="1"/>
  <c r="F44" i="114"/>
  <c r="A44" i="114" s="1"/>
  <c r="F42" i="114"/>
  <c r="A42" i="114" s="1"/>
  <c r="F41" i="114"/>
  <c r="A41" i="114" s="1"/>
  <c r="F40" i="114"/>
  <c r="A40" i="114" s="1"/>
  <c r="F39" i="114"/>
  <c r="A39" i="114" s="1"/>
  <c r="F38" i="114"/>
  <c r="F37" i="114"/>
  <c r="A37" i="114" s="1"/>
  <c r="F36" i="114"/>
  <c r="A36" i="114" s="1"/>
  <c r="F35" i="114"/>
  <c r="A35" i="114" s="1"/>
  <c r="F34" i="114"/>
  <c r="E33" i="114"/>
  <c r="E32" i="114"/>
  <c r="F30" i="114"/>
  <c r="F28" i="114"/>
  <c r="F27" i="114"/>
  <c r="F26" i="114"/>
  <c r="F25" i="114"/>
  <c r="F24" i="114"/>
  <c r="A24" i="114" s="1"/>
  <c r="F22" i="114"/>
  <c r="A22" i="114" s="1"/>
  <c r="F20" i="114"/>
  <c r="A20" i="114" s="1"/>
  <c r="F19" i="114"/>
  <c r="A19" i="114" s="1"/>
  <c r="F18" i="114"/>
  <c r="F17" i="114"/>
  <c r="A17" i="114" s="1"/>
  <c r="F16" i="114"/>
  <c r="F14" i="114"/>
  <c r="K14" i="114" s="1"/>
  <c r="F12" i="114"/>
  <c r="K12" i="114" s="1"/>
  <c r="F11" i="114"/>
  <c r="K11" i="114" s="1"/>
  <c r="F9" i="114"/>
  <c r="K9" i="114" s="1"/>
  <c r="A16" i="114" l="1"/>
  <c r="F23" i="114"/>
  <c r="F57" i="114"/>
  <c r="A26" i="114"/>
  <c r="A27" i="114"/>
  <c r="A18" i="114"/>
  <c r="A38" i="114"/>
  <c r="A61" i="114"/>
  <c r="A25" i="114"/>
  <c r="G35" i="114"/>
  <c r="Y35" i="114" s="1"/>
  <c r="Z35" i="114" s="1"/>
  <c r="G42" i="114"/>
  <c r="Y42" i="114" s="1"/>
  <c r="Z42" i="114" s="1"/>
  <c r="G51" i="114"/>
  <c r="Y51" i="114" s="1"/>
  <c r="Z51" i="114" s="1"/>
  <c r="G37" i="114"/>
  <c r="Y37" i="114" s="1"/>
  <c r="Z37" i="114" s="1"/>
  <c r="G40" i="114"/>
  <c r="Y40" i="114" s="1"/>
  <c r="Z40" i="114" s="1"/>
  <c r="G45" i="114"/>
  <c r="Y45" i="114" s="1"/>
  <c r="Z45" i="114" s="1"/>
  <c r="G49" i="114"/>
  <c r="Y49" i="114" s="1"/>
  <c r="Z49" i="114" s="1"/>
  <c r="G53" i="114"/>
  <c r="Y53" i="114" s="1"/>
  <c r="Z53" i="114" s="1"/>
  <c r="G59" i="114"/>
  <c r="Y59" i="114" s="1"/>
  <c r="Z59" i="114" s="1"/>
  <c r="G17" i="114"/>
  <c r="Y17" i="114" s="1"/>
  <c r="Z17" i="114" s="1"/>
  <c r="G24" i="114"/>
  <c r="Y24" i="114" s="1"/>
  <c r="Z24" i="114" s="1"/>
  <c r="G16" i="114"/>
  <c r="Y16" i="114" s="1"/>
  <c r="Z16" i="114" s="1"/>
  <c r="G19" i="114"/>
  <c r="Y19" i="114" s="1"/>
  <c r="Z19" i="114" s="1"/>
  <c r="G25" i="114"/>
  <c r="Y25" i="114" s="1"/>
  <c r="Z25" i="114" s="1"/>
  <c r="G34" i="114"/>
  <c r="Y34" i="114" s="1"/>
  <c r="Z34" i="114" s="1"/>
  <c r="G38" i="114"/>
  <c r="Y38" i="114" s="1"/>
  <c r="Z38" i="114" s="1"/>
  <c r="G41" i="114"/>
  <c r="Y41" i="114" s="1"/>
  <c r="Z41" i="114" s="1"/>
  <c r="G46" i="114"/>
  <c r="Y46" i="114" s="1"/>
  <c r="Z46" i="114" s="1"/>
  <c r="G50" i="114"/>
  <c r="Y50" i="114" s="1"/>
  <c r="Z50" i="114" s="1"/>
  <c r="G54" i="114"/>
  <c r="Y54" i="114" s="1"/>
  <c r="Z54" i="114" s="1"/>
  <c r="G60" i="114"/>
  <c r="Y60" i="114" s="1"/>
  <c r="Z60" i="114" s="1"/>
  <c r="G20" i="114"/>
  <c r="Y20" i="114" s="1"/>
  <c r="Z20" i="114" s="1"/>
  <c r="G47" i="114"/>
  <c r="Y47" i="114" s="1"/>
  <c r="Z47" i="114" s="1"/>
  <c r="G55" i="114"/>
  <c r="Y55" i="114" s="1"/>
  <c r="Z55" i="114" s="1"/>
  <c r="G18" i="114"/>
  <c r="Y18" i="114" s="1"/>
  <c r="Z18" i="114" s="1"/>
  <c r="G22" i="114"/>
  <c r="Y22" i="114" s="1"/>
  <c r="Z22" i="114" s="1"/>
  <c r="G36" i="114"/>
  <c r="Y36" i="114" s="1"/>
  <c r="Z36" i="114" s="1"/>
  <c r="G39" i="114"/>
  <c r="Y39" i="114" s="1"/>
  <c r="Z39" i="114" s="1"/>
  <c r="G44" i="114"/>
  <c r="Y44" i="114" s="1"/>
  <c r="Z44" i="114" s="1"/>
  <c r="G48" i="114"/>
  <c r="Y48" i="114" s="1"/>
  <c r="Z48" i="114" s="1"/>
  <c r="G52" i="114"/>
  <c r="Y52" i="114" s="1"/>
  <c r="Z52" i="114" s="1"/>
  <c r="G56" i="114"/>
  <c r="Y56" i="114" s="1"/>
  <c r="Z56" i="114" s="1"/>
  <c r="G63" i="114"/>
  <c r="Y63" i="114" s="1"/>
  <c r="Z63" i="114" s="1"/>
  <c r="G62" i="114"/>
  <c r="G9" i="114"/>
  <c r="Y9" i="114" s="1"/>
  <c r="Z9" i="114" s="1"/>
  <c r="G30" i="114"/>
  <c r="Y30" i="114" s="1"/>
  <c r="Z30" i="114" s="1"/>
  <c r="G11" i="114"/>
  <c r="Y11" i="114" s="1"/>
  <c r="Z11" i="114" s="1"/>
  <c r="G12" i="114"/>
  <c r="Y12" i="114" s="1"/>
  <c r="Z12" i="114" s="1"/>
  <c r="G28" i="114"/>
  <c r="Y28" i="114" s="1"/>
  <c r="Z28" i="114" s="1"/>
  <c r="G14" i="114"/>
  <c r="Y14" i="114" s="1"/>
  <c r="Z14" i="114" s="1"/>
  <c r="I15" i="109"/>
  <c r="G26" i="114"/>
  <c r="Y26" i="114" s="1"/>
  <c r="Z26" i="114" s="1"/>
  <c r="G27" i="114"/>
  <c r="Y27" i="114" s="1"/>
  <c r="Z27" i="114" s="1"/>
  <c r="G61" i="114"/>
  <c r="Y61" i="114" s="1"/>
  <c r="Z61" i="114" s="1"/>
  <c r="D42" i="113"/>
  <c r="D43" i="113"/>
  <c r="D44" i="113"/>
  <c r="D45" i="113"/>
  <c r="D46" i="113"/>
  <c r="D47" i="113"/>
  <c r="D48" i="113"/>
  <c r="D41" i="113"/>
  <c r="D32" i="113"/>
  <c r="D33" i="113"/>
  <c r="D34" i="113"/>
  <c r="D35" i="113"/>
  <c r="D36" i="113"/>
  <c r="D37" i="113"/>
  <c r="D38" i="113"/>
  <c r="D31" i="113"/>
  <c r="D22" i="113"/>
  <c r="D23" i="113"/>
  <c r="D24" i="113"/>
  <c r="D25" i="113"/>
  <c r="D26" i="113"/>
  <c r="D27" i="113"/>
  <c r="D28" i="113"/>
  <c r="D21" i="113"/>
  <c r="D12" i="113"/>
  <c r="D13" i="113"/>
  <c r="D14" i="113"/>
  <c r="D15" i="113"/>
  <c r="D16" i="113"/>
  <c r="D17" i="113"/>
  <c r="D18" i="113"/>
  <c r="D11" i="113"/>
  <c r="G3" i="113"/>
  <c r="G7" i="113" s="1"/>
  <c r="H3" i="113"/>
  <c r="H7" i="113" s="1"/>
  <c r="I3" i="113"/>
  <c r="I7" i="113" s="1"/>
  <c r="F3" i="113"/>
  <c r="F7" i="113" s="1"/>
  <c r="F2" i="113"/>
  <c r="F6" i="113" s="1"/>
  <c r="B2" i="113"/>
  <c r="B6" i="113" s="1"/>
  <c r="C3" i="113"/>
  <c r="C7" i="113" s="1"/>
  <c r="D3" i="113"/>
  <c r="D7" i="113" s="1"/>
  <c r="E3" i="113"/>
  <c r="E7" i="113" s="1"/>
  <c r="B3" i="113"/>
  <c r="B7" i="113" s="1"/>
  <c r="C30" i="112"/>
  <c r="G20" i="112"/>
  <c r="G19" i="112"/>
  <c r="P5" i="112"/>
  <c r="P4" i="112"/>
  <c r="P13" i="112"/>
  <c r="P12" i="112"/>
  <c r="G29" i="112"/>
  <c r="G28" i="112"/>
  <c r="P35" i="112"/>
  <c r="P37" i="112"/>
  <c r="P29" i="112"/>
  <c r="P19" i="112"/>
  <c r="P21" i="112"/>
  <c r="C49" i="112"/>
  <c r="D58" i="112"/>
  <c r="E58" i="112"/>
  <c r="F58" i="112"/>
  <c r="C58" i="112"/>
  <c r="K28" i="114" l="1"/>
  <c r="K30" i="114"/>
  <c r="Y62" i="114"/>
  <c r="Z62" i="114" s="1"/>
  <c r="G7" i="114"/>
  <c r="J15" i="109"/>
  <c r="K15" i="109" s="1"/>
  <c r="C5" i="112"/>
  <c r="C13" i="112" s="1"/>
  <c r="D5" i="112"/>
  <c r="D13" i="112" s="1"/>
  <c r="E5" i="112"/>
  <c r="E13" i="112" s="1"/>
  <c r="F5" i="112"/>
  <c r="F13" i="112" s="1"/>
  <c r="D4" i="112"/>
  <c r="D55" i="112" s="1"/>
  <c r="E4" i="112"/>
  <c r="E55" i="112" s="1"/>
  <c r="F4" i="112"/>
  <c r="F55" i="112" s="1"/>
  <c r="C4" i="112"/>
  <c r="C55" i="112" s="1"/>
  <c r="J50" i="112" s="1"/>
  <c r="Y8" i="114" l="1"/>
  <c r="Z8" i="114" s="1"/>
  <c r="L15" i="109"/>
  <c r="M15" i="109" s="1"/>
  <c r="N15" i="109" s="1"/>
  <c r="O15" i="109" s="1"/>
  <c r="G13" i="112"/>
  <c r="D12" i="112"/>
  <c r="D54" i="112" s="1"/>
  <c r="C12" i="112"/>
  <c r="F12" i="112"/>
  <c r="F54" i="112" s="1"/>
  <c r="E12" i="112"/>
  <c r="E54" i="112" s="1"/>
  <c r="G5" i="112"/>
  <c r="D56" i="112"/>
  <c r="E56" i="112"/>
  <c r="F56" i="112"/>
  <c r="C56" i="112"/>
  <c r="J51" i="112" s="1"/>
  <c r="G55" i="112"/>
  <c r="G58" i="112"/>
  <c r="F49" i="112"/>
  <c r="E49" i="112"/>
  <c r="D49" i="112"/>
  <c r="G49" i="112" l="1"/>
  <c r="H49" i="112" s="1"/>
  <c r="C54" i="112"/>
  <c r="G54" i="112" s="1"/>
  <c r="C15" i="112"/>
  <c r="F59" i="112"/>
  <c r="F57" i="112" s="1"/>
  <c r="F53" i="112" s="1"/>
  <c r="E59" i="112"/>
  <c r="E57" i="112" s="1"/>
  <c r="E53" i="112" s="1"/>
  <c r="D59" i="112"/>
  <c r="D57" i="112" s="1"/>
  <c r="D53" i="112" s="1"/>
  <c r="C59" i="112"/>
  <c r="C57" i="112" s="1"/>
  <c r="G50" i="112"/>
  <c r="D50" i="112"/>
  <c r="D48" i="112" s="1"/>
  <c r="E50" i="112"/>
  <c r="E48" i="112" s="1"/>
  <c r="F50" i="112"/>
  <c r="F48" i="112" s="1"/>
  <c r="C50" i="112"/>
  <c r="C48" i="112" s="1"/>
  <c r="O3" i="112"/>
  <c r="N3" i="112"/>
  <c r="M3" i="112"/>
  <c r="L3" i="112"/>
  <c r="O11" i="112"/>
  <c r="N11" i="112"/>
  <c r="M11" i="112"/>
  <c r="L11" i="112"/>
  <c r="O27" i="112"/>
  <c r="N27" i="112"/>
  <c r="M27" i="112"/>
  <c r="L27" i="112"/>
  <c r="C68" i="112"/>
  <c r="C16" i="113" s="1"/>
  <c r="G12" i="112"/>
  <c r="F3" i="112"/>
  <c r="E3" i="112"/>
  <c r="D3" i="112"/>
  <c r="C3" i="112"/>
  <c r="F46" i="112" l="1"/>
  <c r="C53" i="112"/>
  <c r="G53" i="112" s="1"/>
  <c r="J52" i="112"/>
  <c r="J53" i="112" s="1"/>
  <c r="C46" i="112"/>
  <c r="D46" i="112"/>
  <c r="E46" i="112"/>
  <c r="K48" i="112"/>
  <c r="L48" i="112" s="1"/>
  <c r="M48" i="112" s="1"/>
  <c r="N48" i="112"/>
  <c r="K52" i="112"/>
  <c r="G48" i="112"/>
  <c r="G57" i="112"/>
  <c r="G46" i="112" l="1"/>
  <c r="N46" i="112"/>
  <c r="K46" i="112"/>
  <c r="L46" i="112" s="1"/>
  <c r="M46" i="112" s="1"/>
  <c r="K50" i="112"/>
  <c r="F104" i="112"/>
  <c r="E104" i="112"/>
  <c r="D104" i="112"/>
  <c r="C104" i="112"/>
  <c r="F103" i="112"/>
  <c r="E103" i="112"/>
  <c r="D103" i="112"/>
  <c r="C103" i="112"/>
  <c r="F102" i="112"/>
  <c r="E102" i="112"/>
  <c r="D102" i="112"/>
  <c r="C102" i="112"/>
  <c r="F101" i="112"/>
  <c r="E101" i="112"/>
  <c r="D101" i="112"/>
  <c r="C101" i="112"/>
  <c r="F100" i="112"/>
  <c r="E100" i="112"/>
  <c r="D100" i="112"/>
  <c r="C100" i="112"/>
  <c r="F99" i="112"/>
  <c r="E99" i="112"/>
  <c r="D99" i="112"/>
  <c r="C99" i="112"/>
  <c r="F98" i="112"/>
  <c r="E98" i="112"/>
  <c r="D98" i="112"/>
  <c r="C98" i="112"/>
  <c r="F97" i="112"/>
  <c r="E8" i="113" s="1"/>
  <c r="E97" i="112"/>
  <c r="D8" i="113" s="1"/>
  <c r="D97" i="112"/>
  <c r="C8" i="113" s="1"/>
  <c r="C97" i="112"/>
  <c r="B8" i="113" s="1"/>
  <c r="M96" i="112"/>
  <c r="G96" i="112"/>
  <c r="M95" i="112"/>
  <c r="G95" i="112"/>
  <c r="M94" i="112"/>
  <c r="G94" i="112"/>
  <c r="M93" i="112"/>
  <c r="G93" i="112"/>
  <c r="M92" i="112"/>
  <c r="G92" i="112"/>
  <c r="M91" i="112"/>
  <c r="G91" i="112"/>
  <c r="M90" i="112"/>
  <c r="G90" i="112"/>
  <c r="M89" i="112"/>
  <c r="G89" i="112"/>
  <c r="F70" i="112"/>
  <c r="E70" i="112"/>
  <c r="D70" i="112"/>
  <c r="C70" i="112"/>
  <c r="F69" i="112"/>
  <c r="E69" i="112"/>
  <c r="D69" i="112"/>
  <c r="C27" i="113" s="1"/>
  <c r="C69" i="112"/>
  <c r="F68" i="112"/>
  <c r="E68" i="112"/>
  <c r="D68" i="112"/>
  <c r="C76" i="112"/>
  <c r="F67" i="112"/>
  <c r="C45" i="113" s="1"/>
  <c r="E67" i="112"/>
  <c r="D67" i="112"/>
  <c r="C67" i="112"/>
  <c r="F66" i="112"/>
  <c r="E66" i="112"/>
  <c r="D66" i="112"/>
  <c r="C66" i="112"/>
  <c r="C14" i="113" s="1"/>
  <c r="F65" i="112"/>
  <c r="E65" i="112"/>
  <c r="D65" i="112"/>
  <c r="C23" i="113" s="1"/>
  <c r="C65" i="112"/>
  <c r="F64" i="112"/>
  <c r="E64" i="112"/>
  <c r="D64" i="112"/>
  <c r="C64" i="112"/>
  <c r="F63" i="112"/>
  <c r="E63" i="112"/>
  <c r="D63" i="112"/>
  <c r="C63" i="112"/>
  <c r="O39" i="112"/>
  <c r="N39" i="112"/>
  <c r="M39" i="112"/>
  <c r="L39" i="112"/>
  <c r="O38" i="112"/>
  <c r="N38" i="112"/>
  <c r="M38" i="112"/>
  <c r="L38" i="112"/>
  <c r="P36" i="112"/>
  <c r="Q35" i="112"/>
  <c r="R35" i="112" s="1"/>
  <c r="G32" i="112"/>
  <c r="F32" i="112"/>
  <c r="E32" i="112"/>
  <c r="D32" i="112"/>
  <c r="C32" i="112"/>
  <c r="O31" i="112"/>
  <c r="N31" i="112"/>
  <c r="M31" i="112"/>
  <c r="L31" i="112"/>
  <c r="G31" i="112"/>
  <c r="G33" i="112" s="1"/>
  <c r="G34" i="112" s="1"/>
  <c r="F31" i="112"/>
  <c r="F33" i="112" s="1"/>
  <c r="E31" i="112"/>
  <c r="E33" i="112" s="1"/>
  <c r="D31" i="112"/>
  <c r="D33" i="112" s="1"/>
  <c r="C31" i="112"/>
  <c r="C33" i="112" s="1"/>
  <c r="G30" i="112"/>
  <c r="F30" i="112"/>
  <c r="E30" i="112"/>
  <c r="D30" i="112"/>
  <c r="P28" i="112"/>
  <c r="P31" i="112" s="1"/>
  <c r="H28" i="112"/>
  <c r="I28" i="112" s="1"/>
  <c r="Q27" i="112"/>
  <c r="O30" i="112"/>
  <c r="N30" i="112"/>
  <c r="M30" i="112"/>
  <c r="L30" i="112"/>
  <c r="O23" i="112"/>
  <c r="N23" i="112"/>
  <c r="M23" i="112"/>
  <c r="L23" i="112"/>
  <c r="O22" i="112"/>
  <c r="N22" i="112"/>
  <c r="M22" i="112"/>
  <c r="L22" i="112"/>
  <c r="G22" i="112"/>
  <c r="F22" i="112"/>
  <c r="E22" i="112"/>
  <c r="D22" i="112"/>
  <c r="C22" i="112"/>
  <c r="G21" i="112"/>
  <c r="G23" i="112" s="1"/>
  <c r="F21" i="112"/>
  <c r="E21" i="112"/>
  <c r="D21" i="112"/>
  <c r="D23" i="112" s="1"/>
  <c r="C21" i="112"/>
  <c r="C25" i="112" s="1"/>
  <c r="P20" i="112"/>
  <c r="P23" i="112" s="1"/>
  <c r="Q19" i="112"/>
  <c r="R19" i="112" s="1"/>
  <c r="H19" i="112"/>
  <c r="I19" i="112" s="1"/>
  <c r="O15" i="112"/>
  <c r="N15" i="112"/>
  <c r="M15" i="112"/>
  <c r="L15" i="112"/>
  <c r="G15" i="112"/>
  <c r="F15" i="112"/>
  <c r="E15" i="112"/>
  <c r="D15" i="112"/>
  <c r="P15" i="112"/>
  <c r="Q11" i="112"/>
  <c r="O14" i="112"/>
  <c r="N14" i="112"/>
  <c r="M14" i="112"/>
  <c r="L14" i="112"/>
  <c r="H11" i="112"/>
  <c r="O7" i="112"/>
  <c r="N7" i="112"/>
  <c r="M7" i="112"/>
  <c r="L7" i="112"/>
  <c r="F7" i="112"/>
  <c r="E4" i="113" s="1"/>
  <c r="E7" i="112"/>
  <c r="D4" i="113" s="1"/>
  <c r="D7" i="112"/>
  <c r="C4" i="113" s="1"/>
  <c r="C7" i="112"/>
  <c r="B4" i="113" s="1"/>
  <c r="F6" i="112"/>
  <c r="P7" i="112"/>
  <c r="G4" i="112"/>
  <c r="G7" i="112" s="1"/>
  <c r="Q3" i="112"/>
  <c r="O6" i="112"/>
  <c r="N6" i="112"/>
  <c r="M6" i="112"/>
  <c r="M8" i="112" s="1"/>
  <c r="L6" i="112"/>
  <c r="H3" i="112"/>
  <c r="E6" i="112"/>
  <c r="D6" i="112"/>
  <c r="G3" i="112"/>
  <c r="G26" i="30"/>
  <c r="H48" i="112" s="1"/>
  <c r="L8" i="112" l="1"/>
  <c r="C34" i="112"/>
  <c r="L40" i="112"/>
  <c r="N8" i="112"/>
  <c r="N40" i="112"/>
  <c r="O8" i="112"/>
  <c r="D25" i="112"/>
  <c r="F34" i="112"/>
  <c r="F71" i="112"/>
  <c r="F79" i="112" s="1"/>
  <c r="I8" i="113" s="1"/>
  <c r="C41" i="113"/>
  <c r="F73" i="112"/>
  <c r="F81" i="112" s="1"/>
  <c r="C43" i="113"/>
  <c r="F76" i="112"/>
  <c r="F84" i="112" s="1"/>
  <c r="C46" i="113"/>
  <c r="F78" i="112"/>
  <c r="F86" i="112" s="1"/>
  <c r="C48" i="113"/>
  <c r="C71" i="112"/>
  <c r="C79" i="112" s="1"/>
  <c r="F8" i="113" s="1"/>
  <c r="C11" i="113"/>
  <c r="C72" i="112"/>
  <c r="C80" i="112" s="1"/>
  <c r="C12" i="113"/>
  <c r="C73" i="112"/>
  <c r="C81" i="112" s="1"/>
  <c r="C13" i="113"/>
  <c r="C75" i="112"/>
  <c r="C83" i="112" s="1"/>
  <c r="C15" i="113"/>
  <c r="C84" i="112"/>
  <c r="C77" i="112"/>
  <c r="C85" i="112" s="1"/>
  <c r="C17" i="113"/>
  <c r="C78" i="112"/>
  <c r="C86" i="112" s="1"/>
  <c r="C18" i="113"/>
  <c r="D73" i="112"/>
  <c r="F72" i="112"/>
  <c r="F80" i="112" s="1"/>
  <c r="C42" i="113"/>
  <c r="F77" i="112"/>
  <c r="F85" i="112" s="1"/>
  <c r="C47" i="113"/>
  <c r="D71" i="112"/>
  <c r="C21" i="113"/>
  <c r="D72" i="112"/>
  <c r="C22" i="113"/>
  <c r="D74" i="112"/>
  <c r="D82" i="112" s="1"/>
  <c r="C24" i="113"/>
  <c r="D75" i="112"/>
  <c r="C25" i="113"/>
  <c r="D76" i="112"/>
  <c r="C26" i="113"/>
  <c r="D78" i="112"/>
  <c r="D86" i="112" s="1"/>
  <c r="C28" i="113"/>
  <c r="F75" i="112"/>
  <c r="F83" i="112" s="1"/>
  <c r="F74" i="112"/>
  <c r="F82" i="112" s="1"/>
  <c r="C44" i="113"/>
  <c r="D24" i="112"/>
  <c r="C23" i="112"/>
  <c r="E71" i="112"/>
  <c r="E79" i="112" s="1"/>
  <c r="H8" i="113" s="1"/>
  <c r="C31" i="113"/>
  <c r="E72" i="112"/>
  <c r="E80" i="112" s="1"/>
  <c r="C32" i="113"/>
  <c r="E73" i="112"/>
  <c r="E81" i="112" s="1"/>
  <c r="C33" i="113"/>
  <c r="E74" i="112"/>
  <c r="E82" i="112" s="1"/>
  <c r="C34" i="113"/>
  <c r="E75" i="112"/>
  <c r="E83" i="112" s="1"/>
  <c r="C35" i="113"/>
  <c r="E76" i="112"/>
  <c r="E84" i="112" s="1"/>
  <c r="C36" i="113"/>
  <c r="E77" i="112"/>
  <c r="E85" i="112" s="1"/>
  <c r="C37" i="113"/>
  <c r="E78" i="112"/>
  <c r="E86" i="112" s="1"/>
  <c r="C38" i="113"/>
  <c r="D77" i="112"/>
  <c r="D85" i="112" s="1"/>
  <c r="H46" i="112"/>
  <c r="F8" i="112"/>
  <c r="I4" i="113"/>
  <c r="D8" i="112"/>
  <c r="G4" i="113"/>
  <c r="E8" i="112"/>
  <c r="H4" i="113"/>
  <c r="E34" i="112"/>
  <c r="P39" i="112"/>
  <c r="P38" i="112"/>
  <c r="G66" i="112"/>
  <c r="G74" i="112" s="1"/>
  <c r="G82" i="112" s="1"/>
  <c r="D81" i="112"/>
  <c r="G98" i="112"/>
  <c r="G100" i="112"/>
  <c r="G102" i="112"/>
  <c r="G104" i="112"/>
  <c r="D79" i="112"/>
  <c r="G8" i="113" s="1"/>
  <c r="D80" i="112"/>
  <c r="D83" i="112"/>
  <c r="D84" i="112"/>
  <c r="G97" i="112"/>
  <c r="G99" i="112"/>
  <c r="G101" i="112"/>
  <c r="G103" i="112"/>
  <c r="M53" i="112"/>
  <c r="M54" i="112" s="1"/>
  <c r="M32" i="112"/>
  <c r="L16" i="112"/>
  <c r="O24" i="112"/>
  <c r="G24" i="112"/>
  <c r="C74" i="112"/>
  <c r="C82" i="112" s="1"/>
  <c r="O40" i="112"/>
  <c r="L24" i="112"/>
  <c r="L32" i="112"/>
  <c r="M16" i="112"/>
  <c r="F25" i="112"/>
  <c r="M24" i="112"/>
  <c r="O16" i="112"/>
  <c r="N24" i="112"/>
  <c r="O32" i="112"/>
  <c r="M40" i="112"/>
  <c r="C6" i="112"/>
  <c r="G6" i="112"/>
  <c r="G8" i="112" s="1"/>
  <c r="I3" i="112"/>
  <c r="G70" i="112"/>
  <c r="G78" i="112" s="1"/>
  <c r="P11" i="112"/>
  <c r="P27" i="112"/>
  <c r="G63" i="112"/>
  <c r="G71" i="112" s="1"/>
  <c r="G79" i="112" s="1"/>
  <c r="P3" i="112"/>
  <c r="C24" i="112"/>
  <c r="F23" i="112"/>
  <c r="F24" i="112" s="1"/>
  <c r="N16" i="112"/>
  <c r="E25" i="112"/>
  <c r="E23" i="112"/>
  <c r="E24" i="112" s="1"/>
  <c r="P22" i="112"/>
  <c r="P24" i="112" s="1"/>
  <c r="N32" i="112"/>
  <c r="D34" i="112"/>
  <c r="G67" i="112"/>
  <c r="G75" i="112" s="1"/>
  <c r="G83" i="112" s="1"/>
  <c r="G64" i="112"/>
  <c r="G72" i="112" s="1"/>
  <c r="G80" i="112" s="1"/>
  <c r="G68" i="112"/>
  <c r="G76" i="112" s="1"/>
  <c r="G65" i="112"/>
  <c r="G73" i="112" s="1"/>
  <c r="G69" i="112"/>
  <c r="G77" i="112" s="1"/>
  <c r="G81" i="112" l="1"/>
  <c r="P40" i="112"/>
  <c r="C8" i="112"/>
  <c r="F4" i="113"/>
  <c r="G85" i="112"/>
  <c r="G84" i="112"/>
  <c r="G86" i="112"/>
  <c r="G25" i="112"/>
  <c r="R11" i="112"/>
  <c r="P14" i="112"/>
  <c r="P16" i="112" s="1"/>
  <c r="P6" i="112"/>
  <c r="P8" i="112" s="1"/>
  <c r="R3" i="112"/>
  <c r="R27" i="112"/>
  <c r="P30" i="112"/>
  <c r="P32" i="112" s="1"/>
  <c r="C49" i="89" l="1"/>
  <c r="C46" i="89"/>
  <c r="C43" i="89"/>
  <c r="C40" i="89"/>
  <c r="C39" i="89"/>
  <c r="C38" i="89"/>
  <c r="C37" i="89"/>
  <c r="C36" i="89"/>
  <c r="C23" i="88"/>
  <c r="C22" i="88"/>
  <c r="C12" i="88"/>
  <c r="C8" i="88"/>
  <c r="C25" i="88" l="1"/>
  <c r="C51" i="89"/>
  <c r="D49" i="89"/>
  <c r="D50" i="89" s="1"/>
  <c r="E49" i="89"/>
  <c r="F49" i="89"/>
  <c r="D46" i="89"/>
  <c r="D47" i="89" s="1"/>
  <c r="E46" i="89"/>
  <c r="F46" i="89"/>
  <c r="D43" i="89"/>
  <c r="D44" i="89" s="1"/>
  <c r="E43" i="89"/>
  <c r="F43" i="89"/>
  <c r="D37" i="89"/>
  <c r="E37" i="89"/>
  <c r="F37" i="89"/>
  <c r="D40" i="89"/>
  <c r="E40" i="89"/>
  <c r="F40" i="89"/>
  <c r="D38" i="89"/>
  <c r="E38" i="89"/>
  <c r="F38" i="89"/>
  <c r="D39" i="89"/>
  <c r="E39" i="89"/>
  <c r="F39" i="89"/>
  <c r="D36" i="89"/>
  <c r="E36" i="89"/>
  <c r="F36" i="89"/>
  <c r="D8" i="88"/>
  <c r="E8" i="88"/>
  <c r="F8" i="88"/>
  <c r="F35" i="89" l="1"/>
  <c r="D35" i="89"/>
  <c r="F47" i="89"/>
  <c r="E51" i="89"/>
  <c r="E47" i="89"/>
  <c r="F50" i="89"/>
  <c r="D51" i="89"/>
  <c r="D52" i="89" s="1"/>
  <c r="F44" i="89"/>
  <c r="E44" i="89"/>
  <c r="E35" i="89"/>
  <c r="E50" i="89"/>
  <c r="F25" i="88"/>
  <c r="F51" i="89"/>
  <c r="E25" i="88"/>
  <c r="D25" i="88"/>
  <c r="D23" i="88"/>
  <c r="E23" i="88"/>
  <c r="F23" i="88"/>
  <c r="D22" i="88"/>
  <c r="E22" i="88"/>
  <c r="F22" i="88"/>
  <c r="D12" i="88"/>
  <c r="E12" i="88"/>
  <c r="F12" i="88"/>
  <c r="F52" i="89" l="1"/>
  <c r="E52" i="89"/>
  <c r="E37" i="79"/>
  <c r="F37" i="79"/>
  <c r="D37" i="79"/>
  <c r="E35" i="79"/>
  <c r="D35" i="79"/>
  <c r="D25" i="79"/>
  <c r="E25" i="79"/>
  <c r="D28" i="79"/>
  <c r="E28" i="79"/>
  <c r="D10" i="79"/>
  <c r="E10" i="79"/>
  <c r="F10" i="79"/>
  <c r="D11" i="79"/>
  <c r="E11" i="79"/>
  <c r="F11" i="79"/>
  <c r="D12" i="79"/>
  <c r="E12" i="79"/>
  <c r="F12" i="79"/>
  <c r="D13" i="79"/>
  <c r="E13" i="79"/>
  <c r="F13" i="79"/>
  <c r="D14" i="79"/>
  <c r="E14" i="79"/>
  <c r="F14" i="79"/>
  <c r="D15" i="79"/>
  <c r="D26" i="79" s="1"/>
  <c r="E15" i="79"/>
  <c r="E26" i="79" s="1"/>
  <c r="F15" i="79"/>
  <c r="D16" i="79"/>
  <c r="E16" i="79"/>
  <c r="F16" i="79"/>
  <c r="D17" i="79"/>
  <c r="E17" i="79"/>
  <c r="F17" i="79"/>
  <c r="D18" i="79"/>
  <c r="E18" i="79"/>
  <c r="F18" i="79"/>
  <c r="D19" i="79"/>
  <c r="E19" i="79"/>
  <c r="F19" i="79"/>
  <c r="D20" i="79"/>
  <c r="E20" i="79"/>
  <c r="F20" i="79"/>
  <c r="D21" i="79"/>
  <c r="E21" i="79"/>
  <c r="F21" i="79"/>
  <c r="C21" i="79"/>
  <c r="C20" i="79"/>
  <c r="C19" i="79"/>
  <c r="C18" i="79"/>
  <c r="C17" i="79"/>
  <c r="C16" i="79"/>
  <c r="C15" i="79"/>
  <c r="C14" i="79"/>
  <c r="C13" i="79"/>
  <c r="C12" i="79"/>
  <c r="C11" i="79"/>
  <c r="C10" i="79"/>
  <c r="D7" i="79"/>
  <c r="E7" i="79"/>
  <c r="F7" i="79"/>
  <c r="C7" i="79"/>
  <c r="D6" i="79"/>
  <c r="E6" i="79"/>
  <c r="F6" i="79"/>
  <c r="C6" i="79"/>
  <c r="E24" i="79" l="1"/>
  <c r="D24" i="79"/>
  <c r="D42" i="79"/>
  <c r="D41" i="79" s="1"/>
  <c r="E42" i="79"/>
  <c r="E41" i="79" s="1"/>
  <c r="K59" i="74" l="1"/>
  <c r="D21" i="74" l="1"/>
  <c r="E6" i="74"/>
  <c r="C31" i="111" l="1"/>
  <c r="A31" i="111"/>
  <c r="A48" i="111" s="1"/>
  <c r="F51" i="109" l="1"/>
  <c r="F16" i="109"/>
  <c r="K51" i="109"/>
  <c r="K16" i="109"/>
  <c r="C51" i="109"/>
  <c r="N51" i="109"/>
  <c r="N16" i="109"/>
  <c r="J51" i="109"/>
  <c r="J16" i="109"/>
  <c r="E51" i="109"/>
  <c r="M51" i="109"/>
  <c r="M16" i="109"/>
  <c r="I51" i="109"/>
  <c r="I16" i="109"/>
  <c r="D51" i="109"/>
  <c r="D16" i="109"/>
  <c r="L51" i="109"/>
  <c r="L16" i="109"/>
  <c r="H51" i="109"/>
  <c r="H16" i="109"/>
  <c r="C54" i="109"/>
  <c r="C49" i="109" l="1"/>
  <c r="H88" i="41"/>
  <c r="F16" i="41" l="1"/>
  <c r="C5" i="41" l="1"/>
  <c r="C4" i="41"/>
  <c r="C114" i="41" l="1"/>
  <c r="E88" i="41"/>
  <c r="F88" i="41"/>
  <c r="G88" i="41"/>
  <c r="D88" i="41"/>
  <c r="C28" i="14" l="1"/>
  <c r="D4" i="41"/>
  <c r="E4" i="41"/>
  <c r="F4" i="41"/>
  <c r="G4" i="41"/>
  <c r="H4" i="41"/>
  <c r="E28" i="41"/>
  <c r="D5" i="41"/>
  <c r="E5" i="41"/>
  <c r="F5" i="41"/>
  <c r="D9" i="30"/>
  <c r="E9" i="30"/>
  <c r="F9" i="30"/>
  <c r="C9" i="30"/>
  <c r="N25" i="109" l="1"/>
  <c r="D89" i="111" l="1"/>
  <c r="E89" i="111" s="1"/>
  <c r="F89" i="111" s="1"/>
  <c r="D98" i="111"/>
  <c r="E98" i="111" s="1"/>
  <c r="F98" i="111" s="1"/>
  <c r="D99" i="111"/>
  <c r="E99" i="111" s="1"/>
  <c r="F99" i="111" s="1"/>
  <c r="D106" i="111"/>
  <c r="E106" i="111" s="1"/>
  <c r="F106" i="111" s="1"/>
  <c r="D107" i="111"/>
  <c r="E107" i="111" s="1"/>
  <c r="F107" i="111" s="1"/>
  <c r="D32" i="111"/>
  <c r="E32" i="111" s="1"/>
  <c r="F32" i="111" s="1"/>
  <c r="D49" i="111"/>
  <c r="E49" i="111" s="1"/>
  <c r="F49" i="111" s="1"/>
  <c r="D50" i="111"/>
  <c r="E50" i="111" s="1"/>
  <c r="F50" i="111" s="1"/>
  <c r="D61" i="111"/>
  <c r="E61" i="111" s="1"/>
  <c r="F61" i="111" s="1"/>
  <c r="D72" i="111"/>
  <c r="E72" i="111" s="1"/>
  <c r="F72" i="111" s="1"/>
  <c r="D24" i="111"/>
  <c r="E24" i="111" s="1"/>
  <c r="F24" i="111" s="1"/>
  <c r="C26" i="90" l="1"/>
  <c r="D26" i="90"/>
  <c r="C27" i="90"/>
  <c r="D27" i="90"/>
  <c r="E27" i="90"/>
  <c r="F27" i="90"/>
  <c r="C28" i="90"/>
  <c r="D28" i="90"/>
  <c r="D25" i="90"/>
  <c r="C25" i="90"/>
  <c r="H53" i="109" l="1"/>
  <c r="I53" i="109"/>
  <c r="J53" i="109"/>
  <c r="K53" i="109"/>
  <c r="L53" i="109"/>
  <c r="M53" i="109"/>
  <c r="N53" i="109"/>
  <c r="N57" i="109" l="1"/>
  <c r="M57" i="109"/>
  <c r="L57" i="109"/>
  <c r="K57" i="109"/>
  <c r="J57" i="109"/>
  <c r="I57" i="109"/>
  <c r="H57" i="109"/>
  <c r="N56" i="109"/>
  <c r="M56" i="109"/>
  <c r="L56" i="109"/>
  <c r="K56" i="109"/>
  <c r="J56" i="109"/>
  <c r="I56" i="109"/>
  <c r="H56" i="109"/>
  <c r="N55" i="109"/>
  <c r="M55" i="109"/>
  <c r="L55" i="109"/>
  <c r="K55" i="109"/>
  <c r="J55" i="109"/>
  <c r="I55" i="109"/>
  <c r="H55" i="109"/>
  <c r="N54" i="109"/>
  <c r="M54" i="109"/>
  <c r="L54" i="109"/>
  <c r="K54" i="109"/>
  <c r="J54" i="109"/>
  <c r="I54" i="109"/>
  <c r="H54" i="109"/>
  <c r="H49" i="109"/>
  <c r="I49" i="109"/>
  <c r="J49" i="109"/>
  <c r="K49" i="109"/>
  <c r="L49" i="109"/>
  <c r="M49" i="109"/>
  <c r="N49" i="109"/>
  <c r="K52" i="109" l="1"/>
  <c r="G53" i="109"/>
  <c r="E53" i="109"/>
  <c r="E18" i="109"/>
  <c r="F53" i="109"/>
  <c r="F18" i="109"/>
  <c r="D53" i="109"/>
  <c r="C53" i="109"/>
  <c r="D55" i="109"/>
  <c r="M52" i="109"/>
  <c r="I52" i="109"/>
  <c r="L52" i="109"/>
  <c r="H52" i="109"/>
  <c r="N52" i="109"/>
  <c r="J52" i="109"/>
  <c r="G18" i="109" l="1"/>
  <c r="M18" i="109"/>
  <c r="H18" i="109"/>
  <c r="L18" i="109"/>
  <c r="I18" i="109"/>
  <c r="J18" i="109"/>
  <c r="K18" i="109"/>
  <c r="N18" i="109"/>
  <c r="G55" i="109"/>
  <c r="E55" i="109"/>
  <c r="F55" i="109"/>
  <c r="O45" i="109"/>
  <c r="O43" i="109"/>
  <c r="C55" i="109"/>
  <c r="O55" i="109" l="1"/>
  <c r="D15" i="48"/>
  <c r="E15" i="48"/>
  <c r="F15" i="48"/>
  <c r="C15" i="48"/>
  <c r="D23" i="48" l="1"/>
  <c r="E23" i="48"/>
  <c r="F23" i="48"/>
  <c r="C23" i="48"/>
  <c r="D4" i="105"/>
  <c r="D5" i="105"/>
  <c r="D6" i="105"/>
  <c r="D7" i="105"/>
  <c r="D8" i="105"/>
  <c r="D9" i="105"/>
  <c r="D10" i="105"/>
  <c r="D11" i="105"/>
  <c r="D12" i="105"/>
  <c r="D13" i="105"/>
  <c r="D14" i="105"/>
  <c r="D15" i="105"/>
  <c r="D16" i="105"/>
  <c r="D17" i="105"/>
  <c r="D18" i="105"/>
  <c r="D19" i="105"/>
  <c r="D20" i="105"/>
  <c r="D21" i="105"/>
  <c r="D22" i="105"/>
  <c r="D23" i="105"/>
  <c r="D24" i="105"/>
  <c r="D25" i="105"/>
  <c r="D26" i="105"/>
  <c r="D27" i="105"/>
  <c r="D28" i="105"/>
  <c r="D29" i="105"/>
  <c r="D30" i="105"/>
  <c r="D31" i="105"/>
  <c r="D32" i="105"/>
  <c r="D33" i="105"/>
  <c r="D34" i="105"/>
  <c r="D35" i="105"/>
  <c r="I35" i="105" l="1"/>
  <c r="I37" i="105" s="1"/>
  <c r="H20" i="105"/>
  <c r="H17" i="105"/>
  <c r="H10" i="105"/>
  <c r="H4" i="105"/>
  <c r="H16" i="105" l="1"/>
  <c r="O20" i="109" l="1"/>
  <c r="G43" i="30" s="1"/>
  <c r="G22" i="4" s="1"/>
  <c r="H35" i="105"/>
  <c r="D29" i="119" l="1"/>
  <c r="G53" i="79"/>
  <c r="D34" i="80"/>
  <c r="D41" i="80"/>
  <c r="D61" i="104"/>
  <c r="D45" i="104"/>
  <c r="D51" i="104"/>
  <c r="F70" i="105" l="1"/>
  <c r="D19" i="104"/>
  <c r="D14" i="104"/>
  <c r="D9" i="104"/>
  <c r="H119" i="30" l="1"/>
  <c r="H118" i="30" s="1"/>
  <c r="F105" i="105" s="1"/>
  <c r="F77" i="105" s="1"/>
  <c r="L23" i="104"/>
  <c r="L22" i="104"/>
  <c r="L21" i="104"/>
  <c r="L20" i="104"/>
  <c r="L19" i="104"/>
  <c r="L18" i="104"/>
  <c r="L17" i="104"/>
  <c r="J15" i="104"/>
  <c r="L14" i="104"/>
  <c r="L13" i="104"/>
  <c r="L12" i="104"/>
  <c r="L11" i="104"/>
  <c r="L10" i="104"/>
  <c r="L9" i="104"/>
  <c r="E79" i="104"/>
  <c r="E74" i="104"/>
  <c r="D77" i="104"/>
  <c r="D72" i="104"/>
  <c r="E69" i="104"/>
  <c r="E68" i="104"/>
  <c r="E67" i="104"/>
  <c r="D66" i="104"/>
  <c r="K6" i="104"/>
  <c r="K5" i="104"/>
  <c r="K4" i="104"/>
  <c r="D56" i="104"/>
  <c r="D35" i="104"/>
  <c r="E63" i="104"/>
  <c r="E62" i="104"/>
  <c r="E58" i="104"/>
  <c r="E57" i="104"/>
  <c r="E53" i="104"/>
  <c r="E52" i="104"/>
  <c r="E48" i="104"/>
  <c r="E47" i="104"/>
  <c r="E46" i="104"/>
  <c r="I119" i="30" l="1"/>
  <c r="I118" i="30" s="1"/>
  <c r="J119" i="30" s="1"/>
  <c r="J118" i="30" s="1"/>
  <c r="F175" i="105" s="1"/>
  <c r="Q10" i="105" s="1"/>
  <c r="F76" i="105"/>
  <c r="F99" i="105"/>
  <c r="F84" i="105"/>
  <c r="F83" i="105"/>
  <c r="F98" i="105"/>
  <c r="F93" i="105"/>
  <c r="F87" i="105"/>
  <c r="F91" i="105"/>
  <c r="F74" i="105"/>
  <c r="F81" i="105"/>
  <c r="F100" i="105"/>
  <c r="F97" i="105"/>
  <c r="F96" i="105"/>
  <c r="F104" i="105"/>
  <c r="F103" i="105"/>
  <c r="F82" i="105"/>
  <c r="F90" i="105"/>
  <c r="F75" i="105"/>
  <c r="F85" i="105"/>
  <c r="F88" i="105"/>
  <c r="F94" i="105"/>
  <c r="F89" i="105"/>
  <c r="F92" i="105"/>
  <c r="O10" i="105"/>
  <c r="H11" i="48" s="1"/>
  <c r="F86" i="105"/>
  <c r="F80" i="105"/>
  <c r="F95" i="105"/>
  <c r="F101" i="105"/>
  <c r="F78" i="105"/>
  <c r="F79" i="105"/>
  <c r="F102" i="105"/>
  <c r="D40" i="104"/>
  <c r="D30" i="104"/>
  <c r="E42" i="104"/>
  <c r="E41" i="104"/>
  <c r="E37" i="104"/>
  <c r="E36" i="104"/>
  <c r="E32" i="104"/>
  <c r="E31" i="104"/>
  <c r="E27" i="104"/>
  <c r="E26" i="104"/>
  <c r="E25" i="104"/>
  <c r="D24" i="104"/>
  <c r="E21" i="104"/>
  <c r="E20" i="104"/>
  <c r="E16" i="104"/>
  <c r="E15" i="104"/>
  <c r="E11" i="104"/>
  <c r="E10" i="104"/>
  <c r="K119" i="30" l="1"/>
  <c r="K118" i="30" s="1"/>
  <c r="F210" i="105" s="1"/>
  <c r="R10" i="105" s="1"/>
  <c r="F140" i="105"/>
  <c r="F123" i="105" s="1"/>
  <c r="F155" i="105"/>
  <c r="F159" i="105"/>
  <c r="F146" i="105"/>
  <c r="F169" i="105"/>
  <c r="F149" i="105"/>
  <c r="F152" i="105"/>
  <c r="F173" i="105"/>
  <c r="F164" i="105"/>
  <c r="F170" i="105"/>
  <c r="F151" i="105"/>
  <c r="F163" i="105"/>
  <c r="F174" i="105"/>
  <c r="F165" i="105"/>
  <c r="F145" i="105"/>
  <c r="F172" i="105"/>
  <c r="F148" i="105"/>
  <c r="F158" i="105"/>
  <c r="F154" i="105"/>
  <c r="F147" i="105"/>
  <c r="F166" i="105"/>
  <c r="F161" i="105"/>
  <c r="F168" i="105"/>
  <c r="F171" i="105"/>
  <c r="F167" i="105"/>
  <c r="F162" i="105"/>
  <c r="F153" i="105"/>
  <c r="F157" i="105"/>
  <c r="F160" i="105"/>
  <c r="F144" i="105"/>
  <c r="F150" i="105"/>
  <c r="F156" i="105"/>
  <c r="F206" i="105"/>
  <c r="F209" i="105"/>
  <c r="F193" i="105"/>
  <c r="F199" i="105"/>
  <c r="F194" i="105"/>
  <c r="F200" i="105"/>
  <c r="F180" i="105"/>
  <c r="F182" i="105"/>
  <c r="F207" i="105"/>
  <c r="F198" i="105"/>
  <c r="F205" i="105"/>
  <c r="F189" i="105"/>
  <c r="F187" i="105"/>
  <c r="F186" i="105"/>
  <c r="F196" i="105"/>
  <c r="F204" i="105"/>
  <c r="F190" i="105"/>
  <c r="F201" i="105"/>
  <c r="F181" i="105"/>
  <c r="F183" i="105"/>
  <c r="F208" i="105"/>
  <c r="F188" i="105"/>
  <c r="F203" i="105"/>
  <c r="F197" i="105"/>
  <c r="F202" i="105"/>
  <c r="F184" i="105"/>
  <c r="F195" i="105"/>
  <c r="F179" i="105"/>
  <c r="F192" i="105"/>
  <c r="F185" i="105"/>
  <c r="F191" i="105"/>
  <c r="A34" i="80"/>
  <c r="L21" i="17"/>
  <c r="K11" i="17"/>
  <c r="J11" i="17"/>
  <c r="I11" i="17"/>
  <c r="H11" i="17"/>
  <c r="G11" i="17"/>
  <c r="K5" i="17"/>
  <c r="J5" i="17"/>
  <c r="I5" i="17"/>
  <c r="H5" i="17"/>
  <c r="F112" i="105" l="1"/>
  <c r="F134" i="105"/>
  <c r="F133" i="105"/>
  <c r="F139" i="105"/>
  <c r="F136" i="105"/>
  <c r="F109" i="105"/>
  <c r="F121" i="105"/>
  <c r="F119" i="105"/>
  <c r="F131" i="105"/>
  <c r="F117" i="105"/>
  <c r="F118" i="105"/>
  <c r="F120" i="105"/>
  <c r="F125" i="105"/>
  <c r="F138" i="105"/>
  <c r="F127" i="105"/>
  <c r="F124" i="105"/>
  <c r="F114" i="105"/>
  <c r="F135" i="105"/>
  <c r="F115" i="105"/>
  <c r="F111" i="105"/>
  <c r="F130" i="105"/>
  <c r="F113" i="105"/>
  <c r="F110" i="105"/>
  <c r="F129" i="105"/>
  <c r="F132" i="105"/>
  <c r="F116" i="105"/>
  <c r="F128" i="105"/>
  <c r="F122" i="105"/>
  <c r="F126" i="105"/>
  <c r="P10" i="105"/>
  <c r="I11" i="48" s="1"/>
  <c r="F137" i="105"/>
  <c r="E5" i="104"/>
  <c r="E6" i="104"/>
  <c r="E4" i="104"/>
  <c r="D3" i="104"/>
  <c r="F26" i="79" l="1"/>
  <c r="F42" i="79"/>
  <c r="N18" i="103"/>
  <c r="N20" i="103"/>
  <c r="D18" i="103"/>
  <c r="E18" i="103"/>
  <c r="F18" i="103"/>
  <c r="G18" i="103"/>
  <c r="H18" i="103"/>
  <c r="I18" i="103"/>
  <c r="J18" i="103"/>
  <c r="K18" i="103"/>
  <c r="L18" i="103"/>
  <c r="M18" i="103"/>
  <c r="D20" i="103"/>
  <c r="E20" i="103"/>
  <c r="F20" i="103"/>
  <c r="G20" i="103"/>
  <c r="H20" i="103"/>
  <c r="I20" i="103"/>
  <c r="J20" i="103"/>
  <c r="K20" i="103"/>
  <c r="L20" i="103"/>
  <c r="M20" i="103"/>
  <c r="N10" i="105" l="1"/>
  <c r="G11" i="48" s="1"/>
  <c r="J67" i="119"/>
  <c r="F39" i="105"/>
  <c r="J36" i="119" s="1"/>
  <c r="F40" i="105"/>
  <c r="J37" i="119" s="1"/>
  <c r="F52" i="105"/>
  <c r="J49" i="119" s="1"/>
  <c r="F53" i="105"/>
  <c r="J50" i="119" s="1"/>
  <c r="F57" i="105"/>
  <c r="J54" i="119" s="1"/>
  <c r="F55" i="105"/>
  <c r="J52" i="119" s="1"/>
  <c r="F67" i="105"/>
  <c r="J64" i="119" s="1"/>
  <c r="F56" i="105"/>
  <c r="J53" i="119" s="1"/>
  <c r="F63" i="105"/>
  <c r="J60" i="119" s="1"/>
  <c r="F66" i="105"/>
  <c r="J63" i="119" s="1"/>
  <c r="F45" i="105"/>
  <c r="J42" i="119" s="1"/>
  <c r="F49" i="105"/>
  <c r="J46" i="119" s="1"/>
  <c r="F58" i="105"/>
  <c r="J55" i="119" s="1"/>
  <c r="F59" i="105"/>
  <c r="J56" i="119" s="1"/>
  <c r="F65" i="105"/>
  <c r="J62" i="119" s="1"/>
  <c r="F47" i="105"/>
  <c r="J44" i="119" s="1"/>
  <c r="F50" i="105"/>
  <c r="J47" i="119" s="1"/>
  <c r="F44" i="105"/>
  <c r="J41" i="119" s="1"/>
  <c r="F69" i="105"/>
  <c r="J66" i="119" s="1"/>
  <c r="F42" i="105"/>
  <c r="J39" i="119" s="1"/>
  <c r="F68" i="105"/>
  <c r="J65" i="119" s="1"/>
  <c r="F64" i="105"/>
  <c r="J61" i="119" s="1"/>
  <c r="F51" i="105"/>
  <c r="J48" i="119" s="1"/>
  <c r="F41" i="105"/>
  <c r="J38" i="119" s="1"/>
  <c r="F60" i="105"/>
  <c r="J57" i="119" s="1"/>
  <c r="F61" i="105"/>
  <c r="J58" i="119" s="1"/>
  <c r="F54" i="105"/>
  <c r="J51" i="119" s="1"/>
  <c r="F46" i="105"/>
  <c r="J43" i="119" s="1"/>
  <c r="F62" i="105"/>
  <c r="J59" i="119" s="1"/>
  <c r="F43" i="105"/>
  <c r="J40" i="119" s="1"/>
  <c r="F48" i="105"/>
  <c r="J45" i="119" s="1"/>
  <c r="E99" i="74"/>
  <c r="C98" i="74"/>
  <c r="D93" i="74" l="1"/>
  <c r="J3" i="92" l="1"/>
  <c r="K3" i="92"/>
  <c r="L3" i="92"/>
  <c r="I3" i="92"/>
  <c r="J5" i="94" l="1"/>
  <c r="E7" i="94"/>
  <c r="D89" i="74"/>
  <c r="D88" i="74"/>
  <c r="D86" i="74"/>
  <c r="D50" i="74" l="1"/>
  <c r="E50" i="74"/>
  <c r="F50" i="74"/>
  <c r="G50" i="74"/>
  <c r="H50" i="74"/>
  <c r="I50" i="74"/>
  <c r="C50" i="74"/>
  <c r="L56" i="74" l="1"/>
  <c r="D87" i="74"/>
  <c r="E54" i="103"/>
  <c r="D52" i="103"/>
  <c r="E52" i="103"/>
  <c r="C53" i="103"/>
  <c r="D54" i="103"/>
  <c r="D185" i="30"/>
  <c r="D186" i="30" s="1"/>
  <c r="C41" i="103" s="1"/>
  <c r="D180" i="30"/>
  <c r="C34" i="103" s="1"/>
  <c r="D175" i="30"/>
  <c r="C27" i="103" s="1"/>
  <c r="D170" i="30"/>
  <c r="D171" i="30" s="1"/>
  <c r="C13" i="103" s="1"/>
  <c r="L5" i="94"/>
  <c r="D39" i="103"/>
  <c r="E39" i="103"/>
  <c r="F39" i="103"/>
  <c r="G39" i="103"/>
  <c r="H39" i="103"/>
  <c r="I39" i="103"/>
  <c r="J39" i="103"/>
  <c r="K39" i="103"/>
  <c r="L39" i="103"/>
  <c r="D41" i="103"/>
  <c r="E41" i="103"/>
  <c r="F41" i="103"/>
  <c r="G41" i="103"/>
  <c r="H41" i="103"/>
  <c r="I41" i="103"/>
  <c r="J41" i="103"/>
  <c r="K41" i="103"/>
  <c r="L41" i="103"/>
  <c r="D32" i="103"/>
  <c r="E32" i="103"/>
  <c r="F32" i="103"/>
  <c r="G32" i="103"/>
  <c r="H32" i="103"/>
  <c r="I32" i="103"/>
  <c r="J32" i="103"/>
  <c r="K32" i="103"/>
  <c r="D34" i="103"/>
  <c r="E34" i="103"/>
  <c r="F34" i="103"/>
  <c r="G34" i="103"/>
  <c r="H34" i="103"/>
  <c r="I34" i="103"/>
  <c r="J34" i="103"/>
  <c r="K34" i="103"/>
  <c r="D25" i="103"/>
  <c r="E25" i="103"/>
  <c r="F25" i="103"/>
  <c r="G25" i="103"/>
  <c r="H25" i="103"/>
  <c r="I25" i="103"/>
  <c r="J25" i="103"/>
  <c r="K25" i="103"/>
  <c r="L25" i="103"/>
  <c r="D27" i="103"/>
  <c r="E27" i="103"/>
  <c r="F27" i="103"/>
  <c r="G27" i="103"/>
  <c r="H27" i="103"/>
  <c r="I27" i="103"/>
  <c r="J27" i="103"/>
  <c r="K27" i="103"/>
  <c r="L27" i="103"/>
  <c r="D11" i="103"/>
  <c r="E11" i="103"/>
  <c r="F11" i="103"/>
  <c r="G11" i="103"/>
  <c r="H11" i="103"/>
  <c r="I11" i="103"/>
  <c r="J11" i="103"/>
  <c r="K11" i="103"/>
  <c r="L11" i="103"/>
  <c r="M11" i="103"/>
  <c r="N11" i="103"/>
  <c r="D13" i="103"/>
  <c r="E13" i="103"/>
  <c r="F13" i="103"/>
  <c r="G13" i="103"/>
  <c r="H13" i="103"/>
  <c r="I13" i="103"/>
  <c r="J13" i="103"/>
  <c r="K13" i="103"/>
  <c r="L13" i="103"/>
  <c r="M13" i="103"/>
  <c r="N13" i="103"/>
  <c r="D4" i="103"/>
  <c r="E4" i="103"/>
  <c r="F4" i="103"/>
  <c r="G4" i="103"/>
  <c r="H4" i="103"/>
  <c r="I4" i="103"/>
  <c r="J4" i="103"/>
  <c r="K4" i="103"/>
  <c r="L4" i="103"/>
  <c r="M4" i="103"/>
  <c r="N4" i="103"/>
  <c r="O4" i="103"/>
  <c r="P4" i="103"/>
  <c r="Q4" i="103"/>
  <c r="D6" i="103"/>
  <c r="E6" i="103"/>
  <c r="F6" i="103"/>
  <c r="G6" i="103"/>
  <c r="H6" i="103"/>
  <c r="I6" i="103"/>
  <c r="J6" i="103"/>
  <c r="K6" i="103"/>
  <c r="L6" i="103"/>
  <c r="M6" i="103"/>
  <c r="N6" i="103"/>
  <c r="O6" i="103"/>
  <c r="P6" i="103"/>
  <c r="Q6" i="103"/>
  <c r="M54" i="74" l="1"/>
  <c r="N54" i="74"/>
  <c r="O54" i="74"/>
  <c r="P54" i="74"/>
  <c r="Q54" i="74"/>
  <c r="R54" i="74"/>
  <c r="S54" i="74"/>
  <c r="T54" i="74"/>
  <c r="M55" i="74"/>
  <c r="N55" i="74"/>
  <c r="O55" i="74"/>
  <c r="P55" i="74"/>
  <c r="Q55" i="74"/>
  <c r="R55" i="74"/>
  <c r="S55" i="74"/>
  <c r="T55" i="74"/>
  <c r="L55" i="74"/>
  <c r="L54" i="74"/>
  <c r="G28" i="79" l="1"/>
  <c r="G27" i="79" s="1"/>
  <c r="G45" i="79" s="1"/>
  <c r="W6" i="94"/>
  <c r="AF6" i="94" s="1"/>
  <c r="X6" i="94"/>
  <c r="AG6" i="94" s="1"/>
  <c r="Y6" i="94"/>
  <c r="AH6" i="94" s="1"/>
  <c r="W7" i="94"/>
  <c r="AF7" i="94" s="1"/>
  <c r="X7" i="94"/>
  <c r="AG7" i="94" s="1"/>
  <c r="Y7" i="94"/>
  <c r="AH7" i="94" s="1"/>
  <c r="W8" i="94"/>
  <c r="AF8" i="94" s="1"/>
  <c r="X8" i="94"/>
  <c r="AG8" i="94" s="1"/>
  <c r="Y8" i="94"/>
  <c r="AH8" i="94" s="1"/>
  <c r="W9" i="94"/>
  <c r="AF9" i="94" s="1"/>
  <c r="X9" i="94"/>
  <c r="AG9" i="94" s="1"/>
  <c r="Y9" i="94"/>
  <c r="AH9" i="94" s="1"/>
  <c r="W10" i="94"/>
  <c r="AF10" i="94" s="1"/>
  <c r="X10" i="94"/>
  <c r="AG10" i="94" s="1"/>
  <c r="Y10" i="94"/>
  <c r="AH10" i="94" s="1"/>
  <c r="W11" i="94"/>
  <c r="AF11" i="94" s="1"/>
  <c r="X11" i="94"/>
  <c r="AG11" i="94" s="1"/>
  <c r="Y11" i="94"/>
  <c r="AH11" i="94" s="1"/>
  <c r="W12" i="94"/>
  <c r="AF12" i="94" s="1"/>
  <c r="X12" i="94"/>
  <c r="AG12" i="94" s="1"/>
  <c r="Y12" i="94"/>
  <c r="AH12" i="94" s="1"/>
  <c r="W13" i="94"/>
  <c r="AF13" i="94" s="1"/>
  <c r="X13" i="94"/>
  <c r="AG13" i="94" s="1"/>
  <c r="Y13" i="94"/>
  <c r="AH13" i="94" s="1"/>
  <c r="Y5" i="94"/>
  <c r="AH5" i="94" s="1"/>
  <c r="X5" i="94"/>
  <c r="AG5" i="94" s="1"/>
  <c r="W5" i="94"/>
  <c r="AF5" i="94" s="1"/>
  <c r="G5" i="94" l="1"/>
  <c r="G6" i="94"/>
  <c r="G7" i="94"/>
  <c r="G8" i="94"/>
  <c r="G9" i="94"/>
  <c r="G10" i="94"/>
  <c r="H4" i="94"/>
  <c r="F5" i="94" l="1"/>
  <c r="D45" i="17" s="1"/>
  <c r="D46" i="17" s="1"/>
  <c r="F6" i="94"/>
  <c r="F7" i="94"/>
  <c r="F8" i="94"/>
  <c r="F9" i="94"/>
  <c r="F10" i="94"/>
  <c r="E10" i="94"/>
  <c r="E9" i="94"/>
  <c r="E8" i="94"/>
  <c r="E6" i="94"/>
  <c r="E5" i="94"/>
  <c r="V7" i="94" l="1"/>
  <c r="AE7" i="94" s="1"/>
  <c r="AN7" i="94" s="1"/>
  <c r="V11" i="94"/>
  <c r="AE11" i="94" s="1"/>
  <c r="AN11" i="94" s="1"/>
  <c r="V10" i="94"/>
  <c r="AE10" i="94" s="1"/>
  <c r="AN10" i="94" s="1"/>
  <c r="V8" i="94"/>
  <c r="AE8" i="94" s="1"/>
  <c r="AN8" i="94" s="1"/>
  <c r="V12" i="94"/>
  <c r="AE12" i="94" s="1"/>
  <c r="AN12" i="94" s="1"/>
  <c r="V6" i="94"/>
  <c r="AE6" i="94" s="1"/>
  <c r="AN6" i="94" s="1"/>
  <c r="V9" i="94"/>
  <c r="AE9" i="94" s="1"/>
  <c r="AN9" i="94" s="1"/>
  <c r="V13" i="94"/>
  <c r="AE13" i="94" s="1"/>
  <c r="AN13" i="94" s="1"/>
  <c r="V5" i="94"/>
  <c r="AE5" i="94" s="1"/>
  <c r="AN5" i="94" s="1"/>
  <c r="U10" i="94"/>
  <c r="AD10" i="94" s="1"/>
  <c r="AM10" i="94" s="1"/>
  <c r="U9" i="94"/>
  <c r="AD9" i="94" s="1"/>
  <c r="AM9" i="94" s="1"/>
  <c r="U11" i="94"/>
  <c r="AD11" i="94" s="1"/>
  <c r="AM11" i="94" s="1"/>
  <c r="U8" i="94"/>
  <c r="AD8" i="94" s="1"/>
  <c r="AM8" i="94" s="1"/>
  <c r="U12" i="94"/>
  <c r="AD12" i="94" s="1"/>
  <c r="AM12" i="94" s="1"/>
  <c r="U13" i="94"/>
  <c r="AD13" i="94" s="1"/>
  <c r="AM13" i="94" s="1"/>
  <c r="T6" i="94"/>
  <c r="AC6" i="94" s="1"/>
  <c r="AL6" i="94" s="1"/>
  <c r="T10" i="94"/>
  <c r="AC10" i="94" s="1"/>
  <c r="AL10" i="94" s="1"/>
  <c r="T5" i="94"/>
  <c r="AC5" i="94" s="1"/>
  <c r="AL5" i="94" s="1"/>
  <c r="T7" i="94"/>
  <c r="AC7" i="94" s="1"/>
  <c r="AL7" i="94" s="1"/>
  <c r="T11" i="94"/>
  <c r="AC11" i="94" s="1"/>
  <c r="AL11" i="94" s="1"/>
  <c r="T9" i="94"/>
  <c r="AC9" i="94" s="1"/>
  <c r="AL9" i="94" s="1"/>
  <c r="T13" i="94"/>
  <c r="AC13" i="94" s="1"/>
  <c r="AL13" i="94" s="1"/>
  <c r="T8" i="94"/>
  <c r="AC8" i="94" s="1"/>
  <c r="AL8" i="94" s="1"/>
  <c r="T12" i="94"/>
  <c r="AC12" i="94" s="1"/>
  <c r="AL12" i="94" s="1"/>
  <c r="S6" i="94"/>
  <c r="AB6" i="94" s="1"/>
  <c r="AK6" i="94" s="1"/>
  <c r="S10" i="94"/>
  <c r="AB10" i="94" s="1"/>
  <c r="AK10" i="94" s="1"/>
  <c r="S7" i="94"/>
  <c r="AB7" i="94" s="1"/>
  <c r="AK7" i="94" s="1"/>
  <c r="S12" i="94"/>
  <c r="AB12" i="94" s="1"/>
  <c r="AK12" i="94" s="1"/>
  <c r="S8" i="94"/>
  <c r="AB8" i="94" s="1"/>
  <c r="AK8" i="94" s="1"/>
  <c r="S13" i="94"/>
  <c r="AB13" i="94" s="1"/>
  <c r="AK13" i="94" s="1"/>
  <c r="S11" i="94"/>
  <c r="AB11" i="94" s="1"/>
  <c r="AK11" i="94" s="1"/>
  <c r="S9" i="94"/>
  <c r="AB9" i="94" s="1"/>
  <c r="AK9" i="94" s="1"/>
  <c r="R13" i="94"/>
  <c r="AA13" i="94" s="1"/>
  <c r="AJ13" i="94" s="1"/>
  <c r="R8" i="94"/>
  <c r="AA8" i="94" s="1"/>
  <c r="AJ8" i="94" s="1"/>
  <c r="R9" i="94"/>
  <c r="AA9" i="94" s="1"/>
  <c r="AJ9" i="94" s="1"/>
  <c r="R12" i="94"/>
  <c r="AA12" i="94" s="1"/>
  <c r="AJ12" i="94" s="1"/>
  <c r="R7" i="94"/>
  <c r="AA7" i="94" s="1"/>
  <c r="AJ7" i="94" s="1"/>
  <c r="R11" i="94"/>
  <c r="AA11" i="94" s="1"/>
  <c r="AJ11" i="94" s="1"/>
  <c r="AA6" i="94"/>
  <c r="AJ6" i="94" s="1"/>
  <c r="R10" i="94"/>
  <c r="AA10" i="94" s="1"/>
  <c r="AJ10" i="94" s="1"/>
  <c r="Q8" i="94"/>
  <c r="Z8" i="94" s="1"/>
  <c r="AI8" i="94" s="1"/>
  <c r="Q12" i="94"/>
  <c r="Z12" i="94" s="1"/>
  <c r="AI12" i="94" s="1"/>
  <c r="Q11" i="94"/>
  <c r="Z11" i="94" s="1"/>
  <c r="AI11" i="94" s="1"/>
  <c r="Z5" i="94"/>
  <c r="AI5" i="94" s="1"/>
  <c r="Q9" i="94"/>
  <c r="Z9" i="94" s="1"/>
  <c r="AI9" i="94" s="1"/>
  <c r="Q13" i="94"/>
  <c r="Z13" i="94" s="1"/>
  <c r="AI13" i="94" s="1"/>
  <c r="Q10" i="94"/>
  <c r="Z10" i="94" s="1"/>
  <c r="AI10" i="94" s="1"/>
  <c r="Q6" i="94"/>
  <c r="Z6" i="94" s="1"/>
  <c r="AI6" i="94" s="1"/>
  <c r="Q7" i="94"/>
  <c r="Z7" i="94" s="1"/>
  <c r="AI7" i="94" s="1"/>
  <c r="C2" i="96"/>
  <c r="D2" i="96"/>
  <c r="E2" i="96"/>
  <c r="F2" i="96"/>
  <c r="G2" i="96"/>
  <c r="H2" i="96"/>
  <c r="I2" i="96"/>
  <c r="J2" i="96"/>
  <c r="K2" i="96"/>
  <c r="L2" i="96"/>
  <c r="M2" i="96"/>
  <c r="N2" i="96"/>
  <c r="O2" i="96"/>
  <c r="G3" i="17"/>
  <c r="C5" i="96"/>
  <c r="I5" i="94" s="1"/>
  <c r="R5" i="94" s="1"/>
  <c r="AA5" i="94" s="1"/>
  <c r="AJ5" i="94" s="1"/>
  <c r="C6" i="96" l="1"/>
  <c r="Q4" i="94" l="1"/>
  <c r="Z4" i="94" s="1"/>
  <c r="AI4" i="94" s="1"/>
  <c r="N4" i="94"/>
  <c r="W4" i="94" s="1"/>
  <c r="AF4" i="94" s="1"/>
  <c r="AO4" i="94" s="1"/>
  <c r="L7" i="94"/>
  <c r="U7" i="94" s="1"/>
  <c r="AD7" i="94" s="1"/>
  <c r="AM7" i="94" s="1"/>
  <c r="E166" i="30"/>
  <c r="E167" i="30" s="1"/>
  <c r="C167" i="30"/>
  <c r="L6" i="94"/>
  <c r="U6" i="94" s="1"/>
  <c r="AD6" i="94" s="1"/>
  <c r="AM6" i="94" s="1"/>
  <c r="E161" i="30"/>
  <c r="E162" i="30" s="1"/>
  <c r="C162" i="30"/>
  <c r="S5" i="94"/>
  <c r="AB5" i="94" s="1"/>
  <c r="AK5" i="94" s="1"/>
  <c r="G15" i="56" l="1"/>
  <c r="F15" i="56" s="1"/>
  <c r="Q13" i="93" l="1"/>
  <c r="R13" i="93"/>
  <c r="S13" i="93"/>
  <c r="Q17" i="93"/>
  <c r="R17" i="93"/>
  <c r="S17" i="93"/>
  <c r="Q18" i="93"/>
  <c r="R18" i="93"/>
  <c r="S18" i="93"/>
  <c r="Q19" i="93"/>
  <c r="R19" i="93"/>
  <c r="S19" i="93"/>
  <c r="Q20" i="93"/>
  <c r="R20" i="93"/>
  <c r="S20" i="93"/>
  <c r="Q21" i="93"/>
  <c r="R21" i="93"/>
  <c r="S21" i="93"/>
  <c r="Q22" i="93"/>
  <c r="R22" i="93"/>
  <c r="S22" i="93"/>
  <c r="R5" i="93"/>
  <c r="V5" i="93" s="1"/>
  <c r="Z5" i="93" s="1"/>
  <c r="S5" i="93"/>
  <c r="W5" i="93" s="1"/>
  <c r="AA5" i="93" s="1"/>
  <c r="Q5" i="93"/>
  <c r="U5" i="93" s="1"/>
  <c r="Y5" i="93" s="1"/>
  <c r="H2" i="93"/>
  <c r="J17" i="94" l="1"/>
  <c r="D99" i="51"/>
  <c r="D100" i="51" s="1"/>
  <c r="J16" i="94"/>
  <c r="I16" i="94"/>
  <c r="D30" i="47"/>
  <c r="D31" i="47" s="1"/>
  <c r="J15" i="94"/>
  <c r="M15" i="94" s="1"/>
  <c r="P15" i="94" s="1"/>
  <c r="S15" i="94" s="1"/>
  <c r="I15" i="94"/>
  <c r="L15" i="94" s="1"/>
  <c r="O15" i="94" s="1"/>
  <c r="R15" i="94" s="1"/>
  <c r="H15" i="94"/>
  <c r="K15" i="94" s="1"/>
  <c r="N15" i="94" s="1"/>
  <c r="Q15" i="94" s="1"/>
  <c r="P4" i="94" l="1"/>
  <c r="Y4" i="94" s="1"/>
  <c r="AH4" i="94" s="1"/>
  <c r="AQ4" i="94" s="1"/>
  <c r="O4" i="94"/>
  <c r="X4" i="94" s="1"/>
  <c r="AG4" i="94" s="1"/>
  <c r="AP4" i="94" s="1"/>
  <c r="M4" i="94"/>
  <c r="V4" i="94" s="1"/>
  <c r="AE4" i="94" s="1"/>
  <c r="AN4" i="94" s="1"/>
  <c r="L4" i="94"/>
  <c r="U4" i="94" s="1"/>
  <c r="AD4" i="94" s="1"/>
  <c r="AM4" i="94" s="1"/>
  <c r="K4" i="94"/>
  <c r="T4" i="94" s="1"/>
  <c r="AC4" i="94" s="1"/>
  <c r="AL4" i="94" s="1"/>
  <c r="J4" i="94"/>
  <c r="S4" i="94" s="1"/>
  <c r="AB4" i="94" s="1"/>
  <c r="AK4" i="94" s="1"/>
  <c r="I4" i="94"/>
  <c r="R4" i="94" s="1"/>
  <c r="AA4" i="94" s="1"/>
  <c r="AJ4" i="94" s="1"/>
  <c r="J6" i="93" l="1"/>
  <c r="R6" i="93" s="1"/>
  <c r="V6" i="93" s="1"/>
  <c r="Z6" i="93" s="1"/>
  <c r="K6" i="93"/>
  <c r="S6" i="93" s="1"/>
  <c r="W6" i="93" s="1"/>
  <c r="AA6" i="93" s="1"/>
  <c r="I6" i="93"/>
  <c r="Q6" i="93" s="1"/>
  <c r="U6" i="93" s="1"/>
  <c r="Y6" i="93" s="1"/>
  <c r="K7" i="93" l="1"/>
  <c r="S7" i="93" s="1"/>
  <c r="W7" i="93" s="1"/>
  <c r="AA7" i="93" s="1"/>
  <c r="J7" i="93"/>
  <c r="R7" i="93" s="1"/>
  <c r="V7" i="93" s="1"/>
  <c r="Z7" i="93" s="1"/>
  <c r="I7" i="93"/>
  <c r="Q7" i="93" s="1"/>
  <c r="U7" i="93" s="1"/>
  <c r="Y7" i="93" s="1"/>
  <c r="B176" i="30"/>
  <c r="C26" i="103" s="1"/>
  <c r="C29" i="103" s="1"/>
  <c r="F28" i="79" l="1"/>
  <c r="F27" i="79" s="1"/>
  <c r="K8" i="93"/>
  <c r="S8" i="93" s="1"/>
  <c r="W8" i="93" s="1"/>
  <c r="AA8" i="93" s="1"/>
  <c r="J8" i="93"/>
  <c r="R8" i="93" s="1"/>
  <c r="V8" i="93" s="1"/>
  <c r="Z8" i="93" s="1"/>
  <c r="I8" i="93"/>
  <c r="Q8" i="93" s="1"/>
  <c r="U8" i="93" s="1"/>
  <c r="Y8" i="93" s="1"/>
  <c r="T3" i="92"/>
  <c r="U3" i="92"/>
  <c r="V3" i="92"/>
  <c r="U4" i="92"/>
  <c r="V4" i="92"/>
  <c r="U8" i="92"/>
  <c r="V8" i="92"/>
  <c r="T8" i="92"/>
  <c r="N8" i="92"/>
  <c r="O8" i="92"/>
  <c r="M8" i="92"/>
  <c r="N3" i="92"/>
  <c r="O3" i="92"/>
  <c r="N4" i="92"/>
  <c r="O4" i="92"/>
  <c r="M3" i="92"/>
  <c r="M4" i="92"/>
  <c r="Q8" i="92"/>
  <c r="R8" i="92"/>
  <c r="S8" i="92"/>
  <c r="P8" i="92"/>
  <c r="Q4" i="92"/>
  <c r="R4" i="92"/>
  <c r="S4" i="92"/>
  <c r="T4" i="92"/>
  <c r="P4" i="92"/>
  <c r="Q3" i="92"/>
  <c r="P3" i="92"/>
  <c r="K9" i="93" l="1"/>
  <c r="S9" i="93" s="1"/>
  <c r="W9" i="93" s="1"/>
  <c r="AA9" i="93" s="1"/>
  <c r="J9" i="93"/>
  <c r="R9" i="93" s="1"/>
  <c r="V9" i="93" s="1"/>
  <c r="Z9" i="93" s="1"/>
  <c r="I9" i="93"/>
  <c r="Q9" i="93" s="1"/>
  <c r="U9" i="93" s="1"/>
  <c r="Y9" i="93" s="1"/>
  <c r="K10" i="93" l="1"/>
  <c r="S10" i="93" s="1"/>
  <c r="W10" i="93" s="1"/>
  <c r="AA10" i="93" s="1"/>
  <c r="J10" i="93"/>
  <c r="R10" i="93" s="1"/>
  <c r="V10" i="93" s="1"/>
  <c r="Z10" i="93" s="1"/>
  <c r="I10" i="93"/>
  <c r="Q10" i="93" s="1"/>
  <c r="U10" i="93" s="1"/>
  <c r="Y10" i="93" s="1"/>
  <c r="D21" i="92"/>
  <c r="E21" i="92" s="1"/>
  <c r="F21" i="92" s="1"/>
  <c r="G21" i="92" s="1"/>
  <c r="H21" i="92" s="1"/>
  <c r="K11" i="93" l="1"/>
  <c r="J11" i="93"/>
  <c r="I11" i="93"/>
  <c r="C21" i="92"/>
  <c r="B21" i="92" s="1"/>
  <c r="B50" i="92"/>
  <c r="Q11" i="93" l="1"/>
  <c r="U11" i="93" s="1"/>
  <c r="Y11" i="93" s="1"/>
  <c r="R11" i="93"/>
  <c r="V11" i="93" s="1"/>
  <c r="Z11" i="93" s="1"/>
  <c r="S11" i="93"/>
  <c r="W11" i="93" s="1"/>
  <c r="AA11" i="93" s="1"/>
  <c r="K12" i="93"/>
  <c r="J12" i="93"/>
  <c r="I12" i="93"/>
  <c r="D57" i="92"/>
  <c r="C57" i="92" s="1"/>
  <c r="B57" i="92" s="1"/>
  <c r="R12" i="93" l="1"/>
  <c r="V12" i="93" s="1"/>
  <c r="Z12" i="93" s="1"/>
  <c r="S12" i="93"/>
  <c r="W12" i="93" s="1"/>
  <c r="AA12" i="93" s="1"/>
  <c r="Q12" i="93"/>
  <c r="U12" i="93" s="1"/>
  <c r="Y12" i="93" s="1"/>
  <c r="K13" i="93"/>
  <c r="W13" i="93" s="1"/>
  <c r="J13" i="93"/>
  <c r="V13" i="93" s="1"/>
  <c r="I13" i="93"/>
  <c r="U13" i="93" s="1"/>
  <c r="E57" i="92"/>
  <c r="F57" i="92" s="1"/>
  <c r="G57" i="92" s="1"/>
  <c r="H57" i="92" s="1"/>
  <c r="D45" i="92"/>
  <c r="C45" i="92" s="1"/>
  <c r="B45" i="92" s="1"/>
  <c r="S14" i="93" l="1"/>
  <c r="W14" i="93" s="1"/>
  <c r="R14" i="93"/>
  <c r="V14" i="93" s="1"/>
  <c r="Q14" i="93"/>
  <c r="U14" i="93" s="1"/>
  <c r="E45" i="92"/>
  <c r="F45" i="92" s="1"/>
  <c r="G45" i="92" s="1"/>
  <c r="H45" i="92" s="1"/>
  <c r="K21" i="92"/>
  <c r="R21" i="92"/>
  <c r="R2" i="92" s="1"/>
  <c r="S15" i="93" l="1"/>
  <c r="W15" i="93" s="1"/>
  <c r="R15" i="93"/>
  <c r="V15" i="93" s="1"/>
  <c r="Q15" i="93"/>
  <c r="U15" i="93" s="1"/>
  <c r="J21" i="92"/>
  <c r="K2" i="92"/>
  <c r="L21" i="92"/>
  <c r="Q21" i="92"/>
  <c r="S21" i="92"/>
  <c r="C36" i="90"/>
  <c r="B36" i="90"/>
  <c r="C22" i="90"/>
  <c r="B9" i="90"/>
  <c r="E5" i="90"/>
  <c r="F5" i="90" s="1"/>
  <c r="H5" i="90" s="1"/>
  <c r="I5" i="90" s="1"/>
  <c r="J5" i="90" s="1"/>
  <c r="E69" i="74"/>
  <c r="F69" i="74"/>
  <c r="G69" i="74"/>
  <c r="H69" i="74"/>
  <c r="I69" i="74"/>
  <c r="J69" i="74"/>
  <c r="D69" i="74"/>
  <c r="C69" i="74"/>
  <c r="D44" i="75"/>
  <c r="Q39" i="92" s="1"/>
  <c r="B44" i="90"/>
  <c r="C32" i="90"/>
  <c r="B31" i="90"/>
  <c r="B10" i="90"/>
  <c r="C9" i="90"/>
  <c r="D5" i="90" l="1"/>
  <c r="C5" i="90" s="1"/>
  <c r="B5" i="90" s="1"/>
  <c r="C44" i="75"/>
  <c r="P39" i="92" s="1"/>
  <c r="C44" i="90"/>
  <c r="I39" i="92" s="1"/>
  <c r="B32" i="90"/>
  <c r="B13" i="90"/>
  <c r="C13" i="90"/>
  <c r="D13" i="90" s="1"/>
  <c r="B44" i="75"/>
  <c r="C10" i="90"/>
  <c r="C31" i="90"/>
  <c r="B62" i="92"/>
  <c r="B52" i="92"/>
  <c r="D62" i="92"/>
  <c r="D52" i="92"/>
  <c r="D44" i="90"/>
  <c r="J39" i="92" s="1"/>
  <c r="C39" i="92" s="1"/>
  <c r="C62" i="92"/>
  <c r="C52" i="92"/>
  <c r="S16" i="93"/>
  <c r="W16" i="93" s="1"/>
  <c r="R16" i="93"/>
  <c r="V16" i="93" s="1"/>
  <c r="Q16" i="93"/>
  <c r="U16" i="93" s="1"/>
  <c r="T21" i="92"/>
  <c r="S2" i="92"/>
  <c r="P21" i="92"/>
  <c r="P2" i="92" s="1"/>
  <c r="Q2" i="92"/>
  <c r="M21" i="92"/>
  <c r="L2" i="92"/>
  <c r="I21" i="92"/>
  <c r="I2" i="92" s="1"/>
  <c r="J2" i="92"/>
  <c r="G3" i="79"/>
  <c r="E3" i="79" s="1"/>
  <c r="C1" i="79"/>
  <c r="G49" i="89"/>
  <c r="H50" i="89" s="1"/>
  <c r="G3" i="89"/>
  <c r="F3" i="89" s="1"/>
  <c r="C1" i="89"/>
  <c r="G3" i="88"/>
  <c r="F3" i="88" s="1"/>
  <c r="C1" i="88"/>
  <c r="E13" i="90" l="1"/>
  <c r="F13" i="90" s="1"/>
  <c r="G13" i="90"/>
  <c r="H13" i="90" s="1"/>
  <c r="I13" i="90" s="1"/>
  <c r="J13" i="90" s="1"/>
  <c r="B39" i="92"/>
  <c r="G50" i="89"/>
  <c r="W17" i="93"/>
  <c r="V17" i="93"/>
  <c r="U17" i="93"/>
  <c r="U21" i="92"/>
  <c r="T2" i="92"/>
  <c r="N21" i="92"/>
  <c r="M2" i="92"/>
  <c r="C3" i="79"/>
  <c r="F3" i="79"/>
  <c r="D3" i="79"/>
  <c r="C3" i="89"/>
  <c r="D3" i="89"/>
  <c r="E3" i="89"/>
  <c r="C3" i="88"/>
  <c r="D3" i="88"/>
  <c r="E3" i="88"/>
  <c r="W18" i="93" l="1"/>
  <c r="V18" i="93"/>
  <c r="U18" i="93"/>
  <c r="V21" i="92"/>
  <c r="V2" i="92" s="1"/>
  <c r="U2" i="92"/>
  <c r="O21" i="92"/>
  <c r="O2" i="92" s="1"/>
  <c r="N2" i="92"/>
  <c r="W19" i="93" l="1"/>
  <c r="V19" i="93"/>
  <c r="U19" i="93"/>
  <c r="W20" i="93" l="1"/>
  <c r="V20" i="93"/>
  <c r="U20" i="93"/>
  <c r="E5" i="75"/>
  <c r="D5" i="75" s="1"/>
  <c r="C5" i="75" l="1"/>
  <c r="D53" i="74"/>
  <c r="E53" i="74"/>
  <c r="F5" i="75"/>
  <c r="W21" i="93"/>
  <c r="V21" i="93"/>
  <c r="U21" i="93"/>
  <c r="F53" i="74" l="1"/>
  <c r="H5" i="75"/>
  <c r="C53" i="74"/>
  <c r="B5" i="75"/>
  <c r="W22" i="93"/>
  <c r="V22" i="93"/>
  <c r="U22" i="93"/>
  <c r="C2" i="81"/>
  <c r="C70" i="105" s="1"/>
  <c r="C26" i="81"/>
  <c r="C50" i="81"/>
  <c r="C74" i="81"/>
  <c r="I89" i="81"/>
  <c r="I86" i="81"/>
  <c r="I76" i="81"/>
  <c r="I65" i="81"/>
  <c r="I62" i="81"/>
  <c r="I52" i="81"/>
  <c r="C55" i="74"/>
  <c r="I41" i="81"/>
  <c r="I38" i="81"/>
  <c r="I28" i="81"/>
  <c r="G20" i="17" l="1"/>
  <c r="E55" i="74"/>
  <c r="I5" i="75"/>
  <c r="G53" i="74"/>
  <c r="J5" i="75" l="1"/>
  <c r="I53" i="74" s="1"/>
  <c r="H53" i="74"/>
  <c r="C69" i="105" l="1"/>
  <c r="G66" i="119" s="1"/>
  <c r="C68" i="105"/>
  <c r="D68" i="105" s="1"/>
  <c r="H65" i="119" s="1"/>
  <c r="N5" i="105"/>
  <c r="C60" i="105"/>
  <c r="G57" i="119" s="1"/>
  <c r="C62" i="105"/>
  <c r="G59" i="119" s="1"/>
  <c r="C50" i="105"/>
  <c r="G47" i="119" s="1"/>
  <c r="C46" i="105"/>
  <c r="D46" i="105" s="1"/>
  <c r="H43" i="119" s="1"/>
  <c r="C63" i="105"/>
  <c r="G60" i="119" s="1"/>
  <c r="C66" i="105"/>
  <c r="G63" i="119" s="1"/>
  <c r="C39" i="105"/>
  <c r="G36" i="119" s="1"/>
  <c r="C59" i="105"/>
  <c r="D59" i="105" s="1"/>
  <c r="H56" i="119" s="1"/>
  <c r="C53" i="105"/>
  <c r="G50" i="119" s="1"/>
  <c r="C67" i="105"/>
  <c r="G64" i="119" s="1"/>
  <c r="C57" i="105"/>
  <c r="G54" i="119" s="1"/>
  <c r="C40" i="105"/>
  <c r="G37" i="119" s="1"/>
  <c r="C48" i="105"/>
  <c r="D48" i="105" s="1"/>
  <c r="H45" i="119" s="1"/>
  <c r="C8" i="110"/>
  <c r="E8" i="110" s="1"/>
  <c r="C61" i="105"/>
  <c r="D61" i="105" s="1"/>
  <c r="H58" i="119" s="1"/>
  <c r="C44" i="105"/>
  <c r="D44" i="105" s="1"/>
  <c r="H41" i="119" s="1"/>
  <c r="C51" i="105"/>
  <c r="G48" i="119" s="1"/>
  <c r="G22" i="56"/>
  <c r="C49" i="105"/>
  <c r="G46" i="119" s="1"/>
  <c r="C43" i="105"/>
  <c r="D43" i="105" s="1"/>
  <c r="H40" i="119" s="1"/>
  <c r="C58" i="105"/>
  <c r="D58" i="105" s="1"/>
  <c r="H55" i="119" s="1"/>
  <c r="C47" i="105"/>
  <c r="D47" i="105" s="1"/>
  <c r="H44" i="119" s="1"/>
  <c r="G67" i="119"/>
  <c r="C55" i="105"/>
  <c r="G52" i="119" s="1"/>
  <c r="C41" i="105"/>
  <c r="G38" i="119" s="1"/>
  <c r="H3" i="56"/>
  <c r="C45" i="105"/>
  <c r="G42" i="119" s="1"/>
  <c r="C42" i="105"/>
  <c r="D42" i="105" s="1"/>
  <c r="H39" i="119" s="1"/>
  <c r="C65" i="105"/>
  <c r="G62" i="119" s="1"/>
  <c r="C54" i="105"/>
  <c r="G51" i="119" s="1"/>
  <c r="C52" i="105"/>
  <c r="G49" i="119" s="1"/>
  <c r="C56" i="105"/>
  <c r="G53" i="119" s="1"/>
  <c r="C64" i="105"/>
  <c r="G61" i="119" s="1"/>
  <c r="I17" i="81"/>
  <c r="I14" i="81"/>
  <c r="G23" i="39" l="1"/>
  <c r="D100" i="111" s="1"/>
  <c r="E100" i="111" s="1"/>
  <c r="F100" i="111" s="1"/>
  <c r="G6" i="48"/>
  <c r="D67" i="105"/>
  <c r="H64" i="119" s="1"/>
  <c r="D60" i="105"/>
  <c r="H57" i="119" s="1"/>
  <c r="G41" i="119"/>
  <c r="D63" i="105"/>
  <c r="H60" i="119" s="1"/>
  <c r="G40" i="119"/>
  <c r="G45" i="119"/>
  <c r="G43" i="119"/>
  <c r="G56" i="119"/>
  <c r="D49" i="105"/>
  <c r="H46" i="119" s="1"/>
  <c r="D40" i="105"/>
  <c r="H37" i="119" s="1"/>
  <c r="G39" i="119"/>
  <c r="G105" i="119" s="1"/>
  <c r="G138" i="119" s="1"/>
  <c r="G65" i="119"/>
  <c r="D64" i="105"/>
  <c r="H61" i="119" s="1"/>
  <c r="D45" i="105"/>
  <c r="H42" i="119" s="1"/>
  <c r="G55" i="119"/>
  <c r="D41" i="105"/>
  <c r="H38" i="119" s="1"/>
  <c r="D62" i="105"/>
  <c r="H59" i="119" s="1"/>
  <c r="D66" i="105"/>
  <c r="H63" i="119" s="1"/>
  <c r="D69" i="105"/>
  <c r="H66" i="119" s="1"/>
  <c r="D51" i="105"/>
  <c r="H48" i="119" s="1"/>
  <c r="D52" i="105"/>
  <c r="H49" i="119" s="1"/>
  <c r="D39" i="105"/>
  <c r="G44" i="119"/>
  <c r="D50" i="105"/>
  <c r="H47" i="119" s="1"/>
  <c r="D57" i="105"/>
  <c r="H54" i="119" s="1"/>
  <c r="G58" i="119"/>
  <c r="D55" i="105"/>
  <c r="H52" i="119" s="1"/>
  <c r="D53" i="105"/>
  <c r="H50" i="119" s="1"/>
  <c r="D54" i="105"/>
  <c r="H51" i="119" s="1"/>
  <c r="D56" i="105"/>
  <c r="H53" i="119" s="1"/>
  <c r="D65" i="105"/>
  <c r="H62" i="119" s="1"/>
  <c r="E8" i="30"/>
  <c r="F8" i="30"/>
  <c r="D8" i="30"/>
  <c r="D7" i="30"/>
  <c r="H36" i="119" l="1"/>
  <c r="D70" i="105"/>
  <c r="N6" i="17"/>
  <c r="N9" i="105" l="1"/>
  <c r="G10" i="48" s="1"/>
  <c r="H67" i="119"/>
  <c r="C36" i="75"/>
  <c r="B36" i="75"/>
  <c r="C32" i="75"/>
  <c r="B32" i="75"/>
  <c r="C31" i="75"/>
  <c r="B31" i="75"/>
  <c r="C23" i="75"/>
  <c r="D23" i="75" s="1"/>
  <c r="E23" i="75" s="1"/>
  <c r="F23" i="75" s="1"/>
  <c r="G23" i="75" s="1"/>
  <c r="H23" i="75" s="1"/>
  <c r="C22" i="75"/>
  <c r="C21" i="75" s="1"/>
  <c r="C13" i="75"/>
  <c r="D13" i="75" s="1"/>
  <c r="B13" i="75"/>
  <c r="C10" i="75"/>
  <c r="B10" i="75"/>
  <c r="C9" i="75"/>
  <c r="B9" i="75"/>
  <c r="D60" i="74"/>
  <c r="C17" i="74"/>
  <c r="C16" i="74" s="1"/>
  <c r="D32" i="75" l="1"/>
  <c r="I23" i="75"/>
  <c r="J23" i="75" s="1"/>
  <c r="E13" i="75"/>
  <c r="F13" i="75" s="1"/>
  <c r="B42" i="75"/>
  <c r="C42" i="90"/>
  <c r="B42" i="90"/>
  <c r="D22" i="90"/>
  <c r="E60" i="74"/>
  <c r="D55" i="74"/>
  <c r="D22" i="75"/>
  <c r="C42" i="75"/>
  <c r="G13" i="75" l="1"/>
  <c r="H13" i="75" s="1"/>
  <c r="I13" i="75" s="1"/>
  <c r="J13" i="75" s="1"/>
  <c r="E22" i="90"/>
  <c r="I37" i="92"/>
  <c r="D42" i="90"/>
  <c r="D42" i="75"/>
  <c r="Q37" i="92" s="1"/>
  <c r="P37" i="92"/>
  <c r="F60" i="74"/>
  <c r="D21" i="75"/>
  <c r="E22" i="75"/>
  <c r="E21" i="75" s="1"/>
  <c r="E42" i="75" l="1"/>
  <c r="R37" i="92" s="1"/>
  <c r="B37" i="92"/>
  <c r="F22" i="90"/>
  <c r="G22" i="90" s="1"/>
  <c r="J37" i="92"/>
  <c r="C37" i="92" s="1"/>
  <c r="E42" i="90"/>
  <c r="G60" i="74"/>
  <c r="F22" i="75"/>
  <c r="G22" i="75" s="1"/>
  <c r="H22" i="90" l="1"/>
  <c r="F42" i="75"/>
  <c r="F42" i="90"/>
  <c r="G42" i="90" s="1"/>
  <c r="H42" i="90" s="1"/>
  <c r="I42" i="90" s="1"/>
  <c r="J42" i="90" s="1"/>
  <c r="K37" i="92"/>
  <c r="D37" i="92" s="1"/>
  <c r="H60" i="74"/>
  <c r="F21" i="75"/>
  <c r="G21" i="75" s="1"/>
  <c r="H22" i="75"/>
  <c r="I22" i="90" l="1"/>
  <c r="S37" i="92"/>
  <c r="G42" i="75"/>
  <c r="H42" i="75" s="1"/>
  <c r="T37" i="92" s="1"/>
  <c r="H21" i="75"/>
  <c r="L37" i="92"/>
  <c r="I60" i="74"/>
  <c r="I22" i="75"/>
  <c r="I21" i="75" s="1"/>
  <c r="I42" i="75" l="1"/>
  <c r="E37" i="92"/>
  <c r="J22" i="90"/>
  <c r="M37" i="92"/>
  <c r="F37" i="92" s="1"/>
  <c r="J22" i="75"/>
  <c r="J21" i="75" s="1"/>
  <c r="J42" i="75"/>
  <c r="V37" i="92" s="1"/>
  <c r="U37" i="92"/>
  <c r="O37" i="92" l="1"/>
  <c r="H37" i="92" s="1"/>
  <c r="N37" i="92"/>
  <c r="G37" i="92" s="1"/>
  <c r="C107" i="41" l="1"/>
  <c r="D107" i="41"/>
  <c r="E107" i="41"/>
  <c r="F107" i="41"/>
  <c r="G107" i="41"/>
  <c r="H107" i="41"/>
  <c r="C99" i="41"/>
  <c r="D99" i="41"/>
  <c r="E99" i="41"/>
  <c r="F99" i="41"/>
  <c r="G99" i="41"/>
  <c r="H99" i="41"/>
  <c r="C84" i="41"/>
  <c r="C83" i="41"/>
  <c r="D83" i="41"/>
  <c r="E83" i="41"/>
  <c r="F83" i="41"/>
  <c r="G83" i="41"/>
  <c r="H83" i="41"/>
  <c r="L12" i="17"/>
  <c r="L13" i="17"/>
  <c r="L14" i="17"/>
  <c r="L15" i="17"/>
  <c r="L16" i="17"/>
  <c r="L17" i="17"/>
  <c r="L7" i="17"/>
  <c r="L8" i="17"/>
  <c r="L9" i="17"/>
  <c r="L10" i="17"/>
  <c r="C85" i="41" l="1"/>
  <c r="M6" i="17"/>
  <c r="L6" i="17" l="1"/>
  <c r="D11" i="73" l="1"/>
  <c r="E11" i="73"/>
  <c r="F11" i="73"/>
  <c r="G11" i="73"/>
  <c r="H11" i="73"/>
  <c r="I11" i="73"/>
  <c r="J11" i="73"/>
  <c r="K11" i="73"/>
  <c r="C11" i="73"/>
  <c r="E51" i="74"/>
  <c r="D11" i="17"/>
  <c r="E11" i="17"/>
  <c r="F11" i="17"/>
  <c r="C11" i="17"/>
  <c r="B46" i="17" l="1"/>
  <c r="B41" i="17"/>
  <c r="C5" i="103" s="1"/>
  <c r="C8" i="103" s="1"/>
  <c r="D48" i="92"/>
  <c r="L11" i="17"/>
  <c r="K25" i="73"/>
  <c r="J25" i="73"/>
  <c r="I25" i="73"/>
  <c r="H25" i="73"/>
  <c r="G25" i="73"/>
  <c r="F25" i="73"/>
  <c r="E25" i="73"/>
  <c r="D25" i="73"/>
  <c r="C25" i="73"/>
  <c r="K5" i="73"/>
  <c r="J5" i="73"/>
  <c r="J18" i="73" s="1"/>
  <c r="I5" i="73"/>
  <c r="I18" i="73" s="1"/>
  <c r="H5" i="73"/>
  <c r="H18" i="73" s="1"/>
  <c r="G5" i="73"/>
  <c r="G18" i="73" s="1"/>
  <c r="F5" i="73"/>
  <c r="F18" i="73" s="1"/>
  <c r="E5" i="73"/>
  <c r="E18" i="73" s="1"/>
  <c r="D5" i="73"/>
  <c r="D18" i="73" s="1"/>
  <c r="C5" i="73"/>
  <c r="C18" i="73" s="1"/>
  <c r="K18" i="73" l="1"/>
  <c r="C5" i="56" l="1"/>
  <c r="C42" i="56" l="1"/>
  <c r="D14" i="4"/>
  <c r="D19" i="56" s="1"/>
  <c r="D41" i="56" s="1"/>
  <c r="E14" i="4"/>
  <c r="E19" i="56" s="1"/>
  <c r="F14" i="4"/>
  <c r="F19" i="56" s="1"/>
  <c r="F41" i="56" s="1"/>
  <c r="C14" i="4"/>
  <c r="C19" i="56" s="1"/>
  <c r="C41" i="56" s="1"/>
  <c r="F81" i="71"/>
  <c r="E20" i="56" l="1"/>
  <c r="E42" i="56" s="1"/>
  <c r="E41" i="56"/>
  <c r="F20" i="56"/>
  <c r="F42" i="56" s="1"/>
  <c r="D20" i="56"/>
  <c r="D42" i="56" s="1"/>
  <c r="D103" i="41"/>
  <c r="E103" i="41"/>
  <c r="F103" i="41"/>
  <c r="G103" i="41"/>
  <c r="H103" i="41"/>
  <c r="D95" i="41"/>
  <c r="E95" i="41"/>
  <c r="F95" i="41"/>
  <c r="G95" i="41"/>
  <c r="H95" i="41"/>
  <c r="D91" i="41"/>
  <c r="E91" i="41"/>
  <c r="F91" i="41"/>
  <c r="G91" i="41"/>
  <c r="H91" i="41"/>
  <c r="D87" i="41"/>
  <c r="E87" i="41"/>
  <c r="F87" i="41"/>
  <c r="G87" i="41"/>
  <c r="H87" i="41"/>
  <c r="D84" i="41"/>
  <c r="D85" i="41" s="1"/>
  <c r="E84" i="41"/>
  <c r="E85" i="41" s="1"/>
  <c r="F84" i="41"/>
  <c r="F85" i="41" s="1"/>
  <c r="G84" i="41"/>
  <c r="G85" i="41" s="1"/>
  <c r="H84" i="41"/>
  <c r="H85" i="41" s="1"/>
  <c r="D78" i="41"/>
  <c r="E78" i="41"/>
  <c r="F78" i="41"/>
  <c r="G78" i="41"/>
  <c r="H78" i="41"/>
  <c r="H54" i="41"/>
  <c r="G54" i="41"/>
  <c r="F54" i="41"/>
  <c r="E54" i="41"/>
  <c r="D54" i="41"/>
  <c r="D51" i="41"/>
  <c r="D52" i="41" s="1"/>
  <c r="E51" i="41"/>
  <c r="E52" i="41" s="1"/>
  <c r="F51" i="41"/>
  <c r="F52" i="41" s="1"/>
  <c r="G51" i="41"/>
  <c r="G52" i="41" s="1"/>
  <c r="H51" i="41"/>
  <c r="AB50" i="70" l="1"/>
  <c r="AA50" i="70"/>
  <c r="Z50" i="70"/>
  <c r="Y50" i="70"/>
  <c r="X50" i="70"/>
  <c r="W50" i="70"/>
  <c r="V50" i="70"/>
  <c r="U50" i="70"/>
  <c r="T50" i="70"/>
  <c r="S50" i="70"/>
  <c r="R50" i="70"/>
  <c r="Q50" i="70"/>
  <c r="P50" i="70"/>
  <c r="O50" i="70"/>
  <c r="N50" i="70"/>
  <c r="M50" i="70"/>
  <c r="L50" i="70"/>
  <c r="K50" i="70"/>
  <c r="J50" i="70"/>
  <c r="I50" i="70"/>
  <c r="H50" i="70"/>
  <c r="G50" i="70"/>
  <c r="F50" i="70"/>
  <c r="E50" i="70"/>
  <c r="D50" i="70"/>
  <c r="D117" i="41"/>
  <c r="E5" i="68"/>
  <c r="F5" i="68"/>
  <c r="G5" i="68"/>
  <c r="H5" i="68"/>
  <c r="I5" i="68"/>
  <c r="D5" i="68"/>
  <c r="D120" i="41" l="1"/>
  <c r="E120" i="41"/>
  <c r="D89" i="70"/>
  <c r="F95" i="42"/>
  <c r="G95" i="42" s="1"/>
  <c r="F96" i="42"/>
  <c r="F97" i="42"/>
  <c r="F98" i="42"/>
  <c r="F99" i="42"/>
  <c r="G99" i="42" s="1"/>
  <c r="F100" i="42"/>
  <c r="F101" i="42"/>
  <c r="G101" i="42" s="1"/>
  <c r="F102" i="42"/>
  <c r="G102" i="42" s="1"/>
  <c r="F103" i="42"/>
  <c r="G103" i="42" s="1"/>
  <c r="F104" i="42"/>
  <c r="F105" i="42"/>
  <c r="F106" i="42"/>
  <c r="F107" i="42"/>
  <c r="G107" i="42" s="1"/>
  <c r="F108" i="42"/>
  <c r="F109" i="42"/>
  <c r="G109" i="42" s="1"/>
  <c r="F94" i="42"/>
  <c r="G94" i="42" s="1"/>
  <c r="D95" i="42"/>
  <c r="D96" i="42"/>
  <c r="D97" i="42"/>
  <c r="D98" i="42"/>
  <c r="D99" i="42"/>
  <c r="D100" i="42"/>
  <c r="D101" i="42"/>
  <c r="D102" i="42"/>
  <c r="D103" i="42"/>
  <c r="D104" i="42"/>
  <c r="D105" i="42"/>
  <c r="D106" i="42"/>
  <c r="D107" i="42"/>
  <c r="D108" i="42"/>
  <c r="D109" i="42"/>
  <c r="D94" i="42"/>
  <c r="F70" i="42"/>
  <c r="F71" i="42"/>
  <c r="G71" i="42" s="1"/>
  <c r="F72" i="42"/>
  <c r="F73" i="42"/>
  <c r="G73" i="42" s="1"/>
  <c r="F74" i="42"/>
  <c r="F75" i="42"/>
  <c r="F76" i="42"/>
  <c r="F77" i="42"/>
  <c r="G77" i="42" s="1"/>
  <c r="F78" i="42"/>
  <c r="F79" i="42"/>
  <c r="F80" i="42"/>
  <c r="F81" i="42"/>
  <c r="G81" i="42" s="1"/>
  <c r="F82" i="42"/>
  <c r="F83" i="42"/>
  <c r="F84" i="42"/>
  <c r="F85" i="42"/>
  <c r="G85" i="42" s="1"/>
  <c r="F86" i="42"/>
  <c r="F87" i="42"/>
  <c r="G87" i="42" s="1"/>
  <c r="F88" i="42"/>
  <c r="F89" i="42"/>
  <c r="G89" i="42" s="1"/>
  <c r="F90" i="42"/>
  <c r="F91" i="42"/>
  <c r="F92" i="42"/>
  <c r="G92" i="42" s="1"/>
  <c r="F69" i="42"/>
  <c r="D70" i="42"/>
  <c r="D71" i="42"/>
  <c r="D72" i="42"/>
  <c r="D73" i="42"/>
  <c r="D74" i="42"/>
  <c r="D75" i="42"/>
  <c r="D76" i="42"/>
  <c r="D77" i="42"/>
  <c r="D78" i="42"/>
  <c r="D79" i="42"/>
  <c r="D80" i="42"/>
  <c r="D81" i="42"/>
  <c r="D82" i="42"/>
  <c r="D83" i="42"/>
  <c r="D84" i="42"/>
  <c r="D85" i="42"/>
  <c r="D86" i="42"/>
  <c r="D87" i="42"/>
  <c r="D88" i="42"/>
  <c r="D89" i="42"/>
  <c r="D90" i="42"/>
  <c r="D91" i="42"/>
  <c r="D92" i="42"/>
  <c r="D69" i="42"/>
  <c r="F7" i="42"/>
  <c r="G7" i="42" s="1"/>
  <c r="F8" i="42"/>
  <c r="F9" i="42"/>
  <c r="F10" i="42"/>
  <c r="F11" i="42"/>
  <c r="F12" i="42"/>
  <c r="F13" i="42"/>
  <c r="F14" i="42"/>
  <c r="F15" i="42"/>
  <c r="G15" i="42" s="1"/>
  <c r="F16" i="42"/>
  <c r="G16" i="42" s="1"/>
  <c r="F17" i="42"/>
  <c r="F18" i="42"/>
  <c r="F19" i="42"/>
  <c r="F20" i="42"/>
  <c r="F21" i="42"/>
  <c r="F22" i="42"/>
  <c r="F23" i="42"/>
  <c r="G23" i="42" s="1"/>
  <c r="F24" i="42"/>
  <c r="G24" i="42" s="1"/>
  <c r="F25" i="42"/>
  <c r="F26" i="42"/>
  <c r="F27" i="42"/>
  <c r="F28" i="42"/>
  <c r="F29" i="42"/>
  <c r="F30" i="42"/>
  <c r="F31" i="42"/>
  <c r="G31" i="42" s="1"/>
  <c r="F32" i="42"/>
  <c r="G32" i="42" s="1"/>
  <c r="F33" i="42"/>
  <c r="F34" i="42"/>
  <c r="F35" i="42"/>
  <c r="F36" i="42"/>
  <c r="F37" i="42"/>
  <c r="F38" i="42"/>
  <c r="F39" i="42"/>
  <c r="G39" i="42" s="1"/>
  <c r="F40" i="42"/>
  <c r="G40" i="42" s="1"/>
  <c r="F41" i="42"/>
  <c r="F42" i="42"/>
  <c r="F43" i="42"/>
  <c r="F44" i="42"/>
  <c r="F45" i="42"/>
  <c r="F46" i="42"/>
  <c r="F47" i="42"/>
  <c r="G47" i="42" s="1"/>
  <c r="F48" i="42"/>
  <c r="F49" i="42"/>
  <c r="F50" i="42"/>
  <c r="F51" i="42"/>
  <c r="G51" i="42" s="1"/>
  <c r="F52" i="42"/>
  <c r="F53" i="42"/>
  <c r="F54" i="42"/>
  <c r="F55" i="42"/>
  <c r="G55" i="42" s="1"/>
  <c r="F56" i="42"/>
  <c r="F57" i="42"/>
  <c r="F58" i="42"/>
  <c r="G58" i="42" s="1"/>
  <c r="F59" i="42"/>
  <c r="G59" i="42" s="1"/>
  <c r="F60" i="42"/>
  <c r="F61" i="42"/>
  <c r="F62" i="42"/>
  <c r="F63" i="42"/>
  <c r="G63" i="42" s="1"/>
  <c r="F64" i="42"/>
  <c r="F65" i="42"/>
  <c r="G65" i="42" s="1"/>
  <c r="F66" i="42"/>
  <c r="F67" i="42"/>
  <c r="G67" i="42" s="1"/>
  <c r="F6" i="42"/>
  <c r="D53" i="42"/>
  <c r="D54" i="42"/>
  <c r="D55" i="42"/>
  <c r="D56" i="42"/>
  <c r="D57" i="42"/>
  <c r="D58" i="42"/>
  <c r="D59" i="42"/>
  <c r="D60" i="42"/>
  <c r="D61" i="42"/>
  <c r="D62" i="42"/>
  <c r="D63" i="42"/>
  <c r="D64" i="42"/>
  <c r="D65" i="42"/>
  <c r="D66" i="42"/>
  <c r="D67" i="42"/>
  <c r="D7" i="42"/>
  <c r="D8" i="42"/>
  <c r="D9" i="42"/>
  <c r="D10" i="42"/>
  <c r="D11" i="42"/>
  <c r="D12" i="42"/>
  <c r="D13" i="42"/>
  <c r="D14" i="42"/>
  <c r="D15" i="42"/>
  <c r="D16" i="42"/>
  <c r="D17" i="42"/>
  <c r="D18" i="42"/>
  <c r="D19" i="42"/>
  <c r="D20" i="42"/>
  <c r="D21" i="42"/>
  <c r="D22" i="42"/>
  <c r="D23" i="42"/>
  <c r="D24" i="42"/>
  <c r="D25" i="42"/>
  <c r="D26" i="42"/>
  <c r="D27" i="42"/>
  <c r="D28" i="42"/>
  <c r="D29" i="42"/>
  <c r="D30" i="42"/>
  <c r="D31" i="42"/>
  <c r="D32" i="42"/>
  <c r="D33" i="42"/>
  <c r="D34" i="42"/>
  <c r="D35" i="42"/>
  <c r="D36" i="42"/>
  <c r="D37" i="42"/>
  <c r="D38" i="42"/>
  <c r="D39" i="42"/>
  <c r="D40" i="42"/>
  <c r="D41" i="42"/>
  <c r="D42" i="42"/>
  <c r="D43" i="42"/>
  <c r="D44" i="42"/>
  <c r="D45" i="42"/>
  <c r="D46" i="42"/>
  <c r="D47" i="42"/>
  <c r="D48" i="42"/>
  <c r="D49" i="42"/>
  <c r="D50" i="42"/>
  <c r="D51" i="42"/>
  <c r="D52" i="42"/>
  <c r="D6" i="42"/>
  <c r="G72" i="42" l="1"/>
  <c r="G105" i="42"/>
  <c r="G69" i="42"/>
  <c r="G90" i="42"/>
  <c r="G82" i="42"/>
  <c r="G79" i="42"/>
  <c r="G74" i="42"/>
  <c r="G108" i="42"/>
  <c r="G97" i="42"/>
  <c r="G84" i="42"/>
  <c r="G76" i="42"/>
  <c r="G100" i="42"/>
  <c r="G88" i="42"/>
  <c r="G80" i="42"/>
  <c r="G91" i="42"/>
  <c r="G86" i="42"/>
  <c r="G83" i="42"/>
  <c r="G78" i="42"/>
  <c r="G75" i="42"/>
  <c r="G70" i="42"/>
  <c r="G104" i="42"/>
  <c r="G96" i="42"/>
  <c r="G106" i="42"/>
  <c r="G98" i="42"/>
  <c r="G45" i="42"/>
  <c r="G37" i="42"/>
  <c r="G25" i="42"/>
  <c r="G9" i="42"/>
  <c r="G8" i="42"/>
  <c r="G66" i="42"/>
  <c r="G62" i="42"/>
  <c r="G54" i="42"/>
  <c r="G50" i="42"/>
  <c r="G46" i="42"/>
  <c r="G33" i="42"/>
  <c r="G21" i="42"/>
  <c r="G13" i="42"/>
  <c r="G61" i="42"/>
  <c r="G57" i="42"/>
  <c r="G53" i="42"/>
  <c r="G49" i="42"/>
  <c r="G44" i="42"/>
  <c r="G36" i="42"/>
  <c r="G28" i="42"/>
  <c r="G20" i="42"/>
  <c r="G12" i="42"/>
  <c r="G41" i="42"/>
  <c r="G29" i="42"/>
  <c r="G17" i="42"/>
  <c r="G42" i="42"/>
  <c r="G38" i="42"/>
  <c r="G34" i="42"/>
  <c r="G30" i="42"/>
  <c r="G26" i="42"/>
  <c r="G22" i="42"/>
  <c r="G18" i="42"/>
  <c r="G14" i="42"/>
  <c r="G10" i="42"/>
  <c r="G6" i="42"/>
  <c r="G64" i="42"/>
  <c r="G60" i="42"/>
  <c r="G56" i="42"/>
  <c r="G52" i="42"/>
  <c r="G48" i="42"/>
  <c r="G43" i="42"/>
  <c r="G35" i="42"/>
  <c r="G27" i="42"/>
  <c r="G19" i="42"/>
  <c r="G11" i="42"/>
  <c r="F72" i="71" l="1"/>
  <c r="F71" i="71"/>
  <c r="F77" i="71" l="1"/>
  <c r="H77" i="71" s="1"/>
  <c r="F76" i="71"/>
  <c r="H76" i="71" s="1"/>
  <c r="G72" i="71"/>
  <c r="F70" i="71"/>
  <c r="H70" i="71" s="1"/>
  <c r="W66" i="71"/>
  <c r="V66" i="71"/>
  <c r="U66" i="71"/>
  <c r="T66" i="71"/>
  <c r="S66" i="71"/>
  <c r="R66" i="71"/>
  <c r="Q66" i="71"/>
  <c r="P66" i="71"/>
  <c r="N66" i="71"/>
  <c r="W65" i="71"/>
  <c r="V65" i="71"/>
  <c r="R65" i="71"/>
  <c r="W64" i="71"/>
  <c r="V64" i="71"/>
  <c r="U64" i="71"/>
  <c r="S64" i="71"/>
  <c r="R64" i="71"/>
  <c r="Q64" i="71"/>
  <c r="P64" i="71"/>
  <c r="N64" i="71"/>
  <c r="W63" i="71"/>
  <c r="V63" i="71"/>
  <c r="U63" i="71"/>
  <c r="T63" i="71"/>
  <c r="S63" i="71"/>
  <c r="R63" i="71"/>
  <c r="Q63" i="71"/>
  <c r="P63" i="71"/>
  <c r="O63" i="71"/>
  <c r="N63" i="71"/>
  <c r="D78" i="71"/>
  <c r="H78" i="71" s="1"/>
  <c r="W62" i="71"/>
  <c r="V62" i="71"/>
  <c r="U62" i="71"/>
  <c r="T62" i="71"/>
  <c r="S62" i="71"/>
  <c r="R62" i="71"/>
  <c r="Q62" i="71"/>
  <c r="P62" i="71"/>
  <c r="N62" i="71"/>
  <c r="W61" i="71"/>
  <c r="V61" i="71"/>
  <c r="U61" i="71"/>
  <c r="T61" i="71"/>
  <c r="S61" i="71"/>
  <c r="R61" i="71"/>
  <c r="Q61" i="71"/>
  <c r="P61" i="71"/>
  <c r="N61" i="71"/>
  <c r="V60" i="71"/>
  <c r="Q60" i="71"/>
  <c r="P60" i="71"/>
  <c r="N60" i="71"/>
  <c r="W59" i="71"/>
  <c r="V59" i="71"/>
  <c r="R59" i="71"/>
  <c r="Q59" i="71"/>
  <c r="P59" i="71"/>
  <c r="N59" i="71"/>
  <c r="W58" i="71"/>
  <c r="V58" i="71"/>
  <c r="U58" i="71"/>
  <c r="S58" i="71"/>
  <c r="R58" i="71"/>
  <c r="Q58" i="71"/>
  <c r="P58" i="71"/>
  <c r="N58" i="71"/>
  <c r="W57" i="71"/>
  <c r="V57" i="71"/>
  <c r="T57" i="71"/>
  <c r="S57" i="71"/>
  <c r="R57" i="71"/>
  <c r="Q57" i="71"/>
  <c r="P57" i="71"/>
  <c r="N57" i="71"/>
  <c r="W56" i="71"/>
  <c r="V56" i="71"/>
  <c r="R56" i="71"/>
  <c r="Q56" i="71"/>
  <c r="P56" i="71"/>
  <c r="N56" i="71"/>
  <c r="W55" i="71"/>
  <c r="V55" i="71"/>
  <c r="S55" i="71"/>
  <c r="R55" i="71"/>
  <c r="Q55" i="71"/>
  <c r="P55" i="71"/>
  <c r="N55" i="71"/>
  <c r="W54" i="71"/>
  <c r="V54" i="71"/>
  <c r="U54" i="71"/>
  <c r="S54" i="71"/>
  <c r="R54" i="71"/>
  <c r="Q54" i="71"/>
  <c r="P54" i="71"/>
  <c r="N54" i="71"/>
  <c r="W53" i="71"/>
  <c r="V53" i="71"/>
  <c r="S53" i="71"/>
  <c r="R53" i="71"/>
  <c r="Q53" i="71"/>
  <c r="P53" i="71"/>
  <c r="N53" i="71"/>
  <c r="W52" i="71"/>
  <c r="V52" i="71"/>
  <c r="U52" i="71"/>
  <c r="T52" i="71"/>
  <c r="S52" i="71"/>
  <c r="R52" i="71"/>
  <c r="Q52" i="71"/>
  <c r="P52" i="71"/>
  <c r="N52" i="71"/>
  <c r="W51" i="71"/>
  <c r="V51" i="71"/>
  <c r="U51" i="71"/>
  <c r="T51" i="71"/>
  <c r="S51" i="71"/>
  <c r="R51" i="71"/>
  <c r="Q51" i="71"/>
  <c r="P51" i="71"/>
  <c r="N51" i="71"/>
  <c r="W50" i="71"/>
  <c r="V50" i="71"/>
  <c r="U50" i="71"/>
  <c r="S50" i="71"/>
  <c r="R50" i="71"/>
  <c r="Q50" i="71"/>
  <c r="P50" i="71"/>
  <c r="N50" i="71"/>
  <c r="W49" i="71"/>
  <c r="V49" i="71"/>
  <c r="U49" i="71"/>
  <c r="S49" i="71"/>
  <c r="R49" i="71"/>
  <c r="Q49" i="71"/>
  <c r="P49" i="71"/>
  <c r="N49" i="71"/>
  <c r="W48" i="71"/>
  <c r="V48" i="71"/>
  <c r="U48" i="71"/>
  <c r="S48" i="71"/>
  <c r="R48" i="71"/>
  <c r="Q48" i="71"/>
  <c r="P48" i="71"/>
  <c r="N48" i="71"/>
  <c r="W47" i="71"/>
  <c r="V47" i="71"/>
  <c r="U47" i="71"/>
  <c r="S47" i="71"/>
  <c r="R47" i="71"/>
  <c r="Q47" i="71"/>
  <c r="P47" i="71"/>
  <c r="N47" i="71"/>
  <c r="W46" i="71"/>
  <c r="V46" i="71"/>
  <c r="U46" i="71"/>
  <c r="S46" i="71"/>
  <c r="R46" i="71"/>
  <c r="Q46" i="71"/>
  <c r="P46" i="71"/>
  <c r="N46" i="71"/>
  <c r="W45" i="71"/>
  <c r="V45" i="71"/>
  <c r="U45" i="71"/>
  <c r="T45" i="71"/>
  <c r="S45" i="71"/>
  <c r="R45" i="71"/>
  <c r="Q45" i="71"/>
  <c r="P45" i="71"/>
  <c r="N45" i="71"/>
  <c r="W44" i="71"/>
  <c r="V44" i="71"/>
  <c r="U44" i="71"/>
  <c r="T44" i="71"/>
  <c r="S44" i="71"/>
  <c r="R44" i="71"/>
  <c r="Q44" i="71"/>
  <c r="P44" i="71"/>
  <c r="O44" i="71"/>
  <c r="N44" i="71"/>
  <c r="W43" i="71"/>
  <c r="V43" i="71"/>
  <c r="U43" i="71"/>
  <c r="T43" i="71"/>
  <c r="S43" i="71"/>
  <c r="R43" i="71"/>
  <c r="Q43" i="71"/>
  <c r="P43" i="71"/>
  <c r="O43" i="71"/>
  <c r="N43" i="71"/>
  <c r="W42" i="71"/>
  <c r="V42" i="71"/>
  <c r="U42" i="71"/>
  <c r="T42" i="71"/>
  <c r="S42" i="71"/>
  <c r="R42" i="71"/>
  <c r="Q42" i="71"/>
  <c r="P42" i="71"/>
  <c r="N42" i="71"/>
  <c r="W41" i="71"/>
  <c r="V41" i="71"/>
  <c r="U41" i="71"/>
  <c r="T41" i="71"/>
  <c r="S41" i="71"/>
  <c r="R41" i="71"/>
  <c r="Q41" i="71"/>
  <c r="P41" i="71"/>
  <c r="N41" i="71"/>
  <c r="W40" i="71"/>
  <c r="V40" i="71"/>
  <c r="U40" i="71"/>
  <c r="T40" i="71"/>
  <c r="S40" i="71"/>
  <c r="R40" i="71"/>
  <c r="Q40" i="71"/>
  <c r="P40" i="71"/>
  <c r="N40" i="71"/>
  <c r="W39" i="71"/>
  <c r="V39" i="71"/>
  <c r="U39" i="71"/>
  <c r="S39" i="71"/>
  <c r="R39" i="71"/>
  <c r="Q39" i="71"/>
  <c r="P39" i="71"/>
  <c r="N39" i="71"/>
  <c r="W38" i="71"/>
  <c r="V38" i="71"/>
  <c r="U38" i="71"/>
  <c r="T38" i="71"/>
  <c r="S38" i="71"/>
  <c r="R38" i="71"/>
  <c r="Q38" i="71"/>
  <c r="P38" i="71"/>
  <c r="N38" i="71"/>
  <c r="W37" i="71"/>
  <c r="V37" i="71"/>
  <c r="R37" i="71"/>
  <c r="Q37" i="71"/>
  <c r="P37" i="71"/>
  <c r="N37" i="71"/>
  <c r="W36" i="71"/>
  <c r="V36" i="71"/>
  <c r="R36" i="71"/>
  <c r="Q36" i="71"/>
  <c r="P36" i="71"/>
  <c r="N36" i="71"/>
  <c r="W35" i="71"/>
  <c r="V35" i="71"/>
  <c r="U35" i="71"/>
  <c r="S35" i="71"/>
  <c r="R35" i="71"/>
  <c r="Q35" i="71"/>
  <c r="P35" i="71"/>
  <c r="N35" i="71"/>
  <c r="W34" i="71"/>
  <c r="V34" i="71"/>
  <c r="U34" i="71"/>
  <c r="T34" i="71"/>
  <c r="S34" i="71"/>
  <c r="R34" i="71"/>
  <c r="Q34" i="71"/>
  <c r="P34" i="71"/>
  <c r="N34" i="71"/>
  <c r="W33" i="71"/>
  <c r="V33" i="71"/>
  <c r="U33" i="71"/>
  <c r="T33" i="71"/>
  <c r="S33" i="71"/>
  <c r="R33" i="71"/>
  <c r="Q33" i="71"/>
  <c r="P33" i="71"/>
  <c r="N33" i="71"/>
  <c r="W32" i="71"/>
  <c r="V32" i="71"/>
  <c r="U32" i="71"/>
  <c r="T32" i="71"/>
  <c r="S32" i="71"/>
  <c r="R32" i="71"/>
  <c r="Q32" i="71"/>
  <c r="P32" i="71"/>
  <c r="O32" i="71"/>
  <c r="N32" i="71"/>
  <c r="W31" i="71"/>
  <c r="V31" i="71"/>
  <c r="U31" i="71"/>
  <c r="T31" i="71"/>
  <c r="S31" i="71"/>
  <c r="R31" i="71"/>
  <c r="Q31" i="71"/>
  <c r="P31" i="71"/>
  <c r="N31" i="71"/>
  <c r="G74" i="71"/>
  <c r="F74" i="71"/>
  <c r="W30" i="71"/>
  <c r="V30" i="71"/>
  <c r="U30" i="71"/>
  <c r="T30" i="71"/>
  <c r="S30" i="71"/>
  <c r="R30" i="71"/>
  <c r="Q30" i="71"/>
  <c r="P30" i="71"/>
  <c r="N30" i="71"/>
  <c r="W29" i="71"/>
  <c r="V29" i="71"/>
  <c r="U29" i="71"/>
  <c r="T29" i="71"/>
  <c r="S29" i="71"/>
  <c r="R29" i="71"/>
  <c r="Q29" i="71"/>
  <c r="P29" i="71"/>
  <c r="N29" i="71"/>
  <c r="W28" i="71"/>
  <c r="V28" i="71"/>
  <c r="U28" i="71"/>
  <c r="T28" i="71"/>
  <c r="S28" i="71"/>
  <c r="R28" i="71"/>
  <c r="Q28" i="71"/>
  <c r="P28" i="71"/>
  <c r="N28" i="71"/>
  <c r="W27" i="71"/>
  <c r="V27" i="71"/>
  <c r="U27" i="71"/>
  <c r="T27" i="71"/>
  <c r="S27" i="71"/>
  <c r="R27" i="71"/>
  <c r="Q27" i="71"/>
  <c r="P27" i="71"/>
  <c r="N27" i="71"/>
  <c r="W26" i="71"/>
  <c r="V26" i="71"/>
  <c r="U26" i="71"/>
  <c r="T26" i="71"/>
  <c r="S26" i="71"/>
  <c r="R26" i="71"/>
  <c r="Q26" i="71"/>
  <c r="P26" i="71"/>
  <c r="N26" i="71"/>
  <c r="W25" i="71"/>
  <c r="V25" i="71"/>
  <c r="U25" i="71"/>
  <c r="T25" i="71"/>
  <c r="S25" i="71"/>
  <c r="R25" i="71"/>
  <c r="Q25" i="71"/>
  <c r="P25" i="71"/>
  <c r="N25" i="71"/>
  <c r="W24" i="71"/>
  <c r="V24" i="71"/>
  <c r="U24" i="71"/>
  <c r="T24" i="71"/>
  <c r="S24" i="71"/>
  <c r="R24" i="71"/>
  <c r="Q24" i="71"/>
  <c r="P24" i="71"/>
  <c r="N24" i="71"/>
  <c r="W23" i="71"/>
  <c r="V23" i="71"/>
  <c r="U23" i="71"/>
  <c r="T23" i="71"/>
  <c r="S23" i="71"/>
  <c r="R23" i="71"/>
  <c r="Q23" i="71"/>
  <c r="P23" i="71"/>
  <c r="N23" i="71"/>
  <c r="W22" i="71"/>
  <c r="V22" i="71"/>
  <c r="U22" i="71"/>
  <c r="S22" i="71"/>
  <c r="R22" i="71"/>
  <c r="Q22" i="71"/>
  <c r="P22" i="71"/>
  <c r="N22" i="71"/>
  <c r="W21" i="71"/>
  <c r="V21" i="71"/>
  <c r="U21" i="71"/>
  <c r="T21" i="71"/>
  <c r="S21" i="71"/>
  <c r="R21" i="71"/>
  <c r="Q21" i="71"/>
  <c r="P21" i="71"/>
  <c r="N21" i="71"/>
  <c r="W20" i="71"/>
  <c r="V20" i="71"/>
  <c r="U20" i="71"/>
  <c r="T20" i="71"/>
  <c r="S20" i="71"/>
  <c r="R20" i="71"/>
  <c r="Q20" i="71"/>
  <c r="P20" i="71"/>
  <c r="N20" i="71"/>
  <c r="W19" i="71"/>
  <c r="V19" i="71"/>
  <c r="U19" i="71"/>
  <c r="T19" i="71"/>
  <c r="S19" i="71"/>
  <c r="R19" i="71"/>
  <c r="Q19" i="71"/>
  <c r="P19" i="71"/>
  <c r="N19" i="71"/>
  <c r="G73" i="71"/>
  <c r="F73" i="71"/>
  <c r="V18" i="71"/>
  <c r="Q18" i="71"/>
  <c r="P18" i="71"/>
  <c r="N18" i="71"/>
  <c r="V17" i="71"/>
  <c r="Q17" i="71"/>
  <c r="P17" i="71"/>
  <c r="V16" i="71"/>
  <c r="Q16" i="71"/>
  <c r="P16" i="71"/>
  <c r="Z15" i="71"/>
  <c r="V15" i="71"/>
  <c r="Q15" i="71"/>
  <c r="P15" i="71"/>
  <c r="W14" i="71"/>
  <c r="V14" i="71"/>
  <c r="U14" i="71"/>
  <c r="T14" i="71"/>
  <c r="S14" i="71"/>
  <c r="R14" i="71"/>
  <c r="Q14" i="71"/>
  <c r="P14" i="71"/>
  <c r="N14" i="71"/>
  <c r="V13" i="71"/>
  <c r="Q13" i="71"/>
  <c r="N13" i="71"/>
  <c r="V12" i="71"/>
  <c r="Q12" i="71"/>
  <c r="N12" i="71"/>
  <c r="W11" i="71"/>
  <c r="V11" i="71"/>
  <c r="U11" i="71"/>
  <c r="T11" i="71"/>
  <c r="S11" i="71"/>
  <c r="R11" i="71"/>
  <c r="Q11" i="71"/>
  <c r="P11" i="71"/>
  <c r="N11" i="71"/>
  <c r="W10" i="71"/>
  <c r="V10" i="71"/>
  <c r="U10" i="71"/>
  <c r="T10" i="71"/>
  <c r="S10" i="71"/>
  <c r="R10" i="71"/>
  <c r="Q10" i="71"/>
  <c r="P10" i="71"/>
  <c r="N10" i="71"/>
  <c r="G71" i="71"/>
  <c r="V9" i="71"/>
  <c r="Q9" i="71"/>
  <c r="P9" i="71"/>
  <c r="N9" i="71"/>
  <c r="V8" i="71"/>
  <c r="Q8" i="71"/>
  <c r="O8" i="71"/>
  <c r="N8" i="71"/>
  <c r="D90" i="70"/>
  <c r="D88" i="70"/>
  <c r="D87" i="70"/>
  <c r="D86" i="70"/>
  <c r="D85" i="70"/>
  <c r="D82" i="70"/>
  <c r="D81" i="70"/>
  <c r="D80" i="70"/>
  <c r="D79" i="70"/>
  <c r="D76" i="70"/>
  <c r="D75" i="70"/>
  <c r="D74" i="70"/>
  <c r="H119" i="41" l="1"/>
  <c r="H120" i="41" s="1"/>
  <c r="H113" i="41"/>
  <c r="H74" i="71"/>
  <c r="D77" i="70"/>
  <c r="H5" i="41" s="1"/>
  <c r="D91" i="70"/>
  <c r="G75" i="71"/>
  <c r="H75" i="71" s="1"/>
  <c r="H73" i="71"/>
  <c r="H72" i="71"/>
  <c r="H71" i="71"/>
  <c r="K18" i="17" l="1"/>
  <c r="C210" i="105" l="1"/>
  <c r="R5" i="105" s="1"/>
  <c r="I51" i="74"/>
  <c r="I55" i="74"/>
  <c r="H48" i="92"/>
  <c r="C183" i="105" l="1"/>
  <c r="C187" i="105"/>
  <c r="C191" i="105"/>
  <c r="C195" i="105"/>
  <c r="C199" i="105"/>
  <c r="C203" i="105"/>
  <c r="C207" i="105"/>
  <c r="C180" i="105"/>
  <c r="C184" i="105"/>
  <c r="C188" i="105"/>
  <c r="C192" i="105"/>
  <c r="C196" i="105"/>
  <c r="C200" i="105"/>
  <c r="C204" i="105"/>
  <c r="C208" i="105"/>
  <c r="C181" i="105"/>
  <c r="C185" i="105"/>
  <c r="C189" i="105"/>
  <c r="C193" i="105"/>
  <c r="C197" i="105"/>
  <c r="C201" i="105"/>
  <c r="C205" i="105"/>
  <c r="C209" i="105"/>
  <c r="C182" i="105"/>
  <c r="C186" i="105"/>
  <c r="C190" i="105"/>
  <c r="C194" i="105"/>
  <c r="C198" i="105"/>
  <c r="C202" i="105"/>
  <c r="C206" i="105"/>
  <c r="C179" i="105"/>
  <c r="D85" i="66"/>
  <c r="J58" i="74" l="1"/>
  <c r="D78" i="66"/>
  <c r="D74" i="66"/>
  <c r="D89" i="66"/>
  <c r="D84" i="66" l="1"/>
  <c r="D81" i="66"/>
  <c r="D88" i="66"/>
  <c r="D87" i="66"/>
  <c r="D86" i="66"/>
  <c r="C20" i="75" l="1"/>
  <c r="C25" i="75" s="1"/>
  <c r="D90" i="66"/>
  <c r="C19" i="75" l="1"/>
  <c r="C26" i="75"/>
  <c r="C28" i="75"/>
  <c r="P9" i="92" s="1"/>
  <c r="D20" i="75"/>
  <c r="D28" i="75" s="1"/>
  <c r="H112" i="41"/>
  <c r="H114" i="41" s="1"/>
  <c r="C24" i="75" l="1"/>
  <c r="C18" i="75"/>
  <c r="P30" i="92" s="1"/>
  <c r="P7" i="92"/>
  <c r="D10" i="75"/>
  <c r="P31" i="92"/>
  <c r="D9" i="75"/>
  <c r="P6" i="92"/>
  <c r="D26" i="75"/>
  <c r="D19" i="75"/>
  <c r="D18" i="75" s="1"/>
  <c r="D25" i="75"/>
  <c r="D24" i="75" l="1"/>
  <c r="C17" i="75"/>
  <c r="Q30" i="92"/>
  <c r="E9" i="75"/>
  <c r="Q9" i="92"/>
  <c r="Q7" i="92"/>
  <c r="E10" i="75"/>
  <c r="F20" i="90"/>
  <c r="G20" i="90" s="1"/>
  <c r="Q6" i="92"/>
  <c r="Q31" i="92"/>
  <c r="D80" i="66"/>
  <c r="D79" i="66"/>
  <c r="D73" i="66"/>
  <c r="D75" i="66"/>
  <c r="P29" i="92" l="1"/>
  <c r="D17" i="75"/>
  <c r="D76" i="66"/>
  <c r="G5" i="41" s="1"/>
  <c r="J20" i="90" l="1"/>
  <c r="J20" i="75"/>
  <c r="Q29" i="92"/>
  <c r="G129" i="30"/>
  <c r="D114" i="41"/>
  <c r="G23" i="48" l="1"/>
  <c r="G26" i="48" s="1"/>
  <c r="H26" i="48" s="1"/>
  <c r="I26" i="48" s="1"/>
  <c r="J26" i="48" s="1"/>
  <c r="K26" i="48" s="1"/>
  <c r="H129" i="30"/>
  <c r="J26" i="90"/>
  <c r="O7" i="92" s="1"/>
  <c r="J25" i="90"/>
  <c r="J28" i="90"/>
  <c r="O9" i="92" s="1"/>
  <c r="J19" i="75"/>
  <c r="J18" i="75" s="1"/>
  <c r="J25" i="75"/>
  <c r="J28" i="75"/>
  <c r="V9" i="92" s="1"/>
  <c r="J26" i="75"/>
  <c r="V7" i="92" s="1"/>
  <c r="H23" i="48" l="1"/>
  <c r="H27" i="48" s="1"/>
  <c r="H27" i="39"/>
  <c r="I129" i="30"/>
  <c r="J24" i="90"/>
  <c r="O6" i="92"/>
  <c r="V30" i="92"/>
  <c r="V6" i="92"/>
  <c r="J24" i="75"/>
  <c r="V31" i="92" s="1"/>
  <c r="W66" i="67"/>
  <c r="V66" i="67"/>
  <c r="U66" i="67"/>
  <c r="T66" i="67"/>
  <c r="S66" i="67"/>
  <c r="R66" i="67"/>
  <c r="Q66" i="67"/>
  <c r="P66" i="67"/>
  <c r="N66" i="67"/>
  <c r="M66" i="67"/>
  <c r="L66" i="67"/>
  <c r="K66" i="67"/>
  <c r="J66" i="67"/>
  <c r="I66" i="67"/>
  <c r="H66" i="67"/>
  <c r="G66" i="67"/>
  <c r="F66" i="67"/>
  <c r="D66" i="67"/>
  <c r="W65" i="67"/>
  <c r="V65" i="67"/>
  <c r="R65" i="67"/>
  <c r="M65" i="67"/>
  <c r="L65" i="67"/>
  <c r="H65" i="67"/>
  <c r="W64" i="67"/>
  <c r="V64" i="67"/>
  <c r="U64" i="67"/>
  <c r="S64" i="67"/>
  <c r="R64" i="67"/>
  <c r="Q64" i="67"/>
  <c r="P64" i="67"/>
  <c r="N64" i="67"/>
  <c r="M64" i="67"/>
  <c r="L64" i="67"/>
  <c r="K64" i="67"/>
  <c r="I64" i="67"/>
  <c r="H64" i="67"/>
  <c r="G64" i="67"/>
  <c r="F64" i="67"/>
  <c r="D64" i="67"/>
  <c r="W63" i="67"/>
  <c r="V63" i="67"/>
  <c r="U63" i="67"/>
  <c r="T63" i="67"/>
  <c r="S63" i="67"/>
  <c r="R63" i="67"/>
  <c r="Q63" i="67"/>
  <c r="P63" i="67"/>
  <c r="O63" i="67"/>
  <c r="N63" i="67"/>
  <c r="M63" i="67"/>
  <c r="L63" i="67"/>
  <c r="K63" i="67"/>
  <c r="J63" i="67"/>
  <c r="I63" i="67"/>
  <c r="H63" i="67"/>
  <c r="G63" i="67"/>
  <c r="F63" i="67"/>
  <c r="E63" i="67"/>
  <c r="D63" i="67"/>
  <c r="D78" i="67" s="1"/>
  <c r="H78" i="67" s="1"/>
  <c r="W62" i="67"/>
  <c r="V62" i="67"/>
  <c r="U62" i="67"/>
  <c r="T62" i="67"/>
  <c r="S62" i="67"/>
  <c r="R62" i="67"/>
  <c r="Q62" i="67"/>
  <c r="P62" i="67"/>
  <c r="N62" i="67"/>
  <c r="M62" i="67"/>
  <c r="L62" i="67"/>
  <c r="K62" i="67"/>
  <c r="J62" i="67"/>
  <c r="I62" i="67"/>
  <c r="H62" i="67"/>
  <c r="G62" i="67"/>
  <c r="F62" i="67"/>
  <c r="D62" i="67"/>
  <c r="W61" i="67"/>
  <c r="V61" i="67"/>
  <c r="U61" i="67"/>
  <c r="T61" i="67"/>
  <c r="S61" i="67"/>
  <c r="R61" i="67"/>
  <c r="Q61" i="67"/>
  <c r="P61" i="67"/>
  <c r="N61" i="67"/>
  <c r="M61" i="67"/>
  <c r="L61" i="67"/>
  <c r="K61" i="67"/>
  <c r="J61" i="67"/>
  <c r="I61" i="67"/>
  <c r="H61" i="67"/>
  <c r="G61" i="67"/>
  <c r="F61" i="67"/>
  <c r="D61" i="67"/>
  <c r="V60" i="67"/>
  <c r="Q60" i="67"/>
  <c r="P60" i="67"/>
  <c r="N60" i="67"/>
  <c r="L60" i="67"/>
  <c r="G60" i="67"/>
  <c r="F60" i="67"/>
  <c r="D60" i="67"/>
  <c r="W59" i="67"/>
  <c r="V59" i="67"/>
  <c r="R59" i="67"/>
  <c r="Q59" i="67"/>
  <c r="P59" i="67"/>
  <c r="N59" i="67"/>
  <c r="M59" i="67"/>
  <c r="L59" i="67"/>
  <c r="H59" i="67"/>
  <c r="G59" i="67"/>
  <c r="F59" i="67"/>
  <c r="D59" i="67"/>
  <c r="W58" i="67"/>
  <c r="V58" i="67"/>
  <c r="U58" i="67"/>
  <c r="S58" i="67"/>
  <c r="R58" i="67"/>
  <c r="Q58" i="67"/>
  <c r="P58" i="67"/>
  <c r="N58" i="67"/>
  <c r="M58" i="67"/>
  <c r="L58" i="67"/>
  <c r="K58" i="67"/>
  <c r="I58" i="67"/>
  <c r="H58" i="67"/>
  <c r="G58" i="67"/>
  <c r="F58" i="67"/>
  <c r="D58" i="67"/>
  <c r="W57" i="67"/>
  <c r="V57" i="67"/>
  <c r="T57" i="67"/>
  <c r="S57" i="67"/>
  <c r="R57" i="67"/>
  <c r="Q57" i="67"/>
  <c r="P57" i="67"/>
  <c r="N57" i="67"/>
  <c r="M57" i="67"/>
  <c r="L57" i="67"/>
  <c r="J57" i="67"/>
  <c r="I57" i="67"/>
  <c r="H57" i="67"/>
  <c r="G57" i="67"/>
  <c r="F57" i="67"/>
  <c r="D57" i="67"/>
  <c r="W56" i="67"/>
  <c r="V56" i="67"/>
  <c r="R56" i="67"/>
  <c r="Q56" i="67"/>
  <c r="P56" i="67"/>
  <c r="N56" i="67"/>
  <c r="M56" i="67"/>
  <c r="L56" i="67"/>
  <c r="H56" i="67"/>
  <c r="G56" i="67"/>
  <c r="F56" i="67"/>
  <c r="D56" i="67"/>
  <c r="W55" i="67"/>
  <c r="V55" i="67"/>
  <c r="S55" i="67"/>
  <c r="R55" i="67"/>
  <c r="Q55" i="67"/>
  <c r="P55" i="67"/>
  <c r="N55" i="67"/>
  <c r="M55" i="67"/>
  <c r="L55" i="67"/>
  <c r="I55" i="67"/>
  <c r="H55" i="67"/>
  <c r="G55" i="67"/>
  <c r="F55" i="67"/>
  <c r="D55" i="67"/>
  <c r="W54" i="67"/>
  <c r="V54" i="67"/>
  <c r="U54" i="67"/>
  <c r="S54" i="67"/>
  <c r="R54" i="67"/>
  <c r="Q54" i="67"/>
  <c r="P54" i="67"/>
  <c r="N54" i="67"/>
  <c r="M54" i="67"/>
  <c r="L54" i="67"/>
  <c r="K54" i="67"/>
  <c r="I54" i="67"/>
  <c r="H54" i="67"/>
  <c r="G54" i="67"/>
  <c r="F54" i="67"/>
  <c r="D54" i="67"/>
  <c r="W53" i="67"/>
  <c r="V53" i="67"/>
  <c r="S53" i="67"/>
  <c r="R53" i="67"/>
  <c r="Q53" i="67"/>
  <c r="P53" i="67"/>
  <c r="N53" i="67"/>
  <c r="M53" i="67"/>
  <c r="L53" i="67"/>
  <c r="I53" i="67"/>
  <c r="H53" i="67"/>
  <c r="G53" i="67"/>
  <c r="F53" i="67"/>
  <c r="D53" i="67"/>
  <c r="W52" i="67"/>
  <c r="V52" i="67"/>
  <c r="U52" i="67"/>
  <c r="T52" i="67"/>
  <c r="S52" i="67"/>
  <c r="R52" i="67"/>
  <c r="Q52" i="67"/>
  <c r="P52" i="67"/>
  <c r="N52" i="67"/>
  <c r="M52" i="67"/>
  <c r="L52" i="67"/>
  <c r="K52" i="67"/>
  <c r="J52" i="67"/>
  <c r="I52" i="67"/>
  <c r="H52" i="67"/>
  <c r="G52" i="67"/>
  <c r="F52" i="67"/>
  <c r="D52" i="67"/>
  <c r="W51" i="67"/>
  <c r="V51" i="67"/>
  <c r="U51" i="67"/>
  <c r="T51" i="67"/>
  <c r="S51" i="67"/>
  <c r="R51" i="67"/>
  <c r="Q51" i="67"/>
  <c r="P51" i="67"/>
  <c r="N51" i="67"/>
  <c r="M51" i="67"/>
  <c r="L51" i="67"/>
  <c r="K51" i="67"/>
  <c r="J51" i="67"/>
  <c r="I51" i="67"/>
  <c r="H51" i="67"/>
  <c r="G51" i="67"/>
  <c r="F51" i="67"/>
  <c r="D51" i="67"/>
  <c r="W50" i="67"/>
  <c r="V50" i="67"/>
  <c r="U50" i="67"/>
  <c r="S50" i="67"/>
  <c r="R50" i="67"/>
  <c r="Q50" i="67"/>
  <c r="P50" i="67"/>
  <c r="N50" i="67"/>
  <c r="M50" i="67"/>
  <c r="L50" i="67"/>
  <c r="K50" i="67"/>
  <c r="I50" i="67"/>
  <c r="H50" i="67"/>
  <c r="G50" i="67"/>
  <c r="F50" i="67"/>
  <c r="D50" i="67"/>
  <c r="W49" i="67"/>
  <c r="V49" i="67"/>
  <c r="U49" i="67"/>
  <c r="S49" i="67"/>
  <c r="R49" i="67"/>
  <c r="Q49" i="67"/>
  <c r="P49" i="67"/>
  <c r="N49" i="67"/>
  <c r="M49" i="67"/>
  <c r="L49" i="67"/>
  <c r="K49" i="67"/>
  <c r="I49" i="67"/>
  <c r="H49" i="67"/>
  <c r="G49" i="67"/>
  <c r="F49" i="67"/>
  <c r="D49" i="67"/>
  <c r="W48" i="67"/>
  <c r="V48" i="67"/>
  <c r="U48" i="67"/>
  <c r="S48" i="67"/>
  <c r="R48" i="67"/>
  <c r="Q48" i="67"/>
  <c r="P48" i="67"/>
  <c r="N48" i="67"/>
  <c r="M48" i="67"/>
  <c r="L48" i="67"/>
  <c r="K48" i="67"/>
  <c r="I48" i="67"/>
  <c r="H48" i="67"/>
  <c r="G48" i="67"/>
  <c r="F48" i="67"/>
  <c r="D48" i="67"/>
  <c r="W47" i="67"/>
  <c r="V47" i="67"/>
  <c r="U47" i="67"/>
  <c r="S47" i="67"/>
  <c r="R47" i="67"/>
  <c r="Q47" i="67"/>
  <c r="P47" i="67"/>
  <c r="N47" i="67"/>
  <c r="M47" i="67"/>
  <c r="L47" i="67"/>
  <c r="K47" i="67"/>
  <c r="I47" i="67"/>
  <c r="H47" i="67"/>
  <c r="G47" i="67"/>
  <c r="F47" i="67"/>
  <c r="D47" i="67"/>
  <c r="W46" i="67"/>
  <c r="V46" i="67"/>
  <c r="U46" i="67"/>
  <c r="S46" i="67"/>
  <c r="R46" i="67"/>
  <c r="Q46" i="67"/>
  <c r="P46" i="67"/>
  <c r="N46" i="67"/>
  <c r="M46" i="67"/>
  <c r="L46" i="67"/>
  <c r="K46" i="67"/>
  <c r="I46" i="67"/>
  <c r="H46" i="67"/>
  <c r="G46" i="67"/>
  <c r="F46" i="67"/>
  <c r="D46" i="67"/>
  <c r="W45" i="67"/>
  <c r="V45" i="67"/>
  <c r="U45" i="67"/>
  <c r="T45" i="67"/>
  <c r="S45" i="67"/>
  <c r="R45" i="67"/>
  <c r="Q45" i="67"/>
  <c r="P45" i="67"/>
  <c r="N45" i="67"/>
  <c r="M45" i="67"/>
  <c r="L45" i="67"/>
  <c r="K45" i="67"/>
  <c r="J45" i="67"/>
  <c r="I45" i="67"/>
  <c r="H45" i="67"/>
  <c r="G45" i="67"/>
  <c r="F45" i="67"/>
  <c r="D45" i="67"/>
  <c r="W44" i="67"/>
  <c r="V44" i="67"/>
  <c r="U44" i="67"/>
  <c r="T44" i="67"/>
  <c r="S44" i="67"/>
  <c r="R44" i="67"/>
  <c r="Q44" i="67"/>
  <c r="P44" i="67"/>
  <c r="O44" i="67"/>
  <c r="N44" i="67"/>
  <c r="M44" i="67"/>
  <c r="L44" i="67"/>
  <c r="K44" i="67"/>
  <c r="J44" i="67"/>
  <c r="I44" i="67"/>
  <c r="H44" i="67"/>
  <c r="G44" i="67"/>
  <c r="F44" i="67"/>
  <c r="E44" i="67"/>
  <c r="D44" i="67"/>
  <c r="W43" i="67"/>
  <c r="V43" i="67"/>
  <c r="U43" i="67"/>
  <c r="T43" i="67"/>
  <c r="S43" i="67"/>
  <c r="R43" i="67"/>
  <c r="Q43" i="67"/>
  <c r="P43" i="67"/>
  <c r="O43" i="67"/>
  <c r="N43" i="67"/>
  <c r="M43" i="67"/>
  <c r="L43" i="67"/>
  <c r="K43" i="67"/>
  <c r="J43" i="67"/>
  <c r="I43" i="67"/>
  <c r="H43" i="67"/>
  <c r="G43" i="67"/>
  <c r="F43" i="67"/>
  <c r="D43" i="67"/>
  <c r="W42" i="67"/>
  <c r="V42" i="67"/>
  <c r="U42" i="67"/>
  <c r="T42" i="67"/>
  <c r="S42" i="67"/>
  <c r="R42" i="67"/>
  <c r="Q42" i="67"/>
  <c r="P42" i="67"/>
  <c r="N42" i="67"/>
  <c r="M42" i="67"/>
  <c r="L42" i="67"/>
  <c r="K42" i="67"/>
  <c r="J42" i="67"/>
  <c r="I42" i="67"/>
  <c r="H42" i="67"/>
  <c r="G42" i="67"/>
  <c r="F42" i="67"/>
  <c r="D42" i="67"/>
  <c r="W41" i="67"/>
  <c r="V41" i="67"/>
  <c r="U41" i="67"/>
  <c r="T41" i="67"/>
  <c r="S41" i="67"/>
  <c r="R41" i="67"/>
  <c r="Q41" i="67"/>
  <c r="P41" i="67"/>
  <c r="N41" i="67"/>
  <c r="M41" i="67"/>
  <c r="L41" i="67"/>
  <c r="K41" i="67"/>
  <c r="J41" i="67"/>
  <c r="I41" i="67"/>
  <c r="H41" i="67"/>
  <c r="G41" i="67"/>
  <c r="F41" i="67"/>
  <c r="D41" i="67"/>
  <c r="W40" i="67"/>
  <c r="V40" i="67"/>
  <c r="U40" i="67"/>
  <c r="T40" i="67"/>
  <c r="S40" i="67"/>
  <c r="R40" i="67"/>
  <c r="Q40" i="67"/>
  <c r="P40" i="67"/>
  <c r="N40" i="67"/>
  <c r="M40" i="67"/>
  <c r="L40" i="67"/>
  <c r="K40" i="67"/>
  <c r="J40" i="67"/>
  <c r="I40" i="67"/>
  <c r="H40" i="67"/>
  <c r="G40" i="67"/>
  <c r="F40" i="67"/>
  <c r="D40" i="67"/>
  <c r="W39" i="67"/>
  <c r="V39" i="67"/>
  <c r="U39" i="67"/>
  <c r="S39" i="67"/>
  <c r="R39" i="67"/>
  <c r="Q39" i="67"/>
  <c r="P39" i="67"/>
  <c r="N39" i="67"/>
  <c r="M39" i="67"/>
  <c r="L39" i="67"/>
  <c r="K39" i="67"/>
  <c r="I39" i="67"/>
  <c r="H39" i="67"/>
  <c r="G39" i="67"/>
  <c r="F39" i="67"/>
  <c r="D39" i="67"/>
  <c r="W38" i="67"/>
  <c r="V38" i="67"/>
  <c r="U38" i="67"/>
  <c r="T38" i="67"/>
  <c r="S38" i="67"/>
  <c r="R38" i="67"/>
  <c r="Q38" i="67"/>
  <c r="P38" i="67"/>
  <c r="N38" i="67"/>
  <c r="M38" i="67"/>
  <c r="L38" i="67"/>
  <c r="K38" i="67"/>
  <c r="J38" i="67"/>
  <c r="I38" i="67"/>
  <c r="H38" i="67"/>
  <c r="G38" i="67"/>
  <c r="F38" i="67"/>
  <c r="D38" i="67"/>
  <c r="W37" i="67"/>
  <c r="V37" i="67"/>
  <c r="R37" i="67"/>
  <c r="Q37" i="67"/>
  <c r="P37" i="67"/>
  <c r="N37" i="67"/>
  <c r="M37" i="67"/>
  <c r="L37" i="67"/>
  <c r="H37" i="67"/>
  <c r="G37" i="67"/>
  <c r="F37" i="67"/>
  <c r="D37" i="67"/>
  <c r="W36" i="67"/>
  <c r="V36" i="67"/>
  <c r="R36" i="67"/>
  <c r="Q36" i="67"/>
  <c r="P36" i="67"/>
  <c r="N36" i="67"/>
  <c r="M36" i="67"/>
  <c r="L36" i="67"/>
  <c r="H36" i="67"/>
  <c r="G36" i="67"/>
  <c r="F36" i="67"/>
  <c r="D36" i="67"/>
  <c r="W35" i="67"/>
  <c r="V35" i="67"/>
  <c r="U35" i="67"/>
  <c r="S35" i="67"/>
  <c r="R35" i="67"/>
  <c r="Q35" i="67"/>
  <c r="P35" i="67"/>
  <c r="N35" i="67"/>
  <c r="M35" i="67"/>
  <c r="L35" i="67"/>
  <c r="K35" i="67"/>
  <c r="I35" i="67"/>
  <c r="H35" i="67"/>
  <c r="G35" i="67"/>
  <c r="F35" i="67"/>
  <c r="D35" i="67"/>
  <c r="W34" i="67"/>
  <c r="V34" i="67"/>
  <c r="U34" i="67"/>
  <c r="T34" i="67"/>
  <c r="S34" i="67"/>
  <c r="R34" i="67"/>
  <c r="Q34" i="67"/>
  <c r="P34" i="67"/>
  <c r="N34" i="67"/>
  <c r="M34" i="67"/>
  <c r="L34" i="67"/>
  <c r="K34" i="67"/>
  <c r="J34" i="67"/>
  <c r="I34" i="67"/>
  <c r="H34" i="67"/>
  <c r="G34" i="67"/>
  <c r="F34" i="67"/>
  <c r="D34" i="67"/>
  <c r="W33" i="67"/>
  <c r="V33" i="67"/>
  <c r="U33" i="67"/>
  <c r="T33" i="67"/>
  <c r="S33" i="67"/>
  <c r="R33" i="67"/>
  <c r="Q33" i="67"/>
  <c r="P33" i="67"/>
  <c r="N33" i="67"/>
  <c r="M33" i="67"/>
  <c r="L33" i="67"/>
  <c r="K33" i="67"/>
  <c r="J33" i="67"/>
  <c r="I33" i="67"/>
  <c r="H33" i="67"/>
  <c r="G33" i="67"/>
  <c r="F33" i="67"/>
  <c r="D33" i="67"/>
  <c r="W32" i="67"/>
  <c r="V32" i="67"/>
  <c r="U32" i="67"/>
  <c r="T32" i="67"/>
  <c r="S32" i="67"/>
  <c r="R32" i="67"/>
  <c r="Q32" i="67"/>
  <c r="P32" i="67"/>
  <c r="O32" i="67"/>
  <c r="N32" i="67"/>
  <c r="M32" i="67"/>
  <c r="L32" i="67"/>
  <c r="K32" i="67"/>
  <c r="J32" i="67"/>
  <c r="I32" i="67"/>
  <c r="H32" i="67"/>
  <c r="G32" i="67"/>
  <c r="F32" i="67"/>
  <c r="E32" i="67"/>
  <c r="D32" i="67"/>
  <c r="W31" i="67"/>
  <c r="V31" i="67"/>
  <c r="U31" i="67"/>
  <c r="T31" i="67"/>
  <c r="S31" i="67"/>
  <c r="R31" i="67"/>
  <c r="Q31" i="67"/>
  <c r="P31" i="67"/>
  <c r="N31" i="67"/>
  <c r="M31" i="67"/>
  <c r="L31" i="67"/>
  <c r="K31" i="67"/>
  <c r="J31" i="67"/>
  <c r="I31" i="67"/>
  <c r="H31" i="67"/>
  <c r="G31" i="67"/>
  <c r="F31" i="67"/>
  <c r="D31" i="67"/>
  <c r="W30" i="67"/>
  <c r="V30" i="67"/>
  <c r="U30" i="67"/>
  <c r="T30" i="67"/>
  <c r="S30" i="67"/>
  <c r="R30" i="67"/>
  <c r="Q30" i="67"/>
  <c r="P30" i="67"/>
  <c r="N30" i="67"/>
  <c r="M30" i="67"/>
  <c r="L30" i="67"/>
  <c r="K30" i="67"/>
  <c r="J30" i="67"/>
  <c r="I30" i="67"/>
  <c r="H30" i="67"/>
  <c r="G30" i="67"/>
  <c r="F30" i="67"/>
  <c r="D30" i="67"/>
  <c r="W29" i="67"/>
  <c r="V29" i="67"/>
  <c r="U29" i="67"/>
  <c r="T29" i="67"/>
  <c r="S29" i="67"/>
  <c r="R29" i="67"/>
  <c r="Q29" i="67"/>
  <c r="P29" i="67"/>
  <c r="N29" i="67"/>
  <c r="M29" i="67"/>
  <c r="L29" i="67"/>
  <c r="K29" i="67"/>
  <c r="J29" i="67"/>
  <c r="I29" i="67"/>
  <c r="H29" i="67"/>
  <c r="G29" i="67"/>
  <c r="F29" i="67"/>
  <c r="D29" i="67"/>
  <c r="W28" i="67"/>
  <c r="V28" i="67"/>
  <c r="U28" i="67"/>
  <c r="T28" i="67"/>
  <c r="S28" i="67"/>
  <c r="R28" i="67"/>
  <c r="Q28" i="67"/>
  <c r="P28" i="67"/>
  <c r="N28" i="67"/>
  <c r="M28" i="67"/>
  <c r="L28" i="67"/>
  <c r="K28" i="67"/>
  <c r="J28" i="67"/>
  <c r="I28" i="67"/>
  <c r="H28" i="67"/>
  <c r="G28" i="67"/>
  <c r="F28" i="67"/>
  <c r="D28" i="67"/>
  <c r="W27" i="67"/>
  <c r="V27" i="67"/>
  <c r="U27" i="67"/>
  <c r="T27" i="67"/>
  <c r="S27" i="67"/>
  <c r="R27" i="67"/>
  <c r="Q27" i="67"/>
  <c r="P27" i="67"/>
  <c r="N27" i="67"/>
  <c r="M27" i="67"/>
  <c r="L27" i="67"/>
  <c r="K27" i="67"/>
  <c r="J27" i="67"/>
  <c r="I27" i="67"/>
  <c r="H27" i="67"/>
  <c r="G27" i="67"/>
  <c r="F27" i="67"/>
  <c r="D27" i="67"/>
  <c r="W26" i="67"/>
  <c r="V26" i="67"/>
  <c r="U26" i="67"/>
  <c r="T26" i="67"/>
  <c r="S26" i="67"/>
  <c r="R26" i="67"/>
  <c r="Q26" i="67"/>
  <c r="P26" i="67"/>
  <c r="N26" i="67"/>
  <c r="M26" i="67"/>
  <c r="L26" i="67"/>
  <c r="K26" i="67"/>
  <c r="J26" i="67"/>
  <c r="I26" i="67"/>
  <c r="H26" i="67"/>
  <c r="G26" i="67"/>
  <c r="G72" i="67" s="1"/>
  <c r="F26" i="67"/>
  <c r="F72" i="67" s="1"/>
  <c r="D26" i="67"/>
  <c r="W25" i="67"/>
  <c r="V25" i="67"/>
  <c r="U25" i="67"/>
  <c r="T25" i="67"/>
  <c r="S25" i="67"/>
  <c r="R25" i="67"/>
  <c r="Q25" i="67"/>
  <c r="P25" i="67"/>
  <c r="N25" i="67"/>
  <c r="M25" i="67"/>
  <c r="L25" i="67"/>
  <c r="K25" i="67"/>
  <c r="J25" i="67"/>
  <c r="I25" i="67"/>
  <c r="H25" i="67"/>
  <c r="G25" i="67"/>
  <c r="F25" i="67"/>
  <c r="D25" i="67"/>
  <c r="W24" i="67"/>
  <c r="V24" i="67"/>
  <c r="U24" i="67"/>
  <c r="T24" i="67"/>
  <c r="S24" i="67"/>
  <c r="R24" i="67"/>
  <c r="Q24" i="67"/>
  <c r="P24" i="67"/>
  <c r="N24" i="67"/>
  <c r="M24" i="67"/>
  <c r="L24" i="67"/>
  <c r="K24" i="67"/>
  <c r="J24" i="67"/>
  <c r="I24" i="67"/>
  <c r="H24" i="67"/>
  <c r="G24" i="67"/>
  <c r="F24" i="67"/>
  <c r="D24" i="67"/>
  <c r="W23" i="67"/>
  <c r="V23" i="67"/>
  <c r="U23" i="67"/>
  <c r="T23" i="67"/>
  <c r="S23" i="67"/>
  <c r="R23" i="67"/>
  <c r="Q23" i="67"/>
  <c r="P23" i="67"/>
  <c r="N23" i="67"/>
  <c r="M23" i="67"/>
  <c r="L23" i="67"/>
  <c r="K23" i="67"/>
  <c r="J23" i="67"/>
  <c r="I23" i="67"/>
  <c r="H23" i="67"/>
  <c r="G23" i="67"/>
  <c r="F23" i="67"/>
  <c r="D23" i="67"/>
  <c r="W22" i="67"/>
  <c r="V22" i="67"/>
  <c r="U22" i="67"/>
  <c r="S22" i="67"/>
  <c r="R22" i="67"/>
  <c r="Q22" i="67"/>
  <c r="P22" i="67"/>
  <c r="N22" i="67"/>
  <c r="M22" i="67"/>
  <c r="L22" i="67"/>
  <c r="K22" i="67"/>
  <c r="I22" i="67"/>
  <c r="H22" i="67"/>
  <c r="G22" i="67"/>
  <c r="F22" i="67"/>
  <c r="D22" i="67"/>
  <c r="W21" i="67"/>
  <c r="V21" i="67"/>
  <c r="U21" i="67"/>
  <c r="T21" i="67"/>
  <c r="S21" i="67"/>
  <c r="R21" i="67"/>
  <c r="Q21" i="67"/>
  <c r="P21" i="67"/>
  <c r="N21" i="67"/>
  <c r="M21" i="67"/>
  <c r="L21" i="67"/>
  <c r="K21" i="67"/>
  <c r="J21" i="67"/>
  <c r="I21" i="67"/>
  <c r="H21" i="67"/>
  <c r="G21" i="67"/>
  <c r="F21" i="67"/>
  <c r="D21" i="67"/>
  <c r="W20" i="67"/>
  <c r="V20" i="67"/>
  <c r="U20" i="67"/>
  <c r="T20" i="67"/>
  <c r="S20" i="67"/>
  <c r="R20" i="67"/>
  <c r="Q20" i="67"/>
  <c r="P20" i="67"/>
  <c r="N20" i="67"/>
  <c r="M20" i="67"/>
  <c r="L20" i="67"/>
  <c r="K20" i="67"/>
  <c r="J20" i="67"/>
  <c r="I20" i="67"/>
  <c r="H20" i="67"/>
  <c r="G20" i="67"/>
  <c r="F20" i="67"/>
  <c r="D20" i="67"/>
  <c r="W19" i="67"/>
  <c r="V19" i="67"/>
  <c r="U19" i="67"/>
  <c r="T19" i="67"/>
  <c r="S19" i="67"/>
  <c r="R19" i="67"/>
  <c r="Q19" i="67"/>
  <c r="P19" i="67"/>
  <c r="N19" i="67"/>
  <c r="M19" i="67"/>
  <c r="L19" i="67"/>
  <c r="K19" i="67"/>
  <c r="J19" i="67"/>
  <c r="I19" i="67"/>
  <c r="H19" i="67"/>
  <c r="G19" i="67"/>
  <c r="F19" i="67"/>
  <c r="D19" i="67"/>
  <c r="V18" i="67"/>
  <c r="Q18" i="67"/>
  <c r="P18" i="67"/>
  <c r="N18" i="67"/>
  <c r="L18" i="67"/>
  <c r="G18" i="67"/>
  <c r="F18" i="67"/>
  <c r="D18" i="67"/>
  <c r="V17" i="67"/>
  <c r="Q17" i="67"/>
  <c r="P17" i="67"/>
  <c r="L17" i="67"/>
  <c r="G17" i="67"/>
  <c r="F17" i="67"/>
  <c r="V16" i="67"/>
  <c r="Q16" i="67"/>
  <c r="P16" i="67"/>
  <c r="L16" i="67"/>
  <c r="G16" i="67"/>
  <c r="F16" i="67"/>
  <c r="V15" i="67"/>
  <c r="Q15" i="67"/>
  <c r="P15" i="67"/>
  <c r="L15" i="67"/>
  <c r="G15" i="67"/>
  <c r="F15" i="67"/>
  <c r="W14" i="67"/>
  <c r="V14" i="67"/>
  <c r="U14" i="67"/>
  <c r="T14" i="67"/>
  <c r="S14" i="67"/>
  <c r="R14" i="67"/>
  <c r="Q14" i="67"/>
  <c r="P14" i="67"/>
  <c r="N14" i="67"/>
  <c r="M14" i="67"/>
  <c r="L14" i="67"/>
  <c r="K14" i="67"/>
  <c r="J14" i="67"/>
  <c r="I14" i="67"/>
  <c r="H14" i="67"/>
  <c r="G14" i="67"/>
  <c r="F14" i="67"/>
  <c r="D14" i="67"/>
  <c r="V13" i="67"/>
  <c r="Q13" i="67"/>
  <c r="N13" i="67"/>
  <c r="L13" i="67"/>
  <c r="G13" i="67"/>
  <c r="D13" i="67"/>
  <c r="V12" i="67"/>
  <c r="Q12" i="67"/>
  <c r="N12" i="67"/>
  <c r="L12" i="67"/>
  <c r="G12" i="67"/>
  <c r="D12" i="67"/>
  <c r="W11" i="67"/>
  <c r="V11" i="67"/>
  <c r="U11" i="67"/>
  <c r="T11" i="67"/>
  <c r="S11" i="67"/>
  <c r="R11" i="67"/>
  <c r="Q11" i="67"/>
  <c r="P11" i="67"/>
  <c r="N11" i="67"/>
  <c r="M11" i="67"/>
  <c r="L11" i="67"/>
  <c r="F77" i="67" s="1"/>
  <c r="G113" i="41" s="1"/>
  <c r="K11" i="67"/>
  <c r="J11" i="67"/>
  <c r="I11" i="67"/>
  <c r="H11" i="67"/>
  <c r="G11" i="67"/>
  <c r="F11" i="67"/>
  <c r="F76" i="67" s="1"/>
  <c r="D11" i="67"/>
  <c r="W10" i="67"/>
  <c r="V10" i="67"/>
  <c r="U10" i="67"/>
  <c r="T10" i="67"/>
  <c r="S10" i="67"/>
  <c r="R10" i="67"/>
  <c r="Q10" i="67"/>
  <c r="P10" i="67"/>
  <c r="N10" i="67"/>
  <c r="M10" i="67"/>
  <c r="L10" i="67"/>
  <c r="K10" i="67"/>
  <c r="J10" i="67"/>
  <c r="I10" i="67"/>
  <c r="H10" i="67"/>
  <c r="G10" i="67"/>
  <c r="G71" i="67" s="1"/>
  <c r="F10" i="67"/>
  <c r="F71" i="67" s="1"/>
  <c r="D10" i="67"/>
  <c r="V9" i="67"/>
  <c r="Q9" i="67"/>
  <c r="P9" i="67"/>
  <c r="N9" i="67"/>
  <c r="L9" i="67"/>
  <c r="G9" i="67"/>
  <c r="F9" i="67"/>
  <c r="D9" i="67"/>
  <c r="V8" i="67"/>
  <c r="Q8" i="67"/>
  <c r="O8" i="67"/>
  <c r="N8" i="67"/>
  <c r="L8" i="67"/>
  <c r="G8" i="67"/>
  <c r="E8" i="67"/>
  <c r="D8" i="67"/>
  <c r="Z15" i="67"/>
  <c r="I27" i="48" l="1"/>
  <c r="J27" i="48" s="1"/>
  <c r="K27" i="48" s="1"/>
  <c r="I23" i="48"/>
  <c r="I28" i="48" s="1"/>
  <c r="I27" i="39"/>
  <c r="J129" i="30"/>
  <c r="J17" i="75"/>
  <c r="V29" i="92" s="1"/>
  <c r="F73" i="67"/>
  <c r="F81" i="67"/>
  <c r="G73" i="67"/>
  <c r="H73" i="67" s="1"/>
  <c r="H71" i="67"/>
  <c r="F70" i="67"/>
  <c r="H70" i="67" s="1"/>
  <c r="H72" i="67"/>
  <c r="G74" i="67"/>
  <c r="F74" i="67"/>
  <c r="H76" i="67"/>
  <c r="G112" i="41"/>
  <c r="G114" i="41" s="1"/>
  <c r="H77" i="67"/>
  <c r="J23" i="48" l="1"/>
  <c r="J29" i="48" s="1"/>
  <c r="J27" i="39"/>
  <c r="K129" i="30"/>
  <c r="H74" i="67"/>
  <c r="G75" i="67"/>
  <c r="H75" i="67" s="1"/>
  <c r="H16" i="41"/>
  <c r="K23" i="48" l="1"/>
  <c r="K27" i="39"/>
  <c r="G16" i="41"/>
  <c r="H38" i="41" s="1"/>
  <c r="F44" i="30" s="1"/>
  <c r="G1" i="39"/>
  <c r="K30" i="48" l="1"/>
  <c r="H100" i="41"/>
  <c r="H104" i="41"/>
  <c r="H108" i="41"/>
  <c r="H77" i="41"/>
  <c r="H73" i="41"/>
  <c r="H74" i="41"/>
  <c r="H69" i="41"/>
  <c r="H70" i="41"/>
  <c r="H66" i="41"/>
  <c r="H63" i="41"/>
  <c r="H59" i="41"/>
  <c r="H60" i="41"/>
  <c r="H30" i="41"/>
  <c r="H75" i="41" l="1"/>
  <c r="H105" i="41"/>
  <c r="H109" i="41"/>
  <c r="H101" i="41"/>
  <c r="H79" i="41"/>
  <c r="H71" i="41"/>
  <c r="H61" i="41"/>
  <c r="H89" i="41"/>
  <c r="H52" i="41"/>
  <c r="I61" i="14" l="1"/>
  <c r="J61" i="14"/>
  <c r="K61" i="14"/>
  <c r="L61" i="14"/>
  <c r="M61" i="14"/>
  <c r="N61" i="14"/>
  <c r="O61" i="14"/>
  <c r="P61" i="14"/>
  <c r="D61" i="14" l="1"/>
  <c r="C61" i="14"/>
  <c r="C5" i="17" l="1"/>
  <c r="C18" i="17" s="1"/>
  <c r="D5" i="17"/>
  <c r="D18" i="17" s="1"/>
  <c r="E5" i="17"/>
  <c r="E18" i="17" s="1"/>
  <c r="F5" i="17"/>
  <c r="F18" i="17" s="1"/>
  <c r="H18" i="17"/>
  <c r="C105" i="105" s="1"/>
  <c r="I18" i="17"/>
  <c r="J18" i="17"/>
  <c r="C175" i="105" l="1"/>
  <c r="Q5" i="105" s="1"/>
  <c r="J23" i="39" s="1"/>
  <c r="P5" i="105"/>
  <c r="C140" i="105"/>
  <c r="F55" i="74"/>
  <c r="F20" i="75" s="1"/>
  <c r="H51" i="74"/>
  <c r="G51" i="74"/>
  <c r="G137" i="119"/>
  <c r="F51" i="74"/>
  <c r="D22" i="56"/>
  <c r="D44" i="56" s="1"/>
  <c r="F92" i="41"/>
  <c r="D51" i="74"/>
  <c r="F22" i="56"/>
  <c r="H92" i="41"/>
  <c r="C51" i="74"/>
  <c r="E22" i="56"/>
  <c r="E44" i="56" s="1"/>
  <c r="G92" i="41"/>
  <c r="E92" i="41"/>
  <c r="E93" i="41" s="1"/>
  <c r="C22" i="56"/>
  <c r="C44" i="56" s="1"/>
  <c r="E48" i="92"/>
  <c r="G55" i="74"/>
  <c r="F48" i="92"/>
  <c r="C20" i="90"/>
  <c r="E20" i="90"/>
  <c r="C48" i="92"/>
  <c r="H55" i="74"/>
  <c r="G48" i="92"/>
  <c r="D20" i="90"/>
  <c r="B48" i="92"/>
  <c r="L5" i="17"/>
  <c r="D41" i="14"/>
  <c r="C41" i="14"/>
  <c r="D28" i="14"/>
  <c r="O5" i="105" l="1"/>
  <c r="G102" i="119"/>
  <c r="I23" i="39"/>
  <c r="C111" i="105"/>
  <c r="G108" i="119" s="1"/>
  <c r="C115" i="105"/>
  <c r="G112" i="119" s="1"/>
  <c r="C119" i="105"/>
  <c r="G116" i="119" s="1"/>
  <c r="C123" i="105"/>
  <c r="G120" i="119" s="1"/>
  <c r="C127" i="105"/>
  <c r="G124" i="119" s="1"/>
  <c r="C131" i="105"/>
  <c r="G128" i="119" s="1"/>
  <c r="C135" i="105"/>
  <c r="C139" i="105"/>
  <c r="G136" i="119" s="1"/>
  <c r="C114" i="105"/>
  <c r="G111" i="119" s="1"/>
  <c r="C120" i="105"/>
  <c r="G117" i="119" s="1"/>
  <c r="C125" i="105"/>
  <c r="G122" i="119" s="1"/>
  <c r="C130" i="105"/>
  <c r="G127" i="119" s="1"/>
  <c r="C136" i="105"/>
  <c r="C110" i="105"/>
  <c r="G107" i="119" s="1"/>
  <c r="G140" i="119" s="1"/>
  <c r="C116" i="105"/>
  <c r="G113" i="119" s="1"/>
  <c r="C121" i="105"/>
  <c r="G118" i="119" s="1"/>
  <c r="C126" i="105"/>
  <c r="G123" i="119" s="1"/>
  <c r="C132" i="105"/>
  <c r="G129" i="119" s="1"/>
  <c r="C137" i="105"/>
  <c r="C112" i="105"/>
  <c r="G109" i="119" s="1"/>
  <c r="C117" i="105"/>
  <c r="G114" i="119" s="1"/>
  <c r="C122" i="105"/>
  <c r="G119" i="119" s="1"/>
  <c r="C128" i="105"/>
  <c r="G125" i="119" s="1"/>
  <c r="C133" i="105"/>
  <c r="G130" i="119" s="1"/>
  <c r="C138" i="105"/>
  <c r="C113" i="105"/>
  <c r="G110" i="119" s="1"/>
  <c r="C118" i="105"/>
  <c r="G115" i="119" s="1"/>
  <c r="C124" i="105"/>
  <c r="G121" i="119" s="1"/>
  <c r="C129" i="105"/>
  <c r="G126" i="119" s="1"/>
  <c r="C134" i="105"/>
  <c r="C109" i="105"/>
  <c r="C147" i="105"/>
  <c r="C151" i="105"/>
  <c r="C155" i="105"/>
  <c r="C159" i="105"/>
  <c r="C163" i="105"/>
  <c r="C167" i="105"/>
  <c r="C171" i="105"/>
  <c r="C144" i="105"/>
  <c r="D144" i="105" s="1"/>
  <c r="C145" i="105"/>
  <c r="C150" i="105"/>
  <c r="C156" i="105"/>
  <c r="C161" i="105"/>
  <c r="C166" i="105"/>
  <c r="C172" i="105"/>
  <c r="C146" i="105"/>
  <c r="C152" i="105"/>
  <c r="C157" i="105"/>
  <c r="C162" i="105"/>
  <c r="C168" i="105"/>
  <c r="C173" i="105"/>
  <c r="C148" i="105"/>
  <c r="C153" i="105"/>
  <c r="C158" i="105"/>
  <c r="C164" i="105"/>
  <c r="C169" i="105"/>
  <c r="C174" i="105"/>
  <c r="C149" i="105"/>
  <c r="C154" i="105"/>
  <c r="C160" i="105"/>
  <c r="C165" i="105"/>
  <c r="C170" i="105"/>
  <c r="C75" i="105"/>
  <c r="C79" i="105"/>
  <c r="C83" i="105"/>
  <c r="C87" i="105"/>
  <c r="C91" i="105"/>
  <c r="C95" i="105"/>
  <c r="C99" i="105"/>
  <c r="C103" i="105"/>
  <c r="G100" i="119" s="1"/>
  <c r="C76" i="105"/>
  <c r="C80" i="105"/>
  <c r="C84" i="105"/>
  <c r="C88" i="105"/>
  <c r="C92" i="105"/>
  <c r="C96" i="105"/>
  <c r="C100" i="105"/>
  <c r="C104" i="105"/>
  <c r="G101" i="119" s="1"/>
  <c r="C77" i="105"/>
  <c r="C81" i="105"/>
  <c r="C85" i="105"/>
  <c r="C89" i="105"/>
  <c r="C93" i="105"/>
  <c r="C97" i="105"/>
  <c r="C101" i="105"/>
  <c r="G98" i="119" s="1"/>
  <c r="C74" i="105"/>
  <c r="D74" i="105" s="1"/>
  <c r="C78" i="105"/>
  <c r="C82" i="105"/>
  <c r="C86" i="105"/>
  <c r="C90" i="105"/>
  <c r="C94" i="105"/>
  <c r="C98" i="105"/>
  <c r="C102" i="105"/>
  <c r="G99" i="119" s="1"/>
  <c r="H20" i="75"/>
  <c r="H20" i="90"/>
  <c r="I20" i="90"/>
  <c r="F44" i="56"/>
  <c r="I20" i="75"/>
  <c r="I19" i="75" s="1"/>
  <c r="M18" i="17"/>
  <c r="L18" i="17"/>
  <c r="H27" i="41"/>
  <c r="H23" i="39" l="1"/>
  <c r="H37" i="89" s="1"/>
  <c r="H6" i="48"/>
  <c r="G132" i="119"/>
  <c r="G134" i="119"/>
  <c r="G147" i="119"/>
  <c r="G143" i="119"/>
  <c r="G150" i="119"/>
  <c r="G145" i="119"/>
  <c r="G144" i="119"/>
  <c r="G133" i="119"/>
  <c r="G142" i="119"/>
  <c r="G151" i="119"/>
  <c r="G135" i="119"/>
  <c r="G141" i="119"/>
  <c r="G131" i="119"/>
  <c r="D109" i="105"/>
  <c r="G106" i="119"/>
  <c r="G139" i="119" s="1"/>
  <c r="G148" i="119"/>
  <c r="G146" i="119"/>
  <c r="G149" i="119"/>
  <c r="I6" i="48"/>
  <c r="J6" i="48"/>
  <c r="J37" i="89"/>
  <c r="I25" i="90"/>
  <c r="I28" i="90"/>
  <c r="N9" i="92" s="1"/>
  <c r="I26" i="90"/>
  <c r="N7" i="92" s="1"/>
  <c r="H26" i="90"/>
  <c r="M7" i="92" s="1"/>
  <c r="H25" i="90"/>
  <c r="H28" i="90"/>
  <c r="M9" i="92" s="1"/>
  <c r="H28" i="75"/>
  <c r="H19" i="75"/>
  <c r="H18" i="75" s="1"/>
  <c r="H26" i="75"/>
  <c r="H25" i="75"/>
  <c r="I18" i="75"/>
  <c r="I28" i="75"/>
  <c r="U9" i="92" s="1"/>
  <c r="I25" i="75"/>
  <c r="I26" i="75"/>
  <c r="U7" i="92" s="1"/>
  <c r="N18" i="17"/>
  <c r="D16" i="41"/>
  <c r="D24" i="41" s="1"/>
  <c r="E16" i="41"/>
  <c r="H24" i="90" l="1"/>
  <c r="I24" i="90"/>
  <c r="N6" i="92"/>
  <c r="T30" i="92"/>
  <c r="M6" i="92"/>
  <c r="T6" i="92"/>
  <c r="H24" i="75"/>
  <c r="T31" i="92" s="1"/>
  <c r="U6" i="92"/>
  <c r="I24" i="75"/>
  <c r="U31" i="92" s="1"/>
  <c r="T7" i="92"/>
  <c r="T9" i="92"/>
  <c r="U30" i="92"/>
  <c r="I17" i="75" l="1"/>
  <c r="U29" i="92" s="1"/>
  <c r="H17" i="75"/>
  <c r="T29" i="92" s="1"/>
  <c r="M31" i="92"/>
  <c r="F31" i="92" s="1"/>
  <c r="N31" i="92"/>
  <c r="G31" i="92" s="1"/>
  <c r="H29" i="41"/>
  <c r="H28" i="41" l="1"/>
  <c r="H31" i="41" l="1"/>
  <c r="D108" i="41"/>
  <c r="E108" i="41"/>
  <c r="F108" i="41"/>
  <c r="G108" i="41"/>
  <c r="C108" i="41"/>
  <c r="D104" i="41"/>
  <c r="E104" i="41"/>
  <c r="F104" i="41"/>
  <c r="G104" i="41"/>
  <c r="C104" i="41"/>
  <c r="C103" i="41"/>
  <c r="D100" i="41"/>
  <c r="E100" i="41"/>
  <c r="F100" i="41"/>
  <c r="G100" i="41"/>
  <c r="C100" i="41"/>
  <c r="D96" i="41"/>
  <c r="E96" i="41"/>
  <c r="F96" i="41"/>
  <c r="C96" i="41"/>
  <c r="C95" i="41"/>
  <c r="C91" i="41"/>
  <c r="D77" i="41"/>
  <c r="E77" i="41"/>
  <c r="F77" i="41"/>
  <c r="G77" i="41"/>
  <c r="C78" i="41"/>
  <c r="C77" i="41"/>
  <c r="D73" i="41"/>
  <c r="E73" i="41"/>
  <c r="F73" i="41"/>
  <c r="G73" i="41"/>
  <c r="D74" i="41"/>
  <c r="E74" i="41"/>
  <c r="F74" i="41"/>
  <c r="G74" i="41"/>
  <c r="C74" i="41"/>
  <c r="C73" i="41"/>
  <c r="D69" i="41"/>
  <c r="E69" i="41"/>
  <c r="F69" i="41"/>
  <c r="G69" i="41"/>
  <c r="D70" i="41"/>
  <c r="E70" i="41"/>
  <c r="F70" i="41"/>
  <c r="G70" i="41"/>
  <c r="C70" i="41"/>
  <c r="C69" i="41"/>
  <c r="D66" i="41"/>
  <c r="E66" i="41"/>
  <c r="F66" i="41"/>
  <c r="G66" i="41"/>
  <c r="C66" i="41"/>
  <c r="D63" i="41"/>
  <c r="E63" i="41"/>
  <c r="F63" i="41"/>
  <c r="G63" i="41"/>
  <c r="H64" i="41" s="1"/>
  <c r="C63" i="41"/>
  <c r="D59" i="41"/>
  <c r="E59" i="41"/>
  <c r="F59" i="41"/>
  <c r="G59" i="41"/>
  <c r="D60" i="41"/>
  <c r="E60" i="41"/>
  <c r="F60" i="41"/>
  <c r="G60" i="41"/>
  <c r="C60" i="41"/>
  <c r="C59" i="41"/>
  <c r="D55" i="41"/>
  <c r="E55" i="41"/>
  <c r="F55" i="41"/>
  <c r="C54" i="41"/>
  <c r="C55" i="41" s="1"/>
  <c r="E67" i="41" l="1"/>
  <c r="C105" i="41"/>
  <c r="E61" i="41"/>
  <c r="C75" i="41"/>
  <c r="F67" i="41"/>
  <c r="G67" i="41"/>
  <c r="H67" i="41"/>
  <c r="C71" i="41"/>
  <c r="E71" i="41"/>
  <c r="G75" i="41"/>
  <c r="C79" i="41"/>
  <c r="E79" i="41"/>
  <c r="C101" i="41"/>
  <c r="E101" i="41"/>
  <c r="G105" i="41"/>
  <c r="C109" i="41"/>
  <c r="E109" i="41"/>
  <c r="D71" i="41"/>
  <c r="F75" i="41"/>
  <c r="D79" i="41"/>
  <c r="D101" i="41"/>
  <c r="F105" i="41"/>
  <c r="D109" i="41"/>
  <c r="G71" i="41"/>
  <c r="E75" i="41"/>
  <c r="G79" i="41"/>
  <c r="G101" i="41"/>
  <c r="E105" i="41"/>
  <c r="G109" i="41"/>
  <c r="D67" i="41"/>
  <c r="F71" i="41"/>
  <c r="D75" i="41"/>
  <c r="F79" i="41"/>
  <c r="F101" i="41"/>
  <c r="D105" i="41"/>
  <c r="F109" i="41"/>
  <c r="E97" i="41"/>
  <c r="D97" i="41"/>
  <c r="D61" i="41"/>
  <c r="F61" i="41"/>
  <c r="F97" i="41"/>
  <c r="G61" i="41"/>
  <c r="C97" i="41"/>
  <c r="G64" i="41"/>
  <c r="F64" i="41"/>
  <c r="C61" i="41"/>
  <c r="E64" i="41"/>
  <c r="D64" i="41"/>
  <c r="C51" i="41"/>
  <c r="C52" i="41" s="1"/>
  <c r="D46" i="41" l="1"/>
  <c r="E46" i="41"/>
  <c r="F46" i="41"/>
  <c r="F34" i="41"/>
  <c r="E34" i="41"/>
  <c r="D34" i="41"/>
  <c r="D31" i="41"/>
  <c r="E31" i="41"/>
  <c r="F31" i="41"/>
  <c r="G31" i="41"/>
  <c r="D28" i="41"/>
  <c r="F28" i="41"/>
  <c r="G28" i="41"/>
  <c r="D29" i="41"/>
  <c r="E29" i="41"/>
  <c r="F29" i="41"/>
  <c r="G29" i="41"/>
  <c r="D30" i="41"/>
  <c r="E30" i="41"/>
  <c r="F30" i="41"/>
  <c r="G30" i="41"/>
  <c r="G96" i="41"/>
  <c r="G97" i="41" s="1"/>
  <c r="E27" i="41"/>
  <c r="F27" i="41" l="1"/>
  <c r="D27" i="41"/>
  <c r="G27" i="41"/>
  <c r="G34" i="41"/>
  <c r="H45" i="41"/>
  <c r="E36" i="41"/>
  <c r="H36" i="41" l="1"/>
  <c r="E45" i="41"/>
  <c r="D36" i="41"/>
  <c r="G45" i="41"/>
  <c r="D35" i="41"/>
  <c r="F35" i="41"/>
  <c r="F36" i="41"/>
  <c r="D45" i="41"/>
  <c r="G36" i="41"/>
  <c r="E35" i="41"/>
  <c r="F45" i="41"/>
  <c r="D8" i="4"/>
  <c r="E8" i="4"/>
  <c r="F8" i="4"/>
  <c r="C8" i="4"/>
  <c r="G35" i="41" l="1"/>
  <c r="H35" i="41"/>
  <c r="G37" i="56"/>
  <c r="F37" i="56" l="1"/>
  <c r="E37" i="56" s="1"/>
  <c r="D37" i="56" s="1"/>
  <c r="C37" i="56" s="1"/>
  <c r="F3" i="64" l="1"/>
  <c r="G3" i="64" s="1"/>
  <c r="H3" i="64" s="1"/>
  <c r="I3" i="64" s="1"/>
  <c r="J3" i="64" s="1"/>
  <c r="D3" i="64" l="1"/>
  <c r="E3" i="64"/>
  <c r="B3" i="64"/>
  <c r="C3" i="64"/>
  <c r="I51" i="14" l="1"/>
  <c r="J51" i="14"/>
  <c r="K51" i="14"/>
  <c r="L51" i="14"/>
  <c r="M51" i="14"/>
  <c r="N51" i="14"/>
  <c r="O51" i="14"/>
  <c r="P51" i="14"/>
  <c r="I41" i="14"/>
  <c r="J41" i="14"/>
  <c r="K41" i="14"/>
  <c r="L41" i="14"/>
  <c r="M41" i="14"/>
  <c r="N41" i="14"/>
  <c r="O41" i="14"/>
  <c r="P41" i="14"/>
  <c r="I28" i="14"/>
  <c r="J28" i="14"/>
  <c r="K28" i="14"/>
  <c r="L28" i="14"/>
  <c r="M28" i="14"/>
  <c r="N28" i="14"/>
  <c r="O28" i="14"/>
  <c r="P28" i="14"/>
  <c r="I11" i="14"/>
  <c r="J11" i="14"/>
  <c r="K11" i="14"/>
  <c r="L11" i="14"/>
  <c r="M11" i="14"/>
  <c r="N11" i="14"/>
  <c r="O11" i="14"/>
  <c r="P11" i="14"/>
  <c r="H42" i="41" l="1"/>
  <c r="H40" i="41" l="1"/>
  <c r="H43" i="41"/>
  <c r="D42" i="41"/>
  <c r="F42" i="41"/>
  <c r="F44" i="41"/>
  <c r="H39" i="41"/>
  <c r="H41" i="41"/>
  <c r="F43" i="41"/>
  <c r="G1" i="47"/>
  <c r="G1" i="51"/>
  <c r="G1" i="4"/>
  <c r="AB3" i="4"/>
  <c r="U3" i="4"/>
  <c r="G44" i="41" l="1"/>
  <c r="H44" i="41"/>
  <c r="H37" i="41"/>
  <c r="E39" i="41"/>
  <c r="E44" i="41"/>
  <c r="D40" i="41"/>
  <c r="G41" i="41"/>
  <c r="D43" i="41"/>
  <c r="F40" i="41"/>
  <c r="E41" i="41"/>
  <c r="G39" i="41"/>
  <c r="D89" i="41"/>
  <c r="D37" i="41"/>
  <c r="E43" i="41"/>
  <c r="G40" i="41"/>
  <c r="D39" i="41"/>
  <c r="D44" i="41"/>
  <c r="E40" i="41"/>
  <c r="G37" i="41"/>
  <c r="G89" i="41"/>
  <c r="F41" i="41"/>
  <c r="E89" i="41"/>
  <c r="E37" i="41"/>
  <c r="E42" i="41"/>
  <c r="F89" i="41"/>
  <c r="F37" i="41"/>
  <c r="G43" i="41"/>
  <c r="D41" i="41"/>
  <c r="F39" i="41"/>
  <c r="G42" i="41"/>
  <c r="D38" i="41"/>
  <c r="C8" i="56"/>
  <c r="E7" i="30"/>
  <c r="F7" i="30"/>
  <c r="F38" i="41" l="1"/>
  <c r="E38" i="41"/>
  <c r="G38" i="41"/>
  <c r="E44" i="30" s="1"/>
  <c r="G44" i="30" l="1"/>
  <c r="H44" i="30" s="1"/>
  <c r="G46" i="41"/>
  <c r="G55" i="41"/>
  <c r="G27" i="56"/>
  <c r="F27" i="56" s="1"/>
  <c r="E27" i="56" s="1"/>
  <c r="D27" i="56" s="1"/>
  <c r="C27" i="56" s="1"/>
  <c r="D21" i="56"/>
  <c r="D43" i="56" s="1"/>
  <c r="E21" i="56"/>
  <c r="E43" i="56" s="1"/>
  <c r="F21" i="56"/>
  <c r="F43" i="56" s="1"/>
  <c r="C21" i="56"/>
  <c r="C43" i="56" s="1"/>
  <c r="D18" i="56"/>
  <c r="D40" i="56" s="1"/>
  <c r="E18" i="56"/>
  <c r="E40" i="56" s="1"/>
  <c r="F18" i="56"/>
  <c r="F40" i="56" s="1"/>
  <c r="C18" i="56"/>
  <c r="C40" i="56" s="1"/>
  <c r="C9" i="56"/>
  <c r="C10" i="56"/>
  <c r="C11" i="56"/>
  <c r="H43" i="30" l="1"/>
  <c r="H22" i="4" s="1"/>
  <c r="H53" i="79" s="1"/>
  <c r="I44" i="30"/>
  <c r="J44" i="30" s="1"/>
  <c r="K44" i="30" s="1"/>
  <c r="B2" i="56"/>
  <c r="C7" i="56"/>
  <c r="C6" i="56"/>
  <c r="C4" i="56"/>
  <c r="I43" i="30" l="1"/>
  <c r="J43" i="30" s="1"/>
  <c r="E23" i="90"/>
  <c r="F23" i="90"/>
  <c r="G23" i="90" s="1"/>
  <c r="H23" i="90" s="1"/>
  <c r="E15" i="56"/>
  <c r="D15" i="56" s="1"/>
  <c r="C15" i="56" s="1"/>
  <c r="I22" i="4" l="1"/>
  <c r="I53" i="79" s="1"/>
  <c r="K43" i="30"/>
  <c r="K22" i="4" s="1"/>
  <c r="K53" i="79" s="1"/>
  <c r="J22" i="4"/>
  <c r="J53" i="79" s="1"/>
  <c r="I23" i="90"/>
  <c r="H21" i="90"/>
  <c r="H19" i="90"/>
  <c r="F21" i="90"/>
  <c r="G21" i="90" s="1"/>
  <c r="F19" i="90"/>
  <c r="G19" i="90" s="1"/>
  <c r="E21" i="90"/>
  <c r="E19" i="90"/>
  <c r="G93" i="41"/>
  <c r="J25" i="17"/>
  <c r="I25" i="17"/>
  <c r="H25" i="17"/>
  <c r="G25" i="17"/>
  <c r="F25" i="17"/>
  <c r="E25" i="17"/>
  <c r="D25" i="17"/>
  <c r="C25" i="17"/>
  <c r="F93" i="41"/>
  <c r="C17" i="37"/>
  <c r="D17" i="37"/>
  <c r="E17" i="37"/>
  <c r="F17" i="37"/>
  <c r="G26" i="39"/>
  <c r="D103" i="111" s="1"/>
  <c r="E103" i="111" s="1"/>
  <c r="F103" i="111" s="1"/>
  <c r="K25" i="17"/>
  <c r="G17" i="37"/>
  <c r="G13" i="37" s="1"/>
  <c r="G36" i="37"/>
  <c r="G15" i="37"/>
  <c r="G10" i="45" s="1"/>
  <c r="G7" i="37"/>
  <c r="G9" i="45" s="1"/>
  <c r="G3" i="51"/>
  <c r="C3" i="51" s="1"/>
  <c r="B30" i="48"/>
  <c r="B29" i="48"/>
  <c r="B28" i="48"/>
  <c r="B27" i="48"/>
  <c r="B26" i="48"/>
  <c r="B25" i="48"/>
  <c r="G3" i="48"/>
  <c r="F3" i="47"/>
  <c r="F5" i="47" s="1"/>
  <c r="G3" i="45"/>
  <c r="F3" i="45"/>
  <c r="E3" i="45"/>
  <c r="D3" i="45"/>
  <c r="C3" i="45"/>
  <c r="S5" i="42"/>
  <c r="R5" i="42"/>
  <c r="D54" i="37"/>
  <c r="E54" i="37"/>
  <c r="F54" i="37"/>
  <c r="G54" i="37"/>
  <c r="D55" i="37"/>
  <c r="E55" i="37"/>
  <c r="F55" i="37"/>
  <c r="G55" i="37"/>
  <c r="D56" i="37"/>
  <c r="E56" i="37"/>
  <c r="F56" i="37"/>
  <c r="G56" i="37"/>
  <c r="C55" i="37"/>
  <c r="C56" i="37"/>
  <c r="C54" i="37"/>
  <c r="G27" i="39"/>
  <c r="D104" i="111" s="1"/>
  <c r="E104" i="111" s="1"/>
  <c r="F104" i="111" s="1"/>
  <c r="J5" i="42"/>
  <c r="Q5" i="42"/>
  <c r="P5" i="42"/>
  <c r="O5" i="42"/>
  <c r="N5" i="42"/>
  <c r="M5" i="42"/>
  <c r="L5" i="42"/>
  <c r="K5" i="42"/>
  <c r="G3" i="39"/>
  <c r="N3" i="4"/>
  <c r="D51" i="37"/>
  <c r="E51" i="37"/>
  <c r="F51" i="37"/>
  <c r="G51" i="37"/>
  <c r="C51" i="37"/>
  <c r="D44" i="37"/>
  <c r="E44" i="37"/>
  <c r="F44" i="37"/>
  <c r="G44" i="37"/>
  <c r="D45" i="37"/>
  <c r="E45" i="37"/>
  <c r="F45" i="37"/>
  <c r="G45" i="37"/>
  <c r="D46" i="37"/>
  <c r="E46" i="37"/>
  <c r="F46" i="37"/>
  <c r="G46" i="37"/>
  <c r="D47" i="37"/>
  <c r="E47" i="37"/>
  <c r="F47" i="37"/>
  <c r="G47" i="37"/>
  <c r="D48" i="37"/>
  <c r="E48" i="37"/>
  <c r="F48" i="37"/>
  <c r="G48" i="37"/>
  <c r="D49" i="37"/>
  <c r="E49" i="37"/>
  <c r="F49" i="37"/>
  <c r="G49" i="37"/>
  <c r="C45" i="37"/>
  <c r="C46" i="37"/>
  <c r="C47" i="37"/>
  <c r="C48" i="37"/>
  <c r="C49" i="37"/>
  <c r="C44" i="37"/>
  <c r="G3" i="37"/>
  <c r="F3" i="37" s="1"/>
  <c r="G3" i="30"/>
  <c r="I142" i="41" s="1"/>
  <c r="D3" i="81"/>
  <c r="D27" i="81" s="1"/>
  <c r="D51" i="81" s="1"/>
  <c r="D75" i="81" s="1"/>
  <c r="G3" i="4"/>
  <c r="E3" i="4" s="1"/>
  <c r="E35" i="4" s="1"/>
  <c r="E51" i="30" s="1"/>
  <c r="C11" i="51" l="1"/>
  <c r="C58" i="51"/>
  <c r="C57" i="51"/>
  <c r="C35" i="51"/>
  <c r="C24" i="51"/>
  <c r="C25" i="51"/>
  <c r="C26" i="51"/>
  <c r="C27" i="51"/>
  <c r="C28" i="51"/>
  <c r="C29" i="51"/>
  <c r="C18" i="51"/>
  <c r="C3" i="30"/>
  <c r="C24" i="30" s="1"/>
  <c r="N3" i="105"/>
  <c r="E4" i="4"/>
  <c r="E9" i="4"/>
  <c r="H18" i="90"/>
  <c r="H17" i="90" s="1"/>
  <c r="J23" i="90"/>
  <c r="I21" i="90"/>
  <c r="I19" i="90"/>
  <c r="I18" i="90" s="1"/>
  <c r="I17" i="90" s="1"/>
  <c r="G18" i="90"/>
  <c r="F18" i="90"/>
  <c r="D32" i="90"/>
  <c r="E18" i="90"/>
  <c r="F3" i="17"/>
  <c r="C3" i="17" s="1"/>
  <c r="H93" i="41"/>
  <c r="G44" i="56"/>
  <c r="F14" i="47"/>
  <c r="D14" i="111" s="1"/>
  <c r="E14" i="111" s="1"/>
  <c r="F14" i="111" s="1"/>
  <c r="M95" i="42"/>
  <c r="M99" i="42"/>
  <c r="M103" i="42"/>
  <c r="M107" i="42"/>
  <c r="M91" i="42"/>
  <c r="M74" i="42"/>
  <c r="M78" i="42"/>
  <c r="M71" i="42"/>
  <c r="M102" i="42"/>
  <c r="M94" i="42"/>
  <c r="M72" i="42"/>
  <c r="M105" i="42"/>
  <c r="M82" i="42"/>
  <c r="M100" i="42"/>
  <c r="M96" i="42"/>
  <c r="M88" i="42"/>
  <c r="M80" i="42"/>
  <c r="M86" i="42"/>
  <c r="M73" i="42"/>
  <c r="M69" i="42"/>
  <c r="M109" i="42"/>
  <c r="M77" i="42"/>
  <c r="M76" i="42"/>
  <c r="M83" i="42"/>
  <c r="M81" i="42"/>
  <c r="M106" i="42"/>
  <c r="M101" i="42"/>
  <c r="M79" i="42"/>
  <c r="M87" i="42"/>
  <c r="M104" i="42"/>
  <c r="M75" i="42"/>
  <c r="M89" i="42"/>
  <c r="M97" i="42"/>
  <c r="M90" i="42"/>
  <c r="M108" i="42"/>
  <c r="M84" i="42"/>
  <c r="M70" i="42"/>
  <c r="M85" i="42"/>
  <c r="M92" i="42"/>
  <c r="M98" i="42"/>
  <c r="Q107" i="42"/>
  <c r="Q79" i="42"/>
  <c r="Q95" i="42"/>
  <c r="Q99" i="42"/>
  <c r="Q103" i="42"/>
  <c r="Q90" i="42"/>
  <c r="Q85" i="42"/>
  <c r="Q108" i="42"/>
  <c r="Q97" i="42"/>
  <c r="Q84" i="42"/>
  <c r="Q71" i="42"/>
  <c r="Q89" i="42"/>
  <c r="Q70" i="42"/>
  <c r="Q91" i="42"/>
  <c r="Q109" i="42"/>
  <c r="Q104" i="42"/>
  <c r="Q75" i="42"/>
  <c r="Q74" i="42"/>
  <c r="Q78" i="42"/>
  <c r="Q83" i="42"/>
  <c r="Q106" i="42"/>
  <c r="Q101" i="42"/>
  <c r="Q94" i="42"/>
  <c r="Q69" i="42"/>
  <c r="Q72" i="42"/>
  <c r="Q105" i="42"/>
  <c r="Q82" i="42"/>
  <c r="Q92" i="42"/>
  <c r="Q100" i="42"/>
  <c r="Q88" i="42"/>
  <c r="Q80" i="42"/>
  <c r="Q86" i="42"/>
  <c r="Q73" i="42"/>
  <c r="Q98" i="42"/>
  <c r="Q77" i="42"/>
  <c r="Q87" i="42"/>
  <c r="Q102" i="42"/>
  <c r="Q81" i="42"/>
  <c r="Q96" i="42"/>
  <c r="Q76" i="42"/>
  <c r="L104" i="42"/>
  <c r="L76" i="42"/>
  <c r="L96" i="42"/>
  <c r="L100" i="42"/>
  <c r="L77" i="42"/>
  <c r="L87" i="42"/>
  <c r="L69" i="42"/>
  <c r="L84" i="42"/>
  <c r="L81" i="42"/>
  <c r="L107" i="42"/>
  <c r="L102" i="42"/>
  <c r="L88" i="42"/>
  <c r="L90" i="42"/>
  <c r="L85" i="42"/>
  <c r="L97" i="42"/>
  <c r="L89" i="42"/>
  <c r="L70" i="42"/>
  <c r="L99" i="42"/>
  <c r="L106" i="42"/>
  <c r="L83" i="42"/>
  <c r="L74" i="42"/>
  <c r="L72" i="42"/>
  <c r="L91" i="42"/>
  <c r="L71" i="42"/>
  <c r="L108" i="42"/>
  <c r="L78" i="42"/>
  <c r="L103" i="42"/>
  <c r="L94" i="42"/>
  <c r="L98" i="42"/>
  <c r="L101" i="42"/>
  <c r="L105" i="42"/>
  <c r="L86" i="42"/>
  <c r="L95" i="42"/>
  <c r="L79" i="42"/>
  <c r="L80" i="42"/>
  <c r="L82" i="42"/>
  <c r="L75" i="42"/>
  <c r="L73" i="42"/>
  <c r="L109" i="42"/>
  <c r="L92" i="42"/>
  <c r="N102" i="42"/>
  <c r="N90" i="42"/>
  <c r="N106" i="42"/>
  <c r="N94" i="42"/>
  <c r="N98" i="42"/>
  <c r="N74" i="42"/>
  <c r="N72" i="42"/>
  <c r="N105" i="42"/>
  <c r="N87" i="42"/>
  <c r="N88" i="42"/>
  <c r="N80" i="42"/>
  <c r="N73" i="42"/>
  <c r="N78" i="42"/>
  <c r="N96" i="42"/>
  <c r="N99" i="42"/>
  <c r="N70" i="42"/>
  <c r="N77" i="42"/>
  <c r="N92" i="42"/>
  <c r="N69" i="42"/>
  <c r="N76" i="42"/>
  <c r="N91" i="42"/>
  <c r="N82" i="42"/>
  <c r="N100" i="42"/>
  <c r="N81" i="42"/>
  <c r="N109" i="42"/>
  <c r="N107" i="42"/>
  <c r="N95" i="42"/>
  <c r="N83" i="42"/>
  <c r="N85" i="42"/>
  <c r="N86" i="42"/>
  <c r="N97" i="42"/>
  <c r="N84" i="42"/>
  <c r="N71" i="42"/>
  <c r="N89" i="42"/>
  <c r="N101" i="42"/>
  <c r="N103" i="42"/>
  <c r="N108" i="42"/>
  <c r="N79" i="42"/>
  <c r="N75" i="42"/>
  <c r="N104" i="42"/>
  <c r="J106" i="42"/>
  <c r="J70" i="42"/>
  <c r="J98" i="42"/>
  <c r="J102" i="42"/>
  <c r="J94" i="42"/>
  <c r="J78" i="42"/>
  <c r="J77" i="42"/>
  <c r="J76" i="42"/>
  <c r="J100" i="42"/>
  <c r="J69" i="42"/>
  <c r="J81" i="42"/>
  <c r="J104" i="42"/>
  <c r="J105" i="42"/>
  <c r="J83" i="42"/>
  <c r="J85" i="42"/>
  <c r="J90" i="42"/>
  <c r="J74" i="42"/>
  <c r="J97" i="42"/>
  <c r="J84" i="42"/>
  <c r="J71" i="42"/>
  <c r="J89" i="42"/>
  <c r="J96" i="42"/>
  <c r="J99" i="42"/>
  <c r="J86" i="42"/>
  <c r="J92" i="42"/>
  <c r="J108" i="42"/>
  <c r="J75" i="42"/>
  <c r="J79" i="42"/>
  <c r="J91" i="42"/>
  <c r="J82" i="42"/>
  <c r="J109" i="42"/>
  <c r="J107" i="42"/>
  <c r="J95" i="42"/>
  <c r="J72" i="42"/>
  <c r="J103" i="42"/>
  <c r="J80" i="42"/>
  <c r="J88" i="42"/>
  <c r="J101" i="42"/>
  <c r="J87" i="42"/>
  <c r="J73" i="42"/>
  <c r="P104" i="42"/>
  <c r="P96" i="42"/>
  <c r="P84" i="42"/>
  <c r="P80" i="42"/>
  <c r="P91" i="42"/>
  <c r="P105" i="42"/>
  <c r="P82" i="42"/>
  <c r="P108" i="42"/>
  <c r="P75" i="42"/>
  <c r="P79" i="42"/>
  <c r="P86" i="42"/>
  <c r="P73" i="42"/>
  <c r="P99" i="42"/>
  <c r="P106" i="42"/>
  <c r="P83" i="42"/>
  <c r="P88" i="42"/>
  <c r="P77" i="42"/>
  <c r="P87" i="42"/>
  <c r="P69" i="42"/>
  <c r="P81" i="42"/>
  <c r="P76" i="42"/>
  <c r="P103" i="42"/>
  <c r="P98" i="42"/>
  <c r="P101" i="42"/>
  <c r="P90" i="42"/>
  <c r="P85" i="42"/>
  <c r="P97" i="42"/>
  <c r="P89" i="42"/>
  <c r="P70" i="42"/>
  <c r="P92" i="42"/>
  <c r="P100" i="42"/>
  <c r="P95" i="42"/>
  <c r="P109" i="42"/>
  <c r="P78" i="42"/>
  <c r="P74" i="42"/>
  <c r="P71" i="42"/>
  <c r="P102" i="42"/>
  <c r="P72" i="42"/>
  <c r="P107" i="42"/>
  <c r="P94" i="42"/>
  <c r="K92" i="42"/>
  <c r="K101" i="42"/>
  <c r="K109" i="42"/>
  <c r="K85" i="42"/>
  <c r="K83" i="42"/>
  <c r="K74" i="42"/>
  <c r="K91" i="42"/>
  <c r="K84" i="42"/>
  <c r="K71" i="42"/>
  <c r="K78" i="42"/>
  <c r="K104" i="42"/>
  <c r="K99" i="42"/>
  <c r="K81" i="42"/>
  <c r="K82" i="42"/>
  <c r="K108" i="42"/>
  <c r="K105" i="42"/>
  <c r="K75" i="42"/>
  <c r="K79" i="42"/>
  <c r="K86" i="42"/>
  <c r="K106" i="42"/>
  <c r="K96" i="42"/>
  <c r="K72" i="42"/>
  <c r="K102" i="42"/>
  <c r="K69" i="42"/>
  <c r="K87" i="42"/>
  <c r="K77" i="42"/>
  <c r="K88" i="42"/>
  <c r="K80" i="42"/>
  <c r="K89" i="42"/>
  <c r="K94" i="42"/>
  <c r="K103" i="42"/>
  <c r="K76" i="42"/>
  <c r="K107" i="42"/>
  <c r="K90" i="42"/>
  <c r="K70" i="42"/>
  <c r="K95" i="42"/>
  <c r="K98" i="42"/>
  <c r="K73" i="42"/>
  <c r="K100" i="42"/>
  <c r="K97" i="42"/>
  <c r="O109" i="42"/>
  <c r="O101" i="42"/>
  <c r="O81" i="42"/>
  <c r="O92" i="42"/>
  <c r="O73" i="42"/>
  <c r="O105" i="42"/>
  <c r="O90" i="42"/>
  <c r="O77" i="42"/>
  <c r="O76" i="42"/>
  <c r="O100" i="42"/>
  <c r="O70" i="42"/>
  <c r="O85" i="42"/>
  <c r="O96" i="42"/>
  <c r="O102" i="42"/>
  <c r="O72" i="42"/>
  <c r="O83" i="42"/>
  <c r="O74" i="42"/>
  <c r="O84" i="42"/>
  <c r="O71" i="42"/>
  <c r="O78" i="42"/>
  <c r="O103" i="42"/>
  <c r="O89" i="42"/>
  <c r="O82" i="42"/>
  <c r="O108" i="42"/>
  <c r="O75" i="42"/>
  <c r="O79" i="42"/>
  <c r="O86" i="42"/>
  <c r="O107" i="42"/>
  <c r="O95" i="42"/>
  <c r="O98" i="42"/>
  <c r="O91" i="42"/>
  <c r="O87" i="42"/>
  <c r="O97" i="42"/>
  <c r="O104" i="42"/>
  <c r="O69" i="42"/>
  <c r="O80" i="42"/>
  <c r="O94" i="42"/>
  <c r="O88" i="42"/>
  <c r="O99" i="42"/>
  <c r="O106" i="42"/>
  <c r="R98" i="42"/>
  <c r="R86" i="42"/>
  <c r="R102" i="42"/>
  <c r="R94" i="42"/>
  <c r="R106" i="42"/>
  <c r="R70" i="42"/>
  <c r="R92" i="42"/>
  <c r="R108" i="42"/>
  <c r="R75" i="42"/>
  <c r="R79" i="42"/>
  <c r="R91" i="42"/>
  <c r="R109" i="42"/>
  <c r="R107" i="42"/>
  <c r="R95" i="42"/>
  <c r="R72" i="42"/>
  <c r="R105" i="42"/>
  <c r="R87" i="42"/>
  <c r="R88" i="42"/>
  <c r="R80" i="42"/>
  <c r="R69" i="42"/>
  <c r="R73" i="42"/>
  <c r="R90" i="42"/>
  <c r="R101" i="42"/>
  <c r="R103" i="42"/>
  <c r="R78" i="42"/>
  <c r="R77" i="42"/>
  <c r="R76" i="42"/>
  <c r="R100" i="42"/>
  <c r="R81" i="42"/>
  <c r="R74" i="42"/>
  <c r="R104" i="42"/>
  <c r="R83" i="42"/>
  <c r="R85" i="42"/>
  <c r="R97" i="42"/>
  <c r="R96" i="42"/>
  <c r="R82" i="42"/>
  <c r="R71" i="42"/>
  <c r="R99" i="42"/>
  <c r="R89" i="42"/>
  <c r="R84" i="42"/>
  <c r="L28" i="42"/>
  <c r="L51" i="42"/>
  <c r="L67" i="42"/>
  <c r="L57" i="42"/>
  <c r="L25" i="42"/>
  <c r="L64" i="42"/>
  <c r="L48" i="42"/>
  <c r="L24" i="42"/>
  <c r="L20" i="42"/>
  <c r="L21" i="42"/>
  <c r="L43" i="42"/>
  <c r="L19" i="42"/>
  <c r="L15" i="42"/>
  <c r="L52" i="42"/>
  <c r="L16" i="42"/>
  <c r="L61" i="42"/>
  <c r="L13" i="42"/>
  <c r="L39" i="42"/>
  <c r="L63" i="42"/>
  <c r="L45" i="42"/>
  <c r="L9" i="42"/>
  <c r="L6" i="42"/>
  <c r="L56" i="42"/>
  <c r="L40" i="42"/>
  <c r="L36" i="42"/>
  <c r="L12" i="42"/>
  <c r="L35" i="42"/>
  <c r="L31" i="42"/>
  <c r="L27" i="42"/>
  <c r="L37" i="42"/>
  <c r="L60" i="42"/>
  <c r="L33" i="42"/>
  <c r="L7" i="42"/>
  <c r="L59" i="42"/>
  <c r="L53" i="42"/>
  <c r="L41" i="42"/>
  <c r="L17" i="42"/>
  <c r="L66" i="42"/>
  <c r="L50" i="42"/>
  <c r="L38" i="42"/>
  <c r="L26" i="42"/>
  <c r="L14" i="42"/>
  <c r="L44" i="42"/>
  <c r="L47" i="42"/>
  <c r="L8" i="42"/>
  <c r="L54" i="42"/>
  <c r="L34" i="42"/>
  <c r="L22" i="42"/>
  <c r="L10" i="42"/>
  <c r="L65" i="42"/>
  <c r="L29" i="42"/>
  <c r="L58" i="42"/>
  <c r="L18" i="42"/>
  <c r="L55" i="42"/>
  <c r="L32" i="42"/>
  <c r="L49" i="42"/>
  <c r="L23" i="42"/>
  <c r="L11" i="42"/>
  <c r="L46" i="42"/>
  <c r="L62" i="42"/>
  <c r="L42" i="42"/>
  <c r="L30" i="42"/>
  <c r="M58" i="42"/>
  <c r="M35" i="42"/>
  <c r="M66" i="42"/>
  <c r="M9" i="42"/>
  <c r="M56" i="42"/>
  <c r="M32" i="42"/>
  <c r="M63" i="42"/>
  <c r="M47" i="42"/>
  <c r="M31" i="42"/>
  <c r="M27" i="42"/>
  <c r="M54" i="42"/>
  <c r="M45" i="42"/>
  <c r="M37" i="42"/>
  <c r="M60" i="42"/>
  <c r="M28" i="42"/>
  <c r="M24" i="42"/>
  <c r="M20" i="42"/>
  <c r="M6" i="42"/>
  <c r="M49" i="42"/>
  <c r="M33" i="42"/>
  <c r="M67" i="42"/>
  <c r="M51" i="42"/>
  <c r="M50" i="42"/>
  <c r="M57" i="42"/>
  <c r="M25" i="42"/>
  <c r="M64" i="42"/>
  <c r="M48" i="42"/>
  <c r="M16" i="42"/>
  <c r="M21" i="42"/>
  <c r="M55" i="42"/>
  <c r="M43" i="42"/>
  <c r="M52" i="42"/>
  <c r="M12" i="42"/>
  <c r="M23" i="42"/>
  <c r="M65" i="42"/>
  <c r="M29" i="42"/>
  <c r="M18" i="42"/>
  <c r="M40" i="42"/>
  <c r="M39" i="42"/>
  <c r="M15" i="42"/>
  <c r="M11" i="42"/>
  <c r="M42" i="42"/>
  <c r="M30" i="42"/>
  <c r="M8" i="42"/>
  <c r="M61" i="42"/>
  <c r="M59" i="42"/>
  <c r="M7" i="42"/>
  <c r="M53" i="42"/>
  <c r="M41" i="42"/>
  <c r="M17" i="42"/>
  <c r="M38" i="42"/>
  <c r="M26" i="42"/>
  <c r="M14" i="42"/>
  <c r="M62" i="42"/>
  <c r="M19" i="42"/>
  <c r="M44" i="42"/>
  <c r="M36" i="42"/>
  <c r="M13" i="42"/>
  <c r="M34" i="42"/>
  <c r="M22" i="42"/>
  <c r="M10" i="42"/>
  <c r="M46" i="42"/>
  <c r="Q54" i="42"/>
  <c r="Q62" i="42"/>
  <c r="Q52" i="42"/>
  <c r="Q40" i="42"/>
  <c r="Q36" i="42"/>
  <c r="Q12" i="42"/>
  <c r="Q8" i="42"/>
  <c r="Q61" i="42"/>
  <c r="Q13" i="42"/>
  <c r="Q59" i="42"/>
  <c r="Q39" i="42"/>
  <c r="Q35" i="42"/>
  <c r="Q9" i="42"/>
  <c r="Q56" i="42"/>
  <c r="Q44" i="42"/>
  <c r="Q32" i="42"/>
  <c r="Q63" i="42"/>
  <c r="Q47" i="42"/>
  <c r="Q45" i="42"/>
  <c r="Q37" i="42"/>
  <c r="Q60" i="42"/>
  <c r="Q28" i="42"/>
  <c r="Q24" i="42"/>
  <c r="Q20" i="42"/>
  <c r="Q66" i="42"/>
  <c r="Q49" i="42"/>
  <c r="Q33" i="42"/>
  <c r="Q67" i="42"/>
  <c r="Q51" i="42"/>
  <c r="Q23" i="42"/>
  <c r="Q19" i="42"/>
  <c r="Q46" i="42"/>
  <c r="Q50" i="42"/>
  <c r="Q21" i="42"/>
  <c r="Q55" i="42"/>
  <c r="Q27" i="42"/>
  <c r="Q34" i="42"/>
  <c r="Q22" i="42"/>
  <c r="Q10" i="42"/>
  <c r="Q58" i="42"/>
  <c r="Q15" i="42"/>
  <c r="Q53" i="42"/>
  <c r="Q57" i="42"/>
  <c r="Q6" i="42"/>
  <c r="Q65" i="42"/>
  <c r="Q29" i="42"/>
  <c r="Q18" i="42"/>
  <c r="Q25" i="42"/>
  <c r="Q43" i="42"/>
  <c r="Q41" i="42"/>
  <c r="Q48" i="42"/>
  <c r="Q16" i="42"/>
  <c r="Q11" i="42"/>
  <c r="Q31" i="42"/>
  <c r="Q42" i="42"/>
  <c r="Q30" i="42"/>
  <c r="Q64" i="42"/>
  <c r="Q7" i="42"/>
  <c r="Q17" i="42"/>
  <c r="Q14" i="42"/>
  <c r="Q38" i="42"/>
  <c r="Q26" i="42"/>
  <c r="P47" i="42"/>
  <c r="P63" i="42"/>
  <c r="P59" i="42"/>
  <c r="P37" i="42"/>
  <c r="P60" i="42"/>
  <c r="P44" i="42"/>
  <c r="P32" i="42"/>
  <c r="P28" i="42"/>
  <c r="P49" i="42"/>
  <c r="P33" i="42"/>
  <c r="P23" i="42"/>
  <c r="P57" i="42"/>
  <c r="P25" i="42"/>
  <c r="P6" i="42"/>
  <c r="P64" i="42"/>
  <c r="P48" i="42"/>
  <c r="P20" i="42"/>
  <c r="P40" i="42"/>
  <c r="P21" i="42"/>
  <c r="P43" i="42"/>
  <c r="P52" i="42"/>
  <c r="P16" i="42"/>
  <c r="P12" i="42"/>
  <c r="P61" i="42"/>
  <c r="P13" i="42"/>
  <c r="P39" i="42"/>
  <c r="P19" i="42"/>
  <c r="P15" i="42"/>
  <c r="P11" i="42"/>
  <c r="P62" i="42"/>
  <c r="P46" i="42"/>
  <c r="P42" i="42"/>
  <c r="P30" i="42"/>
  <c r="P51" i="42"/>
  <c r="P35" i="42"/>
  <c r="P24" i="42"/>
  <c r="P36" i="42"/>
  <c r="P31" i="42"/>
  <c r="P7" i="42"/>
  <c r="P53" i="42"/>
  <c r="P41" i="42"/>
  <c r="P17" i="42"/>
  <c r="P66" i="42"/>
  <c r="P50" i="42"/>
  <c r="P38" i="42"/>
  <c r="P26" i="42"/>
  <c r="P14" i="42"/>
  <c r="P8" i="42"/>
  <c r="P65" i="42"/>
  <c r="P45" i="42"/>
  <c r="P9" i="42"/>
  <c r="P56" i="42"/>
  <c r="P55" i="42"/>
  <c r="P54" i="42"/>
  <c r="P34" i="42"/>
  <c r="P22" i="42"/>
  <c r="P10" i="42"/>
  <c r="P27" i="42"/>
  <c r="P29" i="42"/>
  <c r="P18" i="42"/>
  <c r="P67" i="42"/>
  <c r="P58" i="42"/>
  <c r="N42" i="42"/>
  <c r="N37" i="42"/>
  <c r="N60" i="42"/>
  <c r="N28" i="42"/>
  <c r="N24" i="42"/>
  <c r="N20" i="42"/>
  <c r="N45" i="42"/>
  <c r="N33" i="42"/>
  <c r="N67" i="42"/>
  <c r="N51" i="42"/>
  <c r="N43" i="42"/>
  <c r="N19" i="42"/>
  <c r="N15" i="42"/>
  <c r="N26" i="42"/>
  <c r="N61" i="42"/>
  <c r="N25" i="42"/>
  <c r="N64" i="42"/>
  <c r="N48" i="42"/>
  <c r="N44" i="42"/>
  <c r="N16" i="42"/>
  <c r="N21" i="42"/>
  <c r="N55" i="42"/>
  <c r="N39" i="42"/>
  <c r="N10" i="42"/>
  <c r="N6" i="42"/>
  <c r="N52" i="42"/>
  <c r="N40" i="42"/>
  <c r="N36" i="42"/>
  <c r="N12" i="42"/>
  <c r="N8" i="42"/>
  <c r="N13" i="42"/>
  <c r="N59" i="42"/>
  <c r="N35" i="42"/>
  <c r="N31" i="42"/>
  <c r="N27" i="42"/>
  <c r="N47" i="42"/>
  <c r="N7" i="42"/>
  <c r="N66" i="42"/>
  <c r="N50" i="42"/>
  <c r="N14" i="42"/>
  <c r="N11" i="42"/>
  <c r="N63" i="42"/>
  <c r="N23" i="42"/>
  <c r="N57" i="42"/>
  <c r="N41" i="42"/>
  <c r="N17" i="42"/>
  <c r="N65" i="42"/>
  <c r="N54" i="42"/>
  <c r="N38" i="42"/>
  <c r="N29" i="42"/>
  <c r="N32" i="42"/>
  <c r="N49" i="42"/>
  <c r="N58" i="42"/>
  <c r="N34" i="42"/>
  <c r="N22" i="42"/>
  <c r="N9" i="42"/>
  <c r="N56" i="42"/>
  <c r="N62" i="42"/>
  <c r="N30" i="42"/>
  <c r="N18" i="42"/>
  <c r="N53" i="42"/>
  <c r="N46" i="42"/>
  <c r="J14" i="42"/>
  <c r="J25" i="42"/>
  <c r="J53" i="42"/>
  <c r="J64" i="42"/>
  <c r="J48" i="42"/>
  <c r="J44" i="42"/>
  <c r="J16" i="42"/>
  <c r="J21" i="42"/>
  <c r="J55" i="42"/>
  <c r="J39" i="42"/>
  <c r="J52" i="42"/>
  <c r="J40" i="42"/>
  <c r="J36" i="42"/>
  <c r="J12" i="42"/>
  <c r="J8" i="42"/>
  <c r="J13" i="42"/>
  <c r="J59" i="42"/>
  <c r="J35" i="42"/>
  <c r="J31" i="42"/>
  <c r="J27" i="42"/>
  <c r="J49" i="42"/>
  <c r="J9" i="42"/>
  <c r="J56" i="42"/>
  <c r="J32" i="42"/>
  <c r="J63" i="42"/>
  <c r="J47" i="42"/>
  <c r="J23" i="42"/>
  <c r="J28" i="42"/>
  <c r="J20" i="42"/>
  <c r="J41" i="42"/>
  <c r="J17" i="42"/>
  <c r="J54" i="42"/>
  <c r="J42" i="42"/>
  <c r="J38" i="42"/>
  <c r="J37" i="42"/>
  <c r="J60" i="42"/>
  <c r="J33" i="42"/>
  <c r="J43" i="42"/>
  <c r="J19" i="42"/>
  <c r="J15" i="42"/>
  <c r="J45" i="42"/>
  <c r="J58" i="42"/>
  <c r="J34" i="42"/>
  <c r="J26" i="42"/>
  <c r="J22" i="42"/>
  <c r="J57" i="42"/>
  <c r="J7" i="42"/>
  <c r="J61" i="42"/>
  <c r="J6" i="42"/>
  <c r="J24" i="42"/>
  <c r="J51" i="42"/>
  <c r="J11" i="42"/>
  <c r="J29" i="42"/>
  <c r="J62" i="42"/>
  <c r="J46" i="42"/>
  <c r="J18" i="42"/>
  <c r="J10" i="42"/>
  <c r="J30" i="42"/>
  <c r="J65" i="42"/>
  <c r="J67" i="42"/>
  <c r="J50" i="42"/>
  <c r="J66" i="42"/>
  <c r="K60" i="42"/>
  <c r="K21" i="42"/>
  <c r="K45" i="42"/>
  <c r="K6" i="42"/>
  <c r="K40" i="42"/>
  <c r="K36" i="42"/>
  <c r="K12" i="42"/>
  <c r="K8" i="42"/>
  <c r="K13" i="42"/>
  <c r="K59" i="42"/>
  <c r="K35" i="42"/>
  <c r="K31" i="42"/>
  <c r="K27" i="42"/>
  <c r="K9" i="42"/>
  <c r="K32" i="42"/>
  <c r="K56" i="42"/>
  <c r="K49" i="42"/>
  <c r="K63" i="42"/>
  <c r="K47" i="42"/>
  <c r="K57" i="42"/>
  <c r="K44" i="42"/>
  <c r="K28" i="42"/>
  <c r="K24" i="42"/>
  <c r="K20" i="42"/>
  <c r="K67" i="42"/>
  <c r="K51" i="42"/>
  <c r="K43" i="42"/>
  <c r="K19" i="42"/>
  <c r="K15" i="42"/>
  <c r="K25" i="42"/>
  <c r="K39" i="42"/>
  <c r="K65" i="42"/>
  <c r="K17" i="42"/>
  <c r="K58" i="42"/>
  <c r="K18" i="42"/>
  <c r="K33" i="42"/>
  <c r="K41" i="42"/>
  <c r="K61" i="42"/>
  <c r="K55" i="42"/>
  <c r="K11" i="42"/>
  <c r="K29" i="42"/>
  <c r="K62" i="42"/>
  <c r="K46" i="42"/>
  <c r="K42" i="42"/>
  <c r="K30" i="42"/>
  <c r="K64" i="42"/>
  <c r="K37" i="42"/>
  <c r="K23" i="42"/>
  <c r="K7" i="42"/>
  <c r="K53" i="42"/>
  <c r="K66" i="42"/>
  <c r="K50" i="42"/>
  <c r="K38" i="42"/>
  <c r="K26" i="42"/>
  <c r="K14" i="42"/>
  <c r="K48" i="42"/>
  <c r="K16" i="42"/>
  <c r="K52" i="42"/>
  <c r="K54" i="42"/>
  <c r="K22" i="42"/>
  <c r="K10" i="42"/>
  <c r="K34" i="42"/>
  <c r="O56" i="42"/>
  <c r="O25" i="42"/>
  <c r="O16" i="42"/>
  <c r="O61" i="42"/>
  <c r="O55" i="42"/>
  <c r="O39" i="42"/>
  <c r="O17" i="42"/>
  <c r="O45" i="42"/>
  <c r="O40" i="42"/>
  <c r="O36" i="42"/>
  <c r="O12" i="42"/>
  <c r="O8" i="42"/>
  <c r="O59" i="42"/>
  <c r="O35" i="42"/>
  <c r="O31" i="42"/>
  <c r="O27" i="42"/>
  <c r="O37" i="42"/>
  <c r="O9" i="42"/>
  <c r="O32" i="42"/>
  <c r="O52" i="42"/>
  <c r="O49" i="42"/>
  <c r="O13" i="42"/>
  <c r="O63" i="42"/>
  <c r="O47" i="42"/>
  <c r="O23" i="42"/>
  <c r="O57" i="42"/>
  <c r="O44" i="42"/>
  <c r="O67" i="42"/>
  <c r="O48" i="42"/>
  <c r="O41" i="42"/>
  <c r="O54" i="42"/>
  <c r="O34" i="42"/>
  <c r="O22" i="42"/>
  <c r="O10" i="42"/>
  <c r="O19" i="42"/>
  <c r="O7" i="42"/>
  <c r="O6" i="42"/>
  <c r="O28" i="42"/>
  <c r="O20" i="42"/>
  <c r="O21" i="42"/>
  <c r="O65" i="42"/>
  <c r="O58" i="42"/>
  <c r="O18" i="42"/>
  <c r="O15" i="42"/>
  <c r="O33" i="42"/>
  <c r="O43" i="42"/>
  <c r="O11" i="42"/>
  <c r="O64" i="42"/>
  <c r="O62" i="42"/>
  <c r="O46" i="42"/>
  <c r="O42" i="42"/>
  <c r="O30" i="42"/>
  <c r="O24" i="42"/>
  <c r="O51" i="42"/>
  <c r="O53" i="42"/>
  <c r="O29" i="42"/>
  <c r="O38" i="42"/>
  <c r="O60" i="42"/>
  <c r="O50" i="42"/>
  <c r="O26" i="42"/>
  <c r="O66" i="42"/>
  <c r="O14" i="42"/>
  <c r="R38" i="42"/>
  <c r="R9" i="42"/>
  <c r="R56" i="42"/>
  <c r="R32" i="42"/>
  <c r="R57" i="42"/>
  <c r="R45" i="42"/>
  <c r="R63" i="42"/>
  <c r="R47" i="42"/>
  <c r="R23" i="42"/>
  <c r="R53" i="42"/>
  <c r="R37" i="42"/>
  <c r="R6" i="42"/>
  <c r="R60" i="42"/>
  <c r="R28" i="42"/>
  <c r="R24" i="42"/>
  <c r="R20" i="42"/>
  <c r="R33" i="42"/>
  <c r="R67" i="42"/>
  <c r="R51" i="42"/>
  <c r="R43" i="42"/>
  <c r="R25" i="42"/>
  <c r="R64" i="42"/>
  <c r="R48" i="42"/>
  <c r="R44" i="42"/>
  <c r="R16" i="42"/>
  <c r="R21" i="42"/>
  <c r="R55" i="42"/>
  <c r="R39" i="42"/>
  <c r="R36" i="42"/>
  <c r="R13" i="42"/>
  <c r="R31" i="42"/>
  <c r="R11" i="42"/>
  <c r="R29" i="42"/>
  <c r="R62" i="42"/>
  <c r="R46" i="42"/>
  <c r="R30" i="42"/>
  <c r="R26" i="42"/>
  <c r="R18" i="42"/>
  <c r="R65" i="42"/>
  <c r="R59" i="42"/>
  <c r="R52" i="42"/>
  <c r="R12" i="42"/>
  <c r="R7" i="42"/>
  <c r="R66" i="42"/>
  <c r="R50" i="42"/>
  <c r="R14" i="42"/>
  <c r="R10" i="42"/>
  <c r="R49" i="42"/>
  <c r="R40" i="42"/>
  <c r="R35" i="42"/>
  <c r="R27" i="42"/>
  <c r="R19" i="42"/>
  <c r="R15" i="42"/>
  <c r="R41" i="42"/>
  <c r="R17" i="42"/>
  <c r="R61" i="42"/>
  <c r="R54" i="42"/>
  <c r="R8" i="42"/>
  <c r="R22" i="42"/>
  <c r="R34" i="42"/>
  <c r="R58" i="42"/>
  <c r="R42" i="42"/>
  <c r="E37" i="30"/>
  <c r="H3" i="17"/>
  <c r="E3" i="81" s="1"/>
  <c r="E27" i="81" s="1"/>
  <c r="E51" i="81" s="1"/>
  <c r="E75" i="81" s="1"/>
  <c r="C65" i="30"/>
  <c r="F20" i="47"/>
  <c r="F25" i="79" s="1"/>
  <c r="F24" i="79" s="1"/>
  <c r="F9" i="47"/>
  <c r="C79" i="51"/>
  <c r="C3" i="47"/>
  <c r="C5" i="47" s="1"/>
  <c r="E3" i="17"/>
  <c r="C3" i="37"/>
  <c r="C24" i="37" s="1"/>
  <c r="D3" i="37"/>
  <c r="D24" i="37" s="1"/>
  <c r="F3" i="48"/>
  <c r="E29" i="4"/>
  <c r="F3" i="4"/>
  <c r="F9" i="4" s="1"/>
  <c r="E34" i="4"/>
  <c r="E11" i="4"/>
  <c r="E7" i="4"/>
  <c r="E6" i="4"/>
  <c r="E5" i="4" s="1"/>
  <c r="F22" i="47"/>
  <c r="F10" i="47"/>
  <c r="F16" i="47"/>
  <c r="F21" i="47"/>
  <c r="G36" i="39" s="1"/>
  <c r="F6" i="47"/>
  <c r="F11" i="47"/>
  <c r="F17" i="47"/>
  <c r="F4" i="47"/>
  <c r="F8" i="47"/>
  <c r="F12" i="47"/>
  <c r="F19" i="47"/>
  <c r="C20" i="51"/>
  <c r="C31" i="51"/>
  <c r="C42" i="51"/>
  <c r="C84" i="51" s="1"/>
  <c r="C47" i="51"/>
  <c r="C54" i="51"/>
  <c r="C61" i="51"/>
  <c r="C7" i="51"/>
  <c r="C73" i="51" s="1"/>
  <c r="C10" i="51"/>
  <c r="C74" i="51" s="1"/>
  <c r="C23" i="51"/>
  <c r="C37" i="51"/>
  <c r="C81" i="51" s="1"/>
  <c r="C43" i="51"/>
  <c r="C49" i="51"/>
  <c r="C56" i="51"/>
  <c r="C64" i="51"/>
  <c r="C8" i="51"/>
  <c r="C76" i="51" s="1"/>
  <c r="C63" i="51"/>
  <c r="C15" i="51"/>
  <c r="C39" i="51"/>
  <c r="C45" i="51"/>
  <c r="C52" i="51"/>
  <c r="C59" i="51"/>
  <c r="C65" i="51"/>
  <c r="C19" i="51"/>
  <c r="C30" i="51"/>
  <c r="C41" i="51"/>
  <c r="C46" i="51"/>
  <c r="C53" i="51"/>
  <c r="C60" i="51"/>
  <c r="C13" i="51"/>
  <c r="C6" i="51"/>
  <c r="C47" i="39" s="1"/>
  <c r="C9" i="51"/>
  <c r="C75" i="51" s="1"/>
  <c r="C3" i="39"/>
  <c r="F3" i="39"/>
  <c r="D3" i="39"/>
  <c r="E3" i="39"/>
  <c r="D3" i="4"/>
  <c r="D35" i="4" s="1"/>
  <c r="D51" i="30" s="1"/>
  <c r="D50" i="30" s="1"/>
  <c r="D3" i="17"/>
  <c r="E3" i="47"/>
  <c r="D3" i="48"/>
  <c r="E3" i="48"/>
  <c r="C12" i="51"/>
  <c r="C77" i="51" s="1"/>
  <c r="D3" i="51"/>
  <c r="C3" i="48"/>
  <c r="E27" i="4"/>
  <c r="E19" i="4"/>
  <c r="E25" i="4"/>
  <c r="E31" i="4"/>
  <c r="E23" i="4"/>
  <c r="E21" i="4"/>
  <c r="F3" i="30"/>
  <c r="H142" i="41" s="1"/>
  <c r="D3" i="30"/>
  <c r="F142" i="41" s="1"/>
  <c r="E3" i="30"/>
  <c r="G142" i="41" s="1"/>
  <c r="F24" i="37"/>
  <c r="F16" i="37"/>
  <c r="F31" i="37"/>
  <c r="F8" i="37"/>
  <c r="G5" i="37" s="1"/>
  <c r="C3" i="4"/>
  <c r="E3" i="37"/>
  <c r="F18" i="47"/>
  <c r="F9" i="79" s="1"/>
  <c r="F13" i="47"/>
  <c r="F7" i="47"/>
  <c r="D3" i="47"/>
  <c r="D14" i="47" s="1"/>
  <c r="C16" i="51"/>
  <c r="C21" i="51"/>
  <c r="C34" i="51"/>
  <c r="C40" i="51"/>
  <c r="C82" i="51" s="1"/>
  <c r="C62" i="51"/>
  <c r="C17" i="51"/>
  <c r="C22" i="51"/>
  <c r="C36" i="51"/>
  <c r="C80" i="51" s="1"/>
  <c r="C38" i="51"/>
  <c r="C83" i="51" s="1"/>
  <c r="F3" i="51"/>
  <c r="E3" i="51"/>
  <c r="E48" i="51" s="1"/>
  <c r="G37" i="89"/>
  <c r="C100" i="30" l="1"/>
  <c r="C46" i="30"/>
  <c r="C88" i="30"/>
  <c r="C99" i="30"/>
  <c r="D11" i="51"/>
  <c r="D57" i="51"/>
  <c r="D58" i="51"/>
  <c r="E11" i="51"/>
  <c r="E58" i="51"/>
  <c r="E57" i="51"/>
  <c r="F11" i="51"/>
  <c r="G11" i="51" s="1"/>
  <c r="F15" i="51"/>
  <c r="F58" i="51"/>
  <c r="G58" i="51" s="1"/>
  <c r="H58" i="51" s="1"/>
  <c r="I58" i="51" s="1"/>
  <c r="J58" i="51" s="1"/>
  <c r="K58" i="51" s="1"/>
  <c r="F57" i="51"/>
  <c r="G57" i="51" s="1"/>
  <c r="H57" i="51" s="1"/>
  <c r="I57" i="51" s="1"/>
  <c r="J57" i="51" s="1"/>
  <c r="K57" i="51" s="1"/>
  <c r="C9" i="88"/>
  <c r="G21" i="37"/>
  <c r="A9" i="37"/>
  <c r="E24" i="51"/>
  <c r="E25" i="51"/>
  <c r="E26" i="51"/>
  <c r="E27" i="51"/>
  <c r="E28" i="51"/>
  <c r="E29" i="51"/>
  <c r="E18" i="51"/>
  <c r="F24" i="51"/>
  <c r="G24" i="51" s="1"/>
  <c r="H24" i="51" s="1"/>
  <c r="I24" i="51" s="1"/>
  <c r="J24" i="51" s="1"/>
  <c r="K24" i="51" s="1"/>
  <c r="F25" i="51"/>
  <c r="F26" i="51"/>
  <c r="F27" i="51"/>
  <c r="G27" i="51" s="1"/>
  <c r="H27" i="51" s="1"/>
  <c r="I27" i="51" s="1"/>
  <c r="J27" i="51" s="1"/>
  <c r="K27" i="51" s="1"/>
  <c r="F28" i="51"/>
  <c r="G28" i="51" s="1"/>
  <c r="H28" i="51" s="1"/>
  <c r="I28" i="51" s="1"/>
  <c r="J28" i="51" s="1"/>
  <c r="K28" i="51" s="1"/>
  <c r="F29" i="51"/>
  <c r="F18" i="51"/>
  <c r="D24" i="51"/>
  <c r="D25" i="51"/>
  <c r="D26" i="51"/>
  <c r="D27" i="51"/>
  <c r="D28" i="51"/>
  <c r="D29" i="51"/>
  <c r="D18" i="51"/>
  <c r="E50" i="51"/>
  <c r="E52" i="51"/>
  <c r="E51" i="51"/>
  <c r="E49" i="51"/>
  <c r="F53" i="51"/>
  <c r="F50" i="51"/>
  <c r="F52" i="51"/>
  <c r="F49" i="51"/>
  <c r="F48" i="51"/>
  <c r="F51" i="51"/>
  <c r="G51" i="51" s="1"/>
  <c r="D30" i="51"/>
  <c r="D49" i="51"/>
  <c r="D52" i="51"/>
  <c r="D51" i="51"/>
  <c r="D48" i="51"/>
  <c r="D50" i="51"/>
  <c r="F55" i="79"/>
  <c r="C61" i="30"/>
  <c r="C120" i="30"/>
  <c r="E142" i="41"/>
  <c r="C98" i="30"/>
  <c r="C110" i="30"/>
  <c r="C29" i="37" s="1"/>
  <c r="C97" i="30"/>
  <c r="C80" i="30"/>
  <c r="C106" i="30"/>
  <c r="C70" i="30"/>
  <c r="C87" i="30"/>
  <c r="C64" i="30"/>
  <c r="C47" i="30"/>
  <c r="C109" i="30"/>
  <c r="C76" i="30"/>
  <c r="C101" i="30"/>
  <c r="C81" i="30"/>
  <c r="C82" i="30"/>
  <c r="C84" i="30"/>
  <c r="C52" i="30"/>
  <c r="C53" i="30" s="1"/>
  <c r="C60" i="30"/>
  <c r="C89" i="30"/>
  <c r="C68" i="30"/>
  <c r="C48" i="30"/>
  <c r="C62" i="30"/>
  <c r="C96" i="30"/>
  <c r="C105" i="30"/>
  <c r="C83" i="30"/>
  <c r="C45" i="30"/>
  <c r="C69" i="30"/>
  <c r="C74" i="30"/>
  <c r="C78" i="30"/>
  <c r="C67" i="30"/>
  <c r="C49" i="30"/>
  <c r="D76" i="30"/>
  <c r="F76" i="30"/>
  <c r="G77" i="30" s="1"/>
  <c r="E76" i="30"/>
  <c r="C4" i="4"/>
  <c r="C9" i="4"/>
  <c r="D4" i="4"/>
  <c r="D9" i="4"/>
  <c r="E22" i="48"/>
  <c r="E14" i="48"/>
  <c r="E7" i="48"/>
  <c r="E5" i="48"/>
  <c r="C14" i="48"/>
  <c r="C7" i="48"/>
  <c r="C5" i="48"/>
  <c r="C22" i="48"/>
  <c r="D14" i="48"/>
  <c r="D7" i="48"/>
  <c r="D5" i="48"/>
  <c r="D22" i="48"/>
  <c r="F22" i="48"/>
  <c r="F14" i="48"/>
  <c r="F7" i="48"/>
  <c r="K35" i="105" s="1"/>
  <c r="K4" i="105" s="1"/>
  <c r="F5" i="48"/>
  <c r="C8" i="37"/>
  <c r="D5" i="37" s="1"/>
  <c r="J21" i="90"/>
  <c r="J19" i="90"/>
  <c r="E32" i="90"/>
  <c r="F32" i="90" s="1"/>
  <c r="H32" i="90" s="1"/>
  <c r="I32" i="90" s="1"/>
  <c r="J32" i="90" s="1"/>
  <c r="E32" i="75"/>
  <c r="F1" i="30"/>
  <c r="C9" i="47"/>
  <c r="C14" i="47"/>
  <c r="F15" i="47"/>
  <c r="F57" i="79" s="1"/>
  <c r="I3" i="17"/>
  <c r="F3" i="81" s="1"/>
  <c r="F27" i="81" s="1"/>
  <c r="F51" i="81" s="1"/>
  <c r="F75" i="81" s="1"/>
  <c r="C90" i="51"/>
  <c r="C88" i="51"/>
  <c r="F16" i="56"/>
  <c r="F38" i="56" s="1"/>
  <c r="F110" i="30"/>
  <c r="D23" i="90"/>
  <c r="D110" i="30"/>
  <c r="E110" i="30"/>
  <c r="C23" i="90"/>
  <c r="C19" i="90" s="1"/>
  <c r="E11" i="47"/>
  <c r="E14" i="47"/>
  <c r="C17" i="47"/>
  <c r="F4" i="4"/>
  <c r="F7" i="4"/>
  <c r="C19" i="47"/>
  <c r="F37" i="30"/>
  <c r="C37" i="30"/>
  <c r="D37" i="30"/>
  <c r="F120" i="30"/>
  <c r="E120" i="30"/>
  <c r="D120" i="30"/>
  <c r="F31" i="4"/>
  <c r="F23" i="4"/>
  <c r="G23" i="4" s="1"/>
  <c r="E62" i="30"/>
  <c r="D62" i="30"/>
  <c r="F62" i="30"/>
  <c r="G62" i="30" s="1"/>
  <c r="F25" i="4"/>
  <c r="G25" i="4" s="1"/>
  <c r="D31" i="37"/>
  <c r="C10" i="47"/>
  <c r="D16" i="37"/>
  <c r="E12" i="37" s="1"/>
  <c r="F27" i="4"/>
  <c r="G27" i="4" s="1"/>
  <c r="C22" i="47"/>
  <c r="D8" i="37"/>
  <c r="E5" i="37" s="1"/>
  <c r="C21" i="47"/>
  <c r="C13" i="47"/>
  <c r="C70" i="51"/>
  <c r="D19" i="51"/>
  <c r="D7" i="51"/>
  <c r="D73" i="51" s="1"/>
  <c r="D53" i="51"/>
  <c r="D37" i="51"/>
  <c r="D81" i="51" s="1"/>
  <c r="D62" i="51"/>
  <c r="D34" i="51"/>
  <c r="D15" i="51"/>
  <c r="D38" i="51"/>
  <c r="D83" i="51" s="1"/>
  <c r="D45" i="51"/>
  <c r="C4" i="47"/>
  <c r="C12" i="47"/>
  <c r="C16" i="47"/>
  <c r="C18" i="47"/>
  <c r="C9" i="79" s="1"/>
  <c r="C11" i="47"/>
  <c r="C20" i="47"/>
  <c r="C7" i="47"/>
  <c r="C8" i="47"/>
  <c r="C6" i="47"/>
  <c r="D24" i="30"/>
  <c r="D47" i="30"/>
  <c r="D49" i="30"/>
  <c r="D48" i="30"/>
  <c r="F24" i="30"/>
  <c r="F48" i="30"/>
  <c r="F47" i="30"/>
  <c r="F49" i="30"/>
  <c r="E24" i="30"/>
  <c r="E48" i="30"/>
  <c r="E47" i="30"/>
  <c r="E49" i="30"/>
  <c r="E16" i="47"/>
  <c r="D64" i="30"/>
  <c r="D65" i="30"/>
  <c r="D67" i="30"/>
  <c r="D68" i="30"/>
  <c r="E64" i="30"/>
  <c r="E65" i="30"/>
  <c r="E67" i="30"/>
  <c r="E68" i="30"/>
  <c r="F64" i="30"/>
  <c r="G64" i="30" s="1"/>
  <c r="F65" i="30"/>
  <c r="G65" i="30" s="1"/>
  <c r="H65" i="30" s="1"/>
  <c r="F67" i="30"/>
  <c r="F68" i="30"/>
  <c r="F87" i="30"/>
  <c r="H87" i="30" s="1"/>
  <c r="F88" i="30"/>
  <c r="F89" i="30"/>
  <c r="G89" i="30" s="1"/>
  <c r="H89" i="30" s="1"/>
  <c r="I89" i="30" s="1"/>
  <c r="F78" i="30"/>
  <c r="G8" i="51" s="1"/>
  <c r="F74" i="30"/>
  <c r="F60" i="30"/>
  <c r="F61" i="30"/>
  <c r="F70" i="30"/>
  <c r="F69" i="30"/>
  <c r="F46" i="30"/>
  <c r="F52" i="30"/>
  <c r="H53" i="30" s="1"/>
  <c r="F45" i="30"/>
  <c r="E88" i="30"/>
  <c r="E89" i="30"/>
  <c r="E78" i="30"/>
  <c r="E87" i="30"/>
  <c r="E74" i="30"/>
  <c r="E61" i="30"/>
  <c r="E70" i="30"/>
  <c r="E69" i="30"/>
  <c r="E60" i="30"/>
  <c r="E52" i="30"/>
  <c r="E45" i="30"/>
  <c r="E46" i="30"/>
  <c r="E59" i="30"/>
  <c r="D89" i="30"/>
  <c r="D78" i="30"/>
  <c r="D88" i="30"/>
  <c r="D87" i="30"/>
  <c r="D74" i="30"/>
  <c r="D61" i="30"/>
  <c r="D70" i="30"/>
  <c r="D69" i="30"/>
  <c r="D52" i="30"/>
  <c r="D45" i="30"/>
  <c r="D46" i="30"/>
  <c r="E20" i="47"/>
  <c r="C66" i="51"/>
  <c r="C68" i="51" s="1"/>
  <c r="F6" i="4"/>
  <c r="F5" i="4" s="1"/>
  <c r="F21" i="4"/>
  <c r="F34" i="4"/>
  <c r="C31" i="37"/>
  <c r="C16" i="37"/>
  <c r="D12" i="37" s="1"/>
  <c r="C17" i="56"/>
  <c r="C39" i="56" s="1"/>
  <c r="F29" i="4"/>
  <c r="G29" i="4" s="1"/>
  <c r="F19" i="4"/>
  <c r="F11" i="4"/>
  <c r="D29" i="4"/>
  <c r="E30" i="4" s="1"/>
  <c r="D31" i="4"/>
  <c r="E32" i="4" s="1"/>
  <c r="D19" i="4"/>
  <c r="D11" i="4"/>
  <c r="D7" i="4"/>
  <c r="D6" i="4"/>
  <c r="D5" i="4" s="1"/>
  <c r="C11" i="4"/>
  <c r="C7" i="4"/>
  <c r="C6" i="4"/>
  <c r="C5" i="4" s="1"/>
  <c r="D36" i="51"/>
  <c r="D80" i="51" s="1"/>
  <c r="D61" i="51"/>
  <c r="D21" i="51"/>
  <c r="D46" i="51"/>
  <c r="D31" i="51"/>
  <c r="D65" i="51"/>
  <c r="D41" i="51"/>
  <c r="D63" i="51"/>
  <c r="D34" i="4"/>
  <c r="E7" i="47"/>
  <c r="E8" i="47"/>
  <c r="E13" i="47"/>
  <c r="E19" i="47"/>
  <c r="E9" i="47"/>
  <c r="E22" i="47"/>
  <c r="E5" i="47"/>
  <c r="E10" i="47"/>
  <c r="E17" i="47"/>
  <c r="E21" i="47"/>
  <c r="E6" i="47"/>
  <c r="E12" i="47"/>
  <c r="E4" i="47"/>
  <c r="F24" i="47" s="1"/>
  <c r="E18" i="47"/>
  <c r="E9" i="79" s="1"/>
  <c r="D12" i="51"/>
  <c r="D77" i="51" s="1"/>
  <c r="D47" i="51"/>
  <c r="D56" i="51"/>
  <c r="D17" i="51"/>
  <c r="D42" i="51"/>
  <c r="D84" i="51" s="1"/>
  <c r="D59" i="51"/>
  <c r="D22" i="51"/>
  <c r="D64" i="51"/>
  <c r="D6" i="51"/>
  <c r="D13" i="51"/>
  <c r="D8" i="51"/>
  <c r="D76" i="51" s="1"/>
  <c r="D35" i="51"/>
  <c r="D10" i="51"/>
  <c r="D74" i="51" s="1"/>
  <c r="D16" i="51"/>
  <c r="D54" i="51"/>
  <c r="D23" i="4"/>
  <c r="E24" i="4" s="1"/>
  <c r="D9" i="51"/>
  <c r="D75" i="51" s="1"/>
  <c r="D40" i="51"/>
  <c r="D82" i="51" s="1"/>
  <c r="D43" i="51"/>
  <c r="D60" i="51"/>
  <c r="D39" i="51"/>
  <c r="D20" i="51"/>
  <c r="D23" i="51"/>
  <c r="D25" i="4"/>
  <c r="E26" i="4" s="1"/>
  <c r="D21" i="4"/>
  <c r="D27" i="4"/>
  <c r="E28" i="4" s="1"/>
  <c r="F54" i="51"/>
  <c r="F19" i="51"/>
  <c r="F47" i="51"/>
  <c r="F38" i="51"/>
  <c r="F83" i="51" s="1"/>
  <c r="F13" i="51"/>
  <c r="F21" i="51"/>
  <c r="F36" i="51"/>
  <c r="F80" i="51" s="1"/>
  <c r="F59" i="51"/>
  <c r="F39" i="51"/>
  <c r="F23" i="51"/>
  <c r="F43" i="51"/>
  <c r="F61" i="51"/>
  <c r="F37" i="51"/>
  <c r="F81" i="51" s="1"/>
  <c r="F20" i="51"/>
  <c r="F10" i="51"/>
  <c r="F74" i="51" s="1"/>
  <c r="F8" i="51"/>
  <c r="F76" i="51" s="1"/>
  <c r="F6" i="51"/>
  <c r="F65" i="51"/>
  <c r="F22" i="51"/>
  <c r="F42" i="51"/>
  <c r="F84" i="51" s="1"/>
  <c r="F41" i="51"/>
  <c r="F12" i="51"/>
  <c r="F77" i="51" s="1"/>
  <c r="F7" i="51"/>
  <c r="F16" i="51"/>
  <c r="F60" i="51"/>
  <c r="F40" i="51"/>
  <c r="F82" i="51" s="1"/>
  <c r="F56" i="51"/>
  <c r="F34" i="51"/>
  <c r="F9" i="51"/>
  <c r="F75" i="51" s="1"/>
  <c r="F62" i="51"/>
  <c r="F30" i="51"/>
  <c r="F45" i="51"/>
  <c r="F63" i="51"/>
  <c r="F31" i="51"/>
  <c r="F17" i="51"/>
  <c r="F64" i="51"/>
  <c r="F35" i="51"/>
  <c r="F46" i="51"/>
  <c r="E31" i="37"/>
  <c r="E8" i="37"/>
  <c r="F5" i="37" s="1"/>
  <c r="E16" i="37"/>
  <c r="F12" i="37" s="1"/>
  <c r="E24" i="37"/>
  <c r="G12" i="37"/>
  <c r="C31" i="4"/>
  <c r="C32" i="4" s="1"/>
  <c r="C27" i="4"/>
  <c r="C28" i="4" s="1"/>
  <c r="C23" i="4"/>
  <c r="C35" i="4"/>
  <c r="C25" i="4"/>
  <c r="C21" i="4"/>
  <c r="C29" i="4"/>
  <c r="C30" i="4" s="1"/>
  <c r="C19" i="4"/>
  <c r="C34" i="4"/>
  <c r="F105" i="30"/>
  <c r="G105" i="30" s="1"/>
  <c r="F100" i="30"/>
  <c r="G100" i="30" s="1"/>
  <c r="H100" i="30" s="1"/>
  <c r="F99" i="30"/>
  <c r="G99" i="30" s="1"/>
  <c r="H99" i="30" s="1"/>
  <c r="F98" i="30"/>
  <c r="G98" i="30" s="1"/>
  <c r="H98" i="30" s="1"/>
  <c r="F101" i="30"/>
  <c r="G101" i="30" s="1"/>
  <c r="H101" i="30" s="1"/>
  <c r="F96" i="30"/>
  <c r="H96" i="30" s="1"/>
  <c r="F80" i="30"/>
  <c r="F84" i="30"/>
  <c r="G84" i="30" s="1"/>
  <c r="H84" i="30" s="1"/>
  <c r="F97" i="30"/>
  <c r="H97" i="30" s="1"/>
  <c r="F83" i="30"/>
  <c r="F81" i="30"/>
  <c r="G81" i="30" s="1"/>
  <c r="H81" i="30" s="1"/>
  <c r="F82" i="30"/>
  <c r="F106" i="30"/>
  <c r="G106" i="30" s="1"/>
  <c r="E84" i="30"/>
  <c r="E81" i="30"/>
  <c r="E106" i="30"/>
  <c r="E99" i="30"/>
  <c r="E97" i="30"/>
  <c r="E82" i="30"/>
  <c r="E105" i="30"/>
  <c r="E101" i="30"/>
  <c r="E83" i="30"/>
  <c r="E98" i="30"/>
  <c r="E100" i="30"/>
  <c r="E80" i="30"/>
  <c r="E96" i="30"/>
  <c r="E22" i="4"/>
  <c r="E53" i="79" s="1"/>
  <c r="C86" i="51"/>
  <c r="E63" i="51"/>
  <c r="E62" i="51"/>
  <c r="E17" i="51"/>
  <c r="E22" i="51"/>
  <c r="E36" i="51"/>
  <c r="E80" i="51" s="1"/>
  <c r="E38" i="51"/>
  <c r="E83" i="51" s="1"/>
  <c r="E43" i="51"/>
  <c r="E56" i="51"/>
  <c r="E64" i="51"/>
  <c r="E19" i="51"/>
  <c r="E23" i="51"/>
  <c r="E30" i="51"/>
  <c r="E41" i="51"/>
  <c r="E45" i="51"/>
  <c r="E59" i="51"/>
  <c r="E65" i="51"/>
  <c r="E7" i="51"/>
  <c r="E73" i="51" s="1"/>
  <c r="E9" i="51"/>
  <c r="E75" i="51" s="1"/>
  <c r="E12" i="51"/>
  <c r="E77" i="51" s="1"/>
  <c r="E16" i="51"/>
  <c r="E54" i="51"/>
  <c r="E6" i="51"/>
  <c r="E10" i="51"/>
  <c r="E74" i="51" s="1"/>
  <c r="E20" i="51"/>
  <c r="E31" i="51"/>
  <c r="E39" i="51"/>
  <c r="E46" i="51"/>
  <c r="E60" i="51"/>
  <c r="E21" i="51"/>
  <c r="E34" i="51"/>
  <c r="E40" i="51"/>
  <c r="E82" i="51" s="1"/>
  <c r="E47" i="51"/>
  <c r="E61" i="51"/>
  <c r="E8" i="51"/>
  <c r="E76" i="51" s="1"/>
  <c r="E15" i="51"/>
  <c r="E53" i="51"/>
  <c r="E13" i="51"/>
  <c r="E37" i="51"/>
  <c r="E81" i="51" s="1"/>
  <c r="E35" i="51"/>
  <c r="E42" i="51"/>
  <c r="E84" i="51" s="1"/>
  <c r="D7" i="47"/>
  <c r="D18" i="47"/>
  <c r="D9" i="79" s="1"/>
  <c r="D11" i="47"/>
  <c r="D21" i="47"/>
  <c r="D9" i="47"/>
  <c r="D22" i="47"/>
  <c r="D13" i="47"/>
  <c r="D10" i="47"/>
  <c r="D4" i="47"/>
  <c r="D12" i="47"/>
  <c r="D5" i="47"/>
  <c r="D25" i="47" s="1"/>
  <c r="D17" i="47"/>
  <c r="D6" i="47"/>
  <c r="D19" i="47"/>
  <c r="D16" i="47"/>
  <c r="D8" i="47"/>
  <c r="D20" i="47"/>
  <c r="G22" i="37"/>
  <c r="D84" i="30"/>
  <c r="D105" i="30"/>
  <c r="D82" i="30"/>
  <c r="D81" i="30"/>
  <c r="D98" i="30"/>
  <c r="D83" i="30"/>
  <c r="D106" i="30"/>
  <c r="D97" i="30"/>
  <c r="D80" i="30"/>
  <c r="D96" i="30"/>
  <c r="D101" i="30"/>
  <c r="D100" i="30"/>
  <c r="D99" i="30"/>
  <c r="E9" i="88" l="1"/>
  <c r="G61" i="30"/>
  <c r="C49" i="39"/>
  <c r="H80" i="30"/>
  <c r="H64" i="30"/>
  <c r="G11" i="47"/>
  <c r="D9" i="119" s="1"/>
  <c r="H11" i="51"/>
  <c r="I11" i="51" s="1"/>
  <c r="J11" i="51" s="1"/>
  <c r="K11" i="51" s="1"/>
  <c r="G25" i="48"/>
  <c r="H25" i="48" s="1"/>
  <c r="I25" i="48" s="1"/>
  <c r="J25" i="48" s="1"/>
  <c r="K25" i="48" s="1"/>
  <c r="C10" i="120"/>
  <c r="G10" i="120"/>
  <c r="G14" i="120"/>
  <c r="C14" i="120"/>
  <c r="E14" i="120" s="1"/>
  <c r="G59" i="51"/>
  <c r="E26" i="88"/>
  <c r="E24" i="88"/>
  <c r="D9" i="88"/>
  <c r="A63" i="51"/>
  <c r="A53" i="51"/>
  <c r="F9" i="88"/>
  <c r="A30" i="51"/>
  <c r="H105" i="30"/>
  <c r="H56" i="51" s="1"/>
  <c r="G56" i="51"/>
  <c r="A13" i="51"/>
  <c r="A43" i="51"/>
  <c r="C24" i="88"/>
  <c r="C26" i="88"/>
  <c r="H62" i="30"/>
  <c r="I62" i="30" s="1"/>
  <c r="J62" i="30" s="1"/>
  <c r="K62" i="30" s="1"/>
  <c r="G82" i="30"/>
  <c r="G18" i="51"/>
  <c r="H51" i="51"/>
  <c r="G18" i="39"/>
  <c r="G17" i="39"/>
  <c r="G48" i="51"/>
  <c r="H48" i="51" s="1"/>
  <c r="H27" i="4"/>
  <c r="I27" i="4" s="1"/>
  <c r="J27" i="4" s="1"/>
  <c r="K27" i="4" s="1"/>
  <c r="D34" i="119"/>
  <c r="H25" i="4"/>
  <c r="I25" i="4" s="1"/>
  <c r="J25" i="4" s="1"/>
  <c r="K25" i="4" s="1"/>
  <c r="D32" i="119"/>
  <c r="E25" i="47"/>
  <c r="H29" i="4"/>
  <c r="I29" i="4" s="1"/>
  <c r="J29" i="4" s="1"/>
  <c r="K29" i="4" s="1"/>
  <c r="D36" i="119"/>
  <c r="H23" i="4"/>
  <c r="I23" i="4" s="1"/>
  <c r="J23" i="4" s="1"/>
  <c r="K23" i="4" s="1"/>
  <c r="D30" i="119"/>
  <c r="F54" i="79"/>
  <c r="C31" i="74"/>
  <c r="C39" i="74" s="1"/>
  <c r="D55" i="79"/>
  <c r="D54" i="79" s="1"/>
  <c r="D24" i="47"/>
  <c r="E55" i="79"/>
  <c r="E54" i="79" s="1"/>
  <c r="E24" i="47"/>
  <c r="C55" i="79"/>
  <c r="C54" i="79" s="1"/>
  <c r="F25" i="47"/>
  <c r="G25" i="37"/>
  <c r="G41" i="51" s="1"/>
  <c r="A46" i="80"/>
  <c r="H75" i="30"/>
  <c r="H74" i="30" s="1"/>
  <c r="D53" i="30"/>
  <c r="H52" i="51"/>
  <c r="I101" i="30"/>
  <c r="H40" i="51"/>
  <c r="I97" i="30"/>
  <c r="H29" i="51"/>
  <c r="I84" i="30"/>
  <c r="H47" i="51"/>
  <c r="I99" i="30"/>
  <c r="H42" i="51"/>
  <c r="H84" i="51" s="1"/>
  <c r="I98" i="30"/>
  <c r="H12" i="51"/>
  <c r="I81" i="30"/>
  <c r="H37" i="51"/>
  <c r="H81" i="51" s="1"/>
  <c r="I96" i="30"/>
  <c r="H49" i="51"/>
  <c r="I100" i="30"/>
  <c r="I65" i="30"/>
  <c r="H12" i="47"/>
  <c r="H17" i="79" s="1"/>
  <c r="I53" i="30"/>
  <c r="J53" i="30" s="1"/>
  <c r="K53" i="30" s="1"/>
  <c r="J89" i="30"/>
  <c r="K89" i="30" s="1"/>
  <c r="I87" i="30"/>
  <c r="D27" i="111"/>
  <c r="E27" i="111" s="1"/>
  <c r="F27" i="111" s="1"/>
  <c r="H78" i="30"/>
  <c r="H8" i="51" s="1"/>
  <c r="G110" i="30"/>
  <c r="H110" i="30" s="1"/>
  <c r="F32" i="4"/>
  <c r="G31" i="4"/>
  <c r="F24" i="4"/>
  <c r="F38" i="79"/>
  <c r="F35" i="79"/>
  <c r="F41" i="79" s="1"/>
  <c r="E38" i="79"/>
  <c r="D38" i="79"/>
  <c r="F32" i="75"/>
  <c r="H32" i="75" s="1"/>
  <c r="I32" i="75" s="1"/>
  <c r="J32" i="75" s="1"/>
  <c r="G13" i="45"/>
  <c r="D113" i="111"/>
  <c r="E113" i="111" s="1"/>
  <c r="F113" i="111" s="1"/>
  <c r="K32" i="105"/>
  <c r="E67" i="105" s="1"/>
  <c r="I64" i="119" s="1"/>
  <c r="K18" i="105"/>
  <c r="E53" i="105" s="1"/>
  <c r="I50" i="119" s="1"/>
  <c r="K34" i="105"/>
  <c r="K25" i="105"/>
  <c r="E60" i="105" s="1"/>
  <c r="I57" i="119" s="1"/>
  <c r="K11" i="105"/>
  <c r="E46" i="105" s="1"/>
  <c r="I43" i="119" s="1"/>
  <c r="K27" i="105"/>
  <c r="E62" i="105" s="1"/>
  <c r="I59" i="119" s="1"/>
  <c r="K21" i="105"/>
  <c r="E56" i="105" s="1"/>
  <c r="I53" i="119" s="1"/>
  <c r="K28" i="105"/>
  <c r="E63" i="105" s="1"/>
  <c r="I60" i="119" s="1"/>
  <c r="K22" i="105"/>
  <c r="E57" i="105" s="1"/>
  <c r="I54" i="119" s="1"/>
  <c r="K5" i="105"/>
  <c r="E40" i="105" s="1"/>
  <c r="I37" i="119" s="1"/>
  <c r="K29" i="105"/>
  <c r="E64" i="105" s="1"/>
  <c r="I61" i="119" s="1"/>
  <c r="K15" i="105"/>
  <c r="E50" i="105" s="1"/>
  <c r="I47" i="119" s="1"/>
  <c r="K31" i="105"/>
  <c r="E66" i="105" s="1"/>
  <c r="I63" i="119" s="1"/>
  <c r="K8" i="105"/>
  <c r="E43" i="105" s="1"/>
  <c r="I40" i="119" s="1"/>
  <c r="K6" i="105"/>
  <c r="E41" i="105" s="1"/>
  <c r="I38" i="119" s="1"/>
  <c r="K26" i="105"/>
  <c r="E61" i="105" s="1"/>
  <c r="I58" i="119" s="1"/>
  <c r="K13" i="105"/>
  <c r="E48" i="105" s="1"/>
  <c r="I45" i="119" s="1"/>
  <c r="K33" i="105"/>
  <c r="E68" i="105" s="1"/>
  <c r="I65" i="119" s="1"/>
  <c r="K19" i="105"/>
  <c r="E54" i="105" s="1"/>
  <c r="I51" i="119" s="1"/>
  <c r="K12" i="105"/>
  <c r="E47" i="105" s="1"/>
  <c r="I44" i="119" s="1"/>
  <c r="K14" i="105"/>
  <c r="E49" i="105" s="1"/>
  <c r="I46" i="119" s="1"/>
  <c r="K30" i="105"/>
  <c r="E65" i="105" s="1"/>
  <c r="I62" i="119" s="1"/>
  <c r="K17" i="105"/>
  <c r="E52" i="105" s="1"/>
  <c r="I49" i="119" s="1"/>
  <c r="K7" i="105"/>
  <c r="E42" i="105" s="1"/>
  <c r="I39" i="119" s="1"/>
  <c r="K23" i="105"/>
  <c r="E58" i="105" s="1"/>
  <c r="I55" i="119" s="1"/>
  <c r="K9" i="105"/>
  <c r="E44" i="105" s="1"/>
  <c r="I41" i="119" s="1"/>
  <c r="K24" i="105"/>
  <c r="E59" i="105" s="1"/>
  <c r="I56" i="119" s="1"/>
  <c r="E39" i="105"/>
  <c r="K20" i="105"/>
  <c r="E55" i="105" s="1"/>
  <c r="I52" i="119" s="1"/>
  <c r="K10" i="105"/>
  <c r="E45" i="105" s="1"/>
  <c r="I42" i="119" s="1"/>
  <c r="K16" i="105"/>
  <c r="E51" i="105" s="1"/>
  <c r="I48" i="119" s="1"/>
  <c r="J35" i="105"/>
  <c r="J37" i="105" s="1"/>
  <c r="J18" i="90"/>
  <c r="J17" i="90" s="1"/>
  <c r="C5" i="79"/>
  <c r="C43" i="79"/>
  <c r="J40" i="17"/>
  <c r="D9" i="90"/>
  <c r="C38" i="74"/>
  <c r="C36" i="74" s="1"/>
  <c r="C33" i="90"/>
  <c r="B33" i="75"/>
  <c r="B33" i="90"/>
  <c r="C33" i="75"/>
  <c r="D10" i="90"/>
  <c r="M29" i="92"/>
  <c r="F29" i="92" s="1"/>
  <c r="M30" i="92"/>
  <c r="F30" i="92" s="1"/>
  <c r="C21" i="90"/>
  <c r="C18" i="90" s="1"/>
  <c r="D21" i="90"/>
  <c r="D19" i="90"/>
  <c r="C16" i="56"/>
  <c r="C38" i="56" s="1"/>
  <c r="D15" i="47"/>
  <c r="D57" i="79" s="1"/>
  <c r="C15" i="47"/>
  <c r="C57" i="79" s="1"/>
  <c r="E15" i="47"/>
  <c r="E57" i="79" s="1"/>
  <c r="J3" i="17"/>
  <c r="G3" i="81" s="1"/>
  <c r="G27" i="81" s="1"/>
  <c r="G51" i="81" s="1"/>
  <c r="G75" i="81" s="1"/>
  <c r="F73" i="51"/>
  <c r="F88" i="51" s="1"/>
  <c r="E88" i="51"/>
  <c r="D88" i="51"/>
  <c r="D89" i="51" s="1"/>
  <c r="E16" i="56"/>
  <c r="E38" i="56" s="1"/>
  <c r="D59" i="30"/>
  <c r="D16" i="56"/>
  <c r="D38" i="56" s="1"/>
  <c r="C59" i="30"/>
  <c r="H60" i="30"/>
  <c r="I60" i="30" s="1"/>
  <c r="J60" i="30" s="1"/>
  <c r="K60" i="30" s="1"/>
  <c r="D49" i="39"/>
  <c r="D29" i="37"/>
  <c r="E29" i="37"/>
  <c r="E49" i="39"/>
  <c r="F29" i="37"/>
  <c r="F49" i="39"/>
  <c r="G19" i="79"/>
  <c r="E53" i="30"/>
  <c r="F53" i="30"/>
  <c r="G12" i="47"/>
  <c r="D10" i="119" s="1"/>
  <c r="F66" i="51"/>
  <c r="F68" i="51" s="1"/>
  <c r="G11" i="4"/>
  <c r="G120" i="30"/>
  <c r="F26" i="4"/>
  <c r="G88" i="30"/>
  <c r="F28" i="4"/>
  <c r="E70" i="51"/>
  <c r="F70" i="51"/>
  <c r="D17" i="56"/>
  <c r="D39" i="56" s="1"/>
  <c r="D70" i="51"/>
  <c r="G37" i="51"/>
  <c r="G81" i="51" s="1"/>
  <c r="G70" i="30"/>
  <c r="H70" i="30" s="1"/>
  <c r="I70" i="30" s="1"/>
  <c r="J70" i="30" s="1"/>
  <c r="K70" i="30" s="1"/>
  <c r="G40" i="51"/>
  <c r="D57" i="111" s="1"/>
  <c r="E57" i="111" s="1"/>
  <c r="F57" i="111" s="1"/>
  <c r="G49" i="51"/>
  <c r="G16" i="39" s="1"/>
  <c r="E79" i="51"/>
  <c r="D86" i="30"/>
  <c r="F79" i="51"/>
  <c r="E86" i="30"/>
  <c r="D79" i="51"/>
  <c r="C86" i="30"/>
  <c r="F22" i="4"/>
  <c r="F53" i="79" s="1"/>
  <c r="F30" i="4"/>
  <c r="D30" i="4"/>
  <c r="E47" i="39"/>
  <c r="F17" i="56"/>
  <c r="F39" i="56" s="1"/>
  <c r="E17" i="56"/>
  <c r="E39" i="56" s="1"/>
  <c r="F47" i="39"/>
  <c r="G46" i="39" s="1"/>
  <c r="D47" i="39"/>
  <c r="E66" i="51"/>
  <c r="E68" i="51" s="1"/>
  <c r="D66" i="51"/>
  <c r="D68" i="51" s="1"/>
  <c r="D32" i="4"/>
  <c r="D26" i="4"/>
  <c r="D22" i="4"/>
  <c r="D53" i="79" s="1"/>
  <c r="D28" i="4"/>
  <c r="G29" i="51"/>
  <c r="G13" i="39" s="1"/>
  <c r="G42" i="51"/>
  <c r="G47" i="51"/>
  <c r="G8" i="45"/>
  <c r="G34" i="39"/>
  <c r="D111" i="111" s="1"/>
  <c r="E111" i="111" s="1"/>
  <c r="F111" i="111" s="1"/>
  <c r="E18" i="4"/>
  <c r="E16" i="4" s="1"/>
  <c r="G62" i="51"/>
  <c r="D78" i="111" s="1"/>
  <c r="E78" i="111" s="1"/>
  <c r="F78" i="111" s="1"/>
  <c r="G52" i="51"/>
  <c r="G19" i="39" s="1"/>
  <c r="C24" i="4"/>
  <c r="C22" i="4"/>
  <c r="C53" i="79" s="1"/>
  <c r="D24" i="4"/>
  <c r="H77" i="51" l="1"/>
  <c r="A45" i="80"/>
  <c r="H77" i="30"/>
  <c r="H76" i="30" s="1"/>
  <c r="I77" i="30" s="1"/>
  <c r="I76" i="30" s="1"/>
  <c r="E69" i="105"/>
  <c r="I66" i="119" s="1"/>
  <c r="H10" i="120"/>
  <c r="I10" i="120" s="1"/>
  <c r="G13" i="120"/>
  <c r="C13" i="120"/>
  <c r="C8" i="120"/>
  <c r="E10" i="120"/>
  <c r="E51" i="79"/>
  <c r="E50" i="79" s="1"/>
  <c r="H14" i="120"/>
  <c r="I14" i="120" s="1"/>
  <c r="G24" i="48"/>
  <c r="G8" i="39" s="1"/>
  <c r="D88" i="111" s="1"/>
  <c r="E88" i="111" s="1"/>
  <c r="F88" i="111" s="1"/>
  <c r="I64" i="30"/>
  <c r="H11" i="47"/>
  <c r="H16" i="79" s="1"/>
  <c r="I36" i="119"/>
  <c r="E70" i="105"/>
  <c r="I67" i="119" s="1"/>
  <c r="D26" i="88"/>
  <c r="D24" i="88"/>
  <c r="I105" i="30"/>
  <c r="J105" i="30" s="1"/>
  <c r="F26" i="88"/>
  <c r="F24" i="88"/>
  <c r="H18" i="51"/>
  <c r="H13" i="39"/>
  <c r="H16" i="39"/>
  <c r="H19" i="39"/>
  <c r="G15" i="39"/>
  <c r="I51" i="51"/>
  <c r="H18" i="39"/>
  <c r="H17" i="39"/>
  <c r="H15" i="39"/>
  <c r="I48" i="51"/>
  <c r="F51" i="79"/>
  <c r="F50" i="79" s="1"/>
  <c r="C51" i="79"/>
  <c r="C50" i="79" s="1"/>
  <c r="D51" i="79"/>
  <c r="D50" i="79" s="1"/>
  <c r="H31" i="4"/>
  <c r="I31" i="4" s="1"/>
  <c r="J31" i="4" s="1"/>
  <c r="K31" i="4" s="1"/>
  <c r="D38" i="119"/>
  <c r="H34" i="39"/>
  <c r="D58" i="111"/>
  <c r="E58" i="111" s="1"/>
  <c r="F58" i="111" s="1"/>
  <c r="H8" i="45"/>
  <c r="B181" i="30"/>
  <c r="C33" i="103" s="1"/>
  <c r="C36" i="103" s="1"/>
  <c r="I75" i="30"/>
  <c r="I74" i="30" s="1"/>
  <c r="J75" i="30" s="1"/>
  <c r="J74" i="30" s="1"/>
  <c r="K75" i="30" s="1"/>
  <c r="K74" i="30" s="1"/>
  <c r="H9" i="51"/>
  <c r="H75" i="51" s="1"/>
  <c r="I37" i="89"/>
  <c r="I110" i="30"/>
  <c r="H49" i="39"/>
  <c r="H29" i="37"/>
  <c r="H16" i="45" s="1"/>
  <c r="J65" i="30"/>
  <c r="I12" i="47"/>
  <c r="I17" i="79" s="1"/>
  <c r="J98" i="30"/>
  <c r="I42" i="51"/>
  <c r="I84" i="51" s="1"/>
  <c r="J99" i="30"/>
  <c r="I47" i="51"/>
  <c r="I14" i="39" s="1"/>
  <c r="J97" i="30"/>
  <c r="I40" i="51"/>
  <c r="J100" i="30"/>
  <c r="I49" i="51"/>
  <c r="I16" i="39" s="1"/>
  <c r="H14" i="39"/>
  <c r="H25" i="89"/>
  <c r="H82" i="51"/>
  <c r="J81" i="30"/>
  <c r="I12" i="51"/>
  <c r="I77" i="51" s="1"/>
  <c r="J84" i="30"/>
  <c r="I29" i="51"/>
  <c r="J101" i="30"/>
  <c r="I52" i="51"/>
  <c r="I19" i="39" s="1"/>
  <c r="N70" i="105"/>
  <c r="H120" i="30"/>
  <c r="I80" i="30"/>
  <c r="J96" i="30"/>
  <c r="I37" i="51"/>
  <c r="I81" i="51" s="1"/>
  <c r="G76" i="51"/>
  <c r="J87" i="30"/>
  <c r="I78" i="30"/>
  <c r="I8" i="51" s="1"/>
  <c r="H76" i="51"/>
  <c r="G9" i="47"/>
  <c r="D7" i="119" s="1"/>
  <c r="H61" i="30"/>
  <c r="I61" i="30" s="1"/>
  <c r="J61" i="30" s="1"/>
  <c r="K61" i="30" s="1"/>
  <c r="H88" i="30"/>
  <c r="I88" i="30" s="1"/>
  <c r="C18" i="4"/>
  <c r="C16" i="4" s="1"/>
  <c r="G14" i="45"/>
  <c r="D115" i="111"/>
  <c r="E115" i="111" s="1"/>
  <c r="F115" i="111" s="1"/>
  <c r="D96" i="111"/>
  <c r="E96" i="111" s="1"/>
  <c r="F96" i="111" s="1"/>
  <c r="D69" i="111"/>
  <c r="E69" i="111" s="1"/>
  <c r="F69" i="111" s="1"/>
  <c r="D93" i="111"/>
  <c r="E93" i="111" s="1"/>
  <c r="F93" i="111" s="1"/>
  <c r="D46" i="111"/>
  <c r="E46" i="111" s="1"/>
  <c r="F46" i="111" s="1"/>
  <c r="G7" i="45"/>
  <c r="D84" i="111"/>
  <c r="E84" i="111" s="1"/>
  <c r="F84" i="111" s="1"/>
  <c r="D95" i="111"/>
  <c r="E95" i="111" s="1"/>
  <c r="F95" i="111" s="1"/>
  <c r="D66" i="111"/>
  <c r="E66" i="111" s="1"/>
  <c r="F66" i="111" s="1"/>
  <c r="D54" i="111"/>
  <c r="E54" i="111" s="1"/>
  <c r="F54" i="111" s="1"/>
  <c r="G14" i="39"/>
  <c r="D94" i="111" s="1"/>
  <c r="E94" i="111" s="1"/>
  <c r="F94" i="111" s="1"/>
  <c r="D65" i="111"/>
  <c r="E65" i="111" s="1"/>
  <c r="F65" i="111" s="1"/>
  <c r="G84" i="51"/>
  <c r="D59" i="111"/>
  <c r="E59" i="111" s="1"/>
  <c r="F59" i="111" s="1"/>
  <c r="G17" i="79"/>
  <c r="D12" i="111"/>
  <c r="E12" i="111" s="1"/>
  <c r="F12" i="111" s="1"/>
  <c r="G35" i="105"/>
  <c r="G37" i="105" s="1"/>
  <c r="E5" i="79"/>
  <c r="E43" i="79"/>
  <c r="D5" i="79"/>
  <c r="D43" i="79"/>
  <c r="N30" i="92"/>
  <c r="G30" i="92" s="1"/>
  <c r="J42" i="17"/>
  <c r="I7" i="103" s="1"/>
  <c r="I5" i="103"/>
  <c r="F43" i="79"/>
  <c r="F5" i="79"/>
  <c r="B39" i="90"/>
  <c r="E10" i="90"/>
  <c r="B39" i="75"/>
  <c r="E9" i="90"/>
  <c r="D33" i="90"/>
  <c r="C39" i="90"/>
  <c r="D33" i="75"/>
  <c r="C39" i="75"/>
  <c r="C34" i="90"/>
  <c r="C34" i="75"/>
  <c r="C30" i="75" s="1"/>
  <c r="G82" i="51"/>
  <c r="G25" i="89"/>
  <c r="C24" i="90"/>
  <c r="I31" i="92" s="1"/>
  <c r="B31" i="92" s="1"/>
  <c r="B12" i="90"/>
  <c r="C12" i="90"/>
  <c r="C12" i="74"/>
  <c r="C12" i="75"/>
  <c r="D12" i="75" s="1"/>
  <c r="B12" i="75"/>
  <c r="D18" i="90"/>
  <c r="E39" i="4"/>
  <c r="K3" i="17"/>
  <c r="H3" i="81" s="1"/>
  <c r="H27" i="81" s="1"/>
  <c r="H51" i="81" s="1"/>
  <c r="H75" i="81" s="1"/>
  <c r="E89" i="51"/>
  <c r="F89" i="51"/>
  <c r="D86" i="51"/>
  <c r="D87" i="51" s="1"/>
  <c r="D90" i="51"/>
  <c r="D91" i="51" s="1"/>
  <c r="F86" i="51"/>
  <c r="F90" i="51"/>
  <c r="E86" i="51"/>
  <c r="E90" i="51"/>
  <c r="G12" i="51"/>
  <c r="G77" i="51" s="1"/>
  <c r="G9" i="51"/>
  <c r="G8" i="47"/>
  <c r="G17" i="51"/>
  <c r="H17" i="51" s="1"/>
  <c r="H82" i="30"/>
  <c r="G17" i="47"/>
  <c r="D15" i="119" s="1"/>
  <c r="G16" i="47"/>
  <c r="D14" i="119" s="1"/>
  <c r="D18" i="4"/>
  <c r="D16" i="4" s="1"/>
  <c r="H24" i="48"/>
  <c r="H35" i="48" s="1"/>
  <c r="I56" i="51" l="1"/>
  <c r="B186" i="30"/>
  <c r="C40" i="103" s="1"/>
  <c r="C43" i="103" s="1"/>
  <c r="E8" i="120"/>
  <c r="G12" i="120"/>
  <c r="H13" i="120"/>
  <c r="I13" i="120" s="1"/>
  <c r="J64" i="30"/>
  <c r="I11" i="47"/>
  <c r="I16" i="79" s="1"/>
  <c r="E13" i="120"/>
  <c r="C12" i="120"/>
  <c r="E12" i="120" s="1"/>
  <c r="G22" i="48"/>
  <c r="H22" i="48" s="1"/>
  <c r="G35" i="48"/>
  <c r="N8" i="105"/>
  <c r="G9" i="48" s="1"/>
  <c r="I18" i="51"/>
  <c r="I13" i="39"/>
  <c r="J48" i="51"/>
  <c r="I15" i="39"/>
  <c r="J51" i="51"/>
  <c r="I18" i="39"/>
  <c r="I17" i="39"/>
  <c r="N40" i="105"/>
  <c r="R37" i="119" s="1"/>
  <c r="R67" i="119"/>
  <c r="H8" i="47"/>
  <c r="H13" i="79" s="1"/>
  <c r="D6" i="119"/>
  <c r="G4" i="79"/>
  <c r="J77" i="30"/>
  <c r="J76" i="30" s="1"/>
  <c r="N46" i="105"/>
  <c r="R43" i="119" s="1"/>
  <c r="N16" i="105"/>
  <c r="G17" i="48" s="1"/>
  <c r="N39" i="105"/>
  <c r="R36" i="119" s="1"/>
  <c r="I120" i="30"/>
  <c r="N105" i="105"/>
  <c r="N58" i="105"/>
  <c r="R55" i="119" s="1"/>
  <c r="N52" i="105"/>
  <c r="R49" i="119" s="1"/>
  <c r="N69" i="105"/>
  <c r="R66" i="119" s="1"/>
  <c r="N54" i="105"/>
  <c r="R51" i="119" s="1"/>
  <c r="N50" i="105"/>
  <c r="R47" i="119" s="1"/>
  <c r="N64" i="105"/>
  <c r="R61" i="119" s="1"/>
  <c r="N57" i="105"/>
  <c r="R54" i="119" s="1"/>
  <c r="N51" i="105"/>
  <c r="R48" i="119" s="1"/>
  <c r="N55" i="105"/>
  <c r="R52" i="119" s="1"/>
  <c r="N59" i="105"/>
  <c r="R56" i="119" s="1"/>
  <c r="N43" i="105"/>
  <c r="R40" i="119" s="1"/>
  <c r="N67" i="105"/>
  <c r="R64" i="119" s="1"/>
  <c r="N66" i="105"/>
  <c r="R63" i="119" s="1"/>
  <c r="N48" i="105"/>
  <c r="R45" i="119" s="1"/>
  <c r="N45" i="105"/>
  <c r="R42" i="119" s="1"/>
  <c r="N61" i="105"/>
  <c r="R58" i="119" s="1"/>
  <c r="N47" i="105"/>
  <c r="R44" i="119" s="1"/>
  <c r="N53" i="105"/>
  <c r="R50" i="119" s="1"/>
  <c r="N56" i="105"/>
  <c r="R53" i="119" s="1"/>
  <c r="N60" i="105"/>
  <c r="R57" i="119" s="1"/>
  <c r="N68" i="105"/>
  <c r="R65" i="119" s="1"/>
  <c r="N62" i="105"/>
  <c r="R59" i="119" s="1"/>
  <c r="N65" i="105"/>
  <c r="R62" i="119" s="1"/>
  <c r="N44" i="105"/>
  <c r="R41" i="119" s="1"/>
  <c r="N42" i="105"/>
  <c r="R39" i="119" s="1"/>
  <c r="N41" i="105"/>
  <c r="R38" i="119" s="1"/>
  <c r="N49" i="105"/>
  <c r="R46" i="119" s="1"/>
  <c r="N63" i="105"/>
  <c r="R60" i="119" s="1"/>
  <c r="G22" i="51"/>
  <c r="D40" i="111" s="1"/>
  <c r="E40" i="111" s="1"/>
  <c r="F40" i="111" s="1"/>
  <c r="H11" i="39"/>
  <c r="I17" i="51"/>
  <c r="I11" i="39" s="1"/>
  <c r="K84" i="30"/>
  <c r="K29" i="51" s="1"/>
  <c r="J29" i="51"/>
  <c r="K81" i="30"/>
  <c r="K12" i="51" s="1"/>
  <c r="K77" i="51" s="1"/>
  <c r="J12" i="51"/>
  <c r="J77" i="51" s="1"/>
  <c r="K97" i="30"/>
  <c r="K40" i="51" s="1"/>
  <c r="J40" i="51"/>
  <c r="K98" i="30"/>
  <c r="K42" i="51" s="1"/>
  <c r="K84" i="51" s="1"/>
  <c r="J42" i="51"/>
  <c r="J84" i="51" s="1"/>
  <c r="I82" i="51"/>
  <c r="I25" i="89"/>
  <c r="K96" i="30"/>
  <c r="K37" i="51" s="1"/>
  <c r="K81" i="51" s="1"/>
  <c r="J37" i="51"/>
  <c r="J81" i="51" s="1"/>
  <c r="K105" i="30"/>
  <c r="K56" i="51" s="1"/>
  <c r="J56" i="51"/>
  <c r="J110" i="30"/>
  <c r="I49" i="39"/>
  <c r="I29" i="37"/>
  <c r="I16" i="45" s="1"/>
  <c r="H15" i="51"/>
  <c r="I82" i="30"/>
  <c r="I9" i="51"/>
  <c r="I75" i="51" s="1"/>
  <c r="K101" i="30"/>
  <c r="K52" i="51" s="1"/>
  <c r="J52" i="51"/>
  <c r="J19" i="39" s="1"/>
  <c r="K100" i="30"/>
  <c r="K49" i="51" s="1"/>
  <c r="J49" i="51"/>
  <c r="J16" i="39" s="1"/>
  <c r="K99" i="30"/>
  <c r="K47" i="51" s="1"/>
  <c r="J47" i="51"/>
  <c r="J14" i="39" s="1"/>
  <c r="K65" i="30"/>
  <c r="K12" i="47" s="1"/>
  <c r="K17" i="79" s="1"/>
  <c r="J12" i="47"/>
  <c r="J17" i="79" s="1"/>
  <c r="J80" i="30"/>
  <c r="J9" i="51" s="1"/>
  <c r="J75" i="51" s="1"/>
  <c r="I76" i="51"/>
  <c r="J78" i="30"/>
  <c r="J8" i="51" s="1"/>
  <c r="H9" i="47"/>
  <c r="K87" i="30"/>
  <c r="J88" i="30"/>
  <c r="K88" i="30" s="1"/>
  <c r="D74" i="111"/>
  <c r="E74" i="111" s="1"/>
  <c r="F74" i="111" s="1"/>
  <c r="E34" i="79"/>
  <c r="E33" i="79" s="1"/>
  <c r="D34" i="79"/>
  <c r="E12" i="75"/>
  <c r="G11" i="39"/>
  <c r="D91" i="111" s="1"/>
  <c r="E91" i="111" s="1"/>
  <c r="F91" i="111" s="1"/>
  <c r="D35" i="111"/>
  <c r="E35" i="111" s="1"/>
  <c r="F35" i="111" s="1"/>
  <c r="D30" i="111"/>
  <c r="E30" i="111" s="1"/>
  <c r="F30" i="111" s="1"/>
  <c r="G75" i="51"/>
  <c r="D28" i="111"/>
  <c r="E28" i="111" s="1"/>
  <c r="F28" i="111" s="1"/>
  <c r="G20" i="79"/>
  <c r="D16" i="111"/>
  <c r="E16" i="111" s="1"/>
  <c r="F16" i="111" s="1"/>
  <c r="G14" i="79"/>
  <c r="D9" i="111"/>
  <c r="E9" i="111" s="1"/>
  <c r="F9" i="111" s="1"/>
  <c r="G21" i="79"/>
  <c r="D17" i="111"/>
  <c r="E17" i="111" s="1"/>
  <c r="F17" i="111" s="1"/>
  <c r="G16" i="79"/>
  <c r="D11" i="111"/>
  <c r="E11" i="111" s="1"/>
  <c r="F11" i="111" s="1"/>
  <c r="G13" i="79"/>
  <c r="D8" i="111"/>
  <c r="E8" i="111" s="1"/>
  <c r="F8" i="111" s="1"/>
  <c r="C17" i="90"/>
  <c r="F34" i="79"/>
  <c r="F33" i="79" s="1"/>
  <c r="I41" i="105"/>
  <c r="M38" i="119" s="1"/>
  <c r="I45" i="105"/>
  <c r="M42" i="119" s="1"/>
  <c r="I49" i="105"/>
  <c r="M46" i="119" s="1"/>
  <c r="I53" i="105"/>
  <c r="M50" i="119" s="1"/>
  <c r="I57" i="105"/>
  <c r="M54" i="119" s="1"/>
  <c r="I61" i="105"/>
  <c r="M58" i="119" s="1"/>
  <c r="I65" i="105"/>
  <c r="M62" i="119" s="1"/>
  <c r="I69" i="105"/>
  <c r="I42" i="105"/>
  <c r="M39" i="119" s="1"/>
  <c r="I46" i="105"/>
  <c r="M43" i="119" s="1"/>
  <c r="I50" i="105"/>
  <c r="M47" i="119" s="1"/>
  <c r="I54" i="105"/>
  <c r="M51" i="119" s="1"/>
  <c r="I58" i="105"/>
  <c r="M55" i="119" s="1"/>
  <c r="I62" i="105"/>
  <c r="M59" i="119" s="1"/>
  <c r="I66" i="105"/>
  <c r="M63" i="119" s="1"/>
  <c r="I44" i="105"/>
  <c r="M41" i="119" s="1"/>
  <c r="I48" i="105"/>
  <c r="M45" i="119" s="1"/>
  <c r="I52" i="105"/>
  <c r="M49" i="119" s="1"/>
  <c r="I56" i="105"/>
  <c r="M53" i="119" s="1"/>
  <c r="I60" i="105"/>
  <c r="M57" i="119" s="1"/>
  <c r="I64" i="105"/>
  <c r="M61" i="119" s="1"/>
  <c r="I68" i="105"/>
  <c r="M65" i="119" s="1"/>
  <c r="I43" i="105"/>
  <c r="M40" i="119" s="1"/>
  <c r="I47" i="105"/>
  <c r="M44" i="119" s="1"/>
  <c r="I51" i="105"/>
  <c r="M48" i="119" s="1"/>
  <c r="I55" i="105"/>
  <c r="M52" i="119" s="1"/>
  <c r="I59" i="105"/>
  <c r="M56" i="119" s="1"/>
  <c r="I63" i="105"/>
  <c r="M60" i="119" s="1"/>
  <c r="I67" i="105"/>
  <c r="M64" i="119" s="1"/>
  <c r="I8" i="103"/>
  <c r="I9" i="103" s="1"/>
  <c r="N29" i="92"/>
  <c r="G29" i="92" s="1"/>
  <c r="H175" i="30"/>
  <c r="G26" i="103" s="1"/>
  <c r="D34" i="75"/>
  <c r="E34" i="75" s="1"/>
  <c r="F34" i="75" s="1"/>
  <c r="G34" i="75" s="1"/>
  <c r="H34" i="75" s="1"/>
  <c r="I34" i="75" s="1"/>
  <c r="J34" i="75" s="1"/>
  <c r="C37" i="75"/>
  <c r="C35" i="75" s="1"/>
  <c r="B34" i="75"/>
  <c r="E33" i="75"/>
  <c r="F33" i="75" s="1"/>
  <c r="G33" i="75" s="1"/>
  <c r="P33" i="92"/>
  <c r="E33" i="90"/>
  <c r="F33" i="90" s="1"/>
  <c r="G33" i="90" s="1"/>
  <c r="B34" i="90"/>
  <c r="C37" i="90"/>
  <c r="D34" i="90"/>
  <c r="E34" i="90" s="1"/>
  <c r="F34" i="90" s="1"/>
  <c r="G34" i="90" s="1"/>
  <c r="H34" i="90" s="1"/>
  <c r="I34" i="90" s="1"/>
  <c r="J34" i="90" s="1"/>
  <c r="C30" i="90"/>
  <c r="O29" i="92"/>
  <c r="H29" i="92" s="1"/>
  <c r="O30" i="92"/>
  <c r="H30" i="92" s="1"/>
  <c r="C11" i="90"/>
  <c r="D11" i="90" s="1"/>
  <c r="B11" i="90"/>
  <c r="B8" i="90" s="1"/>
  <c r="C11" i="75"/>
  <c r="D11" i="75" s="1"/>
  <c r="B11" i="75"/>
  <c r="B8" i="75" s="1"/>
  <c r="C5" i="74"/>
  <c r="D12" i="90"/>
  <c r="J30" i="92"/>
  <c r="C30" i="92" s="1"/>
  <c r="I30" i="92"/>
  <c r="B30" i="92" s="1"/>
  <c r="C16" i="90"/>
  <c r="B16" i="90"/>
  <c r="B15" i="90"/>
  <c r="C15" i="90"/>
  <c r="D39" i="4"/>
  <c r="E91" i="51"/>
  <c r="E87" i="51"/>
  <c r="F87" i="51"/>
  <c r="F91" i="51"/>
  <c r="G15" i="51"/>
  <c r="H59" i="51" s="1"/>
  <c r="F6" i="109" l="1"/>
  <c r="E4" i="121"/>
  <c r="I8" i="47"/>
  <c r="J8" i="47" s="1"/>
  <c r="G26" i="51"/>
  <c r="D44" i="111" s="1"/>
  <c r="E44" i="111" s="1"/>
  <c r="F44" i="111" s="1"/>
  <c r="H12" i="120"/>
  <c r="J12" i="120"/>
  <c r="K64" i="30"/>
  <c r="K11" i="47" s="1"/>
  <c r="K16" i="79" s="1"/>
  <c r="J11" i="47"/>
  <c r="J16" i="79" s="1"/>
  <c r="C4" i="120"/>
  <c r="I70" i="105"/>
  <c r="M67" i="119" s="1"/>
  <c r="M66" i="119"/>
  <c r="J18" i="51"/>
  <c r="J13" i="39"/>
  <c r="J18" i="39"/>
  <c r="K51" i="51"/>
  <c r="K18" i="39" s="1"/>
  <c r="J17" i="39"/>
  <c r="K17" i="39"/>
  <c r="K16" i="39"/>
  <c r="K19" i="39"/>
  <c r="K48" i="51"/>
  <c r="K15" i="39" s="1"/>
  <c r="J15" i="39"/>
  <c r="K77" i="30"/>
  <c r="K76" i="30" s="1"/>
  <c r="I59" i="51"/>
  <c r="O16" i="105"/>
  <c r="H17" i="48" s="1"/>
  <c r="N104" i="105"/>
  <c r="N78" i="105"/>
  <c r="N82" i="105"/>
  <c r="N86" i="105"/>
  <c r="N90" i="105"/>
  <c r="N94" i="105"/>
  <c r="N98" i="105"/>
  <c r="N102" i="105"/>
  <c r="N75" i="105"/>
  <c r="N79" i="105"/>
  <c r="N83" i="105"/>
  <c r="N87" i="105"/>
  <c r="N91" i="105"/>
  <c r="N95" i="105"/>
  <c r="N99" i="105"/>
  <c r="N103" i="105"/>
  <c r="N76" i="105"/>
  <c r="N84" i="105"/>
  <c r="N92" i="105"/>
  <c r="N100" i="105"/>
  <c r="N77" i="105"/>
  <c r="N85" i="105"/>
  <c r="N93" i="105"/>
  <c r="N101" i="105"/>
  <c r="N80" i="105"/>
  <c r="N88" i="105"/>
  <c r="N96" i="105"/>
  <c r="N74" i="105"/>
  <c r="N81" i="105"/>
  <c r="N89" i="105"/>
  <c r="N97" i="105"/>
  <c r="J120" i="30"/>
  <c r="N140" i="105"/>
  <c r="P16" i="105" s="1"/>
  <c r="G25" i="39"/>
  <c r="D102" i="111" s="1"/>
  <c r="E102" i="111" s="1"/>
  <c r="F102" i="111" s="1"/>
  <c r="K80" i="30"/>
  <c r="K9" i="51" s="1"/>
  <c r="K75" i="51" s="1"/>
  <c r="H13" i="47"/>
  <c r="H18" i="79" s="1"/>
  <c r="J17" i="51"/>
  <c r="K17" i="51" s="1"/>
  <c r="K11" i="39" s="1"/>
  <c r="J82" i="30"/>
  <c r="I15" i="51"/>
  <c r="I13" i="47" s="1"/>
  <c r="I18" i="79" s="1"/>
  <c r="K110" i="30"/>
  <c r="J29" i="37"/>
  <c r="J16" i="45" s="1"/>
  <c r="J49" i="39"/>
  <c r="J25" i="89"/>
  <c r="J82" i="51"/>
  <c r="K14" i="39"/>
  <c r="K25" i="89"/>
  <c r="K82" i="51"/>
  <c r="I9" i="47"/>
  <c r="H14" i="79"/>
  <c r="K78" i="30"/>
  <c r="J76" i="51"/>
  <c r="E39" i="79"/>
  <c r="E32" i="79" s="1"/>
  <c r="E23" i="79" s="1"/>
  <c r="D39" i="79"/>
  <c r="D33" i="79"/>
  <c r="F39" i="79"/>
  <c r="F32" i="79" s="1"/>
  <c r="F23" i="79" s="1"/>
  <c r="G13" i="47"/>
  <c r="D11" i="119" s="1"/>
  <c r="D33" i="111"/>
  <c r="E33" i="111" s="1"/>
  <c r="F33" i="111" s="1"/>
  <c r="C8" i="90"/>
  <c r="I27" i="92" s="1"/>
  <c r="D37" i="90"/>
  <c r="E37" i="90" s="1"/>
  <c r="F37" i="90" s="1"/>
  <c r="G37" i="90" s="1"/>
  <c r="H37" i="90" s="1"/>
  <c r="I37" i="90" s="1"/>
  <c r="J37" i="90" s="1"/>
  <c r="C35" i="90"/>
  <c r="I34" i="92" s="1"/>
  <c r="B37" i="75"/>
  <c r="B35" i="75" s="1"/>
  <c r="B30" i="75"/>
  <c r="B37" i="90"/>
  <c r="B35" i="90" s="1"/>
  <c r="B30" i="90"/>
  <c r="D37" i="75"/>
  <c r="E37" i="75" s="1"/>
  <c r="F37" i="75" s="1"/>
  <c r="G37" i="75" s="1"/>
  <c r="I33" i="92"/>
  <c r="B33" i="92" s="1"/>
  <c r="C8" i="75"/>
  <c r="P27" i="92" s="1"/>
  <c r="E11" i="90"/>
  <c r="D8" i="90"/>
  <c r="J27" i="92" s="1"/>
  <c r="C14" i="90"/>
  <c r="D15" i="90"/>
  <c r="E15" i="90" s="1"/>
  <c r="F15" i="90" s="1"/>
  <c r="G15" i="90" s="1"/>
  <c r="H15" i="90" s="1"/>
  <c r="I15" i="90" s="1"/>
  <c r="J15" i="90" s="1"/>
  <c r="D31" i="90"/>
  <c r="B14" i="90"/>
  <c r="B7" i="90" s="1"/>
  <c r="B6" i="90" s="1"/>
  <c r="D16" i="90"/>
  <c r="E16" i="90" s="1"/>
  <c r="F16" i="90" s="1"/>
  <c r="G16" i="90" s="1"/>
  <c r="H16" i="90" s="1"/>
  <c r="I16" i="90" s="1"/>
  <c r="J16" i="90" s="1"/>
  <c r="D36" i="90"/>
  <c r="I29" i="92"/>
  <c r="B29" i="92" s="1"/>
  <c r="I13" i="79" l="1"/>
  <c r="N12" i="105"/>
  <c r="G13" i="48" s="1"/>
  <c r="G24" i="39" s="1"/>
  <c r="D101" i="111" s="1"/>
  <c r="E101" i="111" s="1"/>
  <c r="F101" i="111" s="1"/>
  <c r="I12" i="120"/>
  <c r="J13" i="120"/>
  <c r="J14" i="120"/>
  <c r="K18" i="51"/>
  <c r="K13" i="39"/>
  <c r="J11" i="39"/>
  <c r="I17" i="48"/>
  <c r="N111" i="105"/>
  <c r="N115" i="105"/>
  <c r="N119" i="105"/>
  <c r="N123" i="105"/>
  <c r="N127" i="105"/>
  <c r="N131" i="105"/>
  <c r="N135" i="105"/>
  <c r="N139" i="105"/>
  <c r="N112" i="105"/>
  <c r="N116" i="105"/>
  <c r="N120" i="105"/>
  <c r="N124" i="105"/>
  <c r="N128" i="105"/>
  <c r="N132" i="105"/>
  <c r="N136" i="105"/>
  <c r="N109" i="105"/>
  <c r="N113" i="105"/>
  <c r="N121" i="105"/>
  <c r="N129" i="105"/>
  <c r="N137" i="105"/>
  <c r="N114" i="105"/>
  <c r="N122" i="105"/>
  <c r="N130" i="105"/>
  <c r="N138" i="105"/>
  <c r="N117" i="105"/>
  <c r="N125" i="105"/>
  <c r="N133" i="105"/>
  <c r="N110" i="105"/>
  <c r="N118" i="105"/>
  <c r="N126" i="105"/>
  <c r="N134" i="105"/>
  <c r="K120" i="30"/>
  <c r="N210" i="105" s="1"/>
  <c r="R16" i="105" s="1"/>
  <c r="N175" i="105"/>
  <c r="Q16" i="105" s="1"/>
  <c r="K29" i="37"/>
  <c r="K16" i="45" s="1"/>
  <c r="K49" i="39"/>
  <c r="J15" i="51"/>
  <c r="J13" i="47" s="1"/>
  <c r="J18" i="79" s="1"/>
  <c r="K82" i="30"/>
  <c r="K15" i="51" s="1"/>
  <c r="J59" i="51"/>
  <c r="K8" i="47"/>
  <c r="K13" i="79" s="1"/>
  <c r="J13" i="79"/>
  <c r="J9" i="47"/>
  <c r="I14" i="79"/>
  <c r="D32" i="79"/>
  <c r="D23" i="79" s="1"/>
  <c r="G18" i="79"/>
  <c r="D13" i="111"/>
  <c r="E13" i="111" s="1"/>
  <c r="F13" i="111" s="1"/>
  <c r="H37" i="75"/>
  <c r="I37" i="75" s="1"/>
  <c r="J37" i="75" s="1"/>
  <c r="C29" i="90"/>
  <c r="I32" i="92" s="1"/>
  <c r="B27" i="92"/>
  <c r="B29" i="90"/>
  <c r="B40" i="90" s="1"/>
  <c r="B38" i="90" s="1"/>
  <c r="B41" i="90" s="1"/>
  <c r="B43" i="90" s="1"/>
  <c r="B29" i="75"/>
  <c r="P34" i="92"/>
  <c r="B34" i="92" s="1"/>
  <c r="C29" i="75"/>
  <c r="P32" i="92" s="1"/>
  <c r="E11" i="75"/>
  <c r="D8" i="75"/>
  <c r="I28" i="92"/>
  <c r="C7" i="90"/>
  <c r="C6" i="90" s="1"/>
  <c r="I25" i="92" s="1"/>
  <c r="D14" i="90"/>
  <c r="D35" i="90"/>
  <c r="J34" i="92" s="1"/>
  <c r="E36" i="90"/>
  <c r="D39" i="90"/>
  <c r="D30" i="90"/>
  <c r="E31" i="90"/>
  <c r="G28" i="39" l="1"/>
  <c r="D105" i="111" s="1"/>
  <c r="E105" i="111" s="1"/>
  <c r="F105" i="111" s="1"/>
  <c r="K59" i="51"/>
  <c r="K13" i="47"/>
  <c r="K18" i="79" s="1"/>
  <c r="N147" i="105"/>
  <c r="N151" i="105"/>
  <c r="N155" i="105"/>
  <c r="N159" i="105"/>
  <c r="N163" i="105"/>
  <c r="N167" i="105"/>
  <c r="N171" i="105"/>
  <c r="N144" i="105"/>
  <c r="N148" i="105"/>
  <c r="N152" i="105"/>
  <c r="N149" i="105"/>
  <c r="N156" i="105"/>
  <c r="N161" i="105"/>
  <c r="N166" i="105"/>
  <c r="N172" i="105"/>
  <c r="N150" i="105"/>
  <c r="N157" i="105"/>
  <c r="N162" i="105"/>
  <c r="N168" i="105"/>
  <c r="N173" i="105"/>
  <c r="N145" i="105"/>
  <c r="N153" i="105"/>
  <c r="N158" i="105"/>
  <c r="N164" i="105"/>
  <c r="N169" i="105"/>
  <c r="N174" i="105"/>
  <c r="N146" i="105"/>
  <c r="N154" i="105"/>
  <c r="N160" i="105"/>
  <c r="N165" i="105"/>
  <c r="N170" i="105"/>
  <c r="N183" i="105"/>
  <c r="N187" i="105"/>
  <c r="N191" i="105"/>
  <c r="N195" i="105"/>
  <c r="N199" i="105"/>
  <c r="N203" i="105"/>
  <c r="N207" i="105"/>
  <c r="N181" i="105"/>
  <c r="N186" i="105"/>
  <c r="N192" i="105"/>
  <c r="N197" i="105"/>
  <c r="N202" i="105"/>
  <c r="N208" i="105"/>
  <c r="N182" i="105"/>
  <c r="N188" i="105"/>
  <c r="N193" i="105"/>
  <c r="N198" i="105"/>
  <c r="N204" i="105"/>
  <c r="N209" i="105"/>
  <c r="N184" i="105"/>
  <c r="N189" i="105"/>
  <c r="N194" i="105"/>
  <c r="N200" i="105"/>
  <c r="N205" i="105"/>
  <c r="N179" i="105"/>
  <c r="N180" i="105"/>
  <c r="N185" i="105"/>
  <c r="N190" i="105"/>
  <c r="N196" i="105"/>
  <c r="N201" i="105"/>
  <c r="N206" i="105"/>
  <c r="K9" i="47"/>
  <c r="K14" i="79" s="1"/>
  <c r="J14" i="79"/>
  <c r="Q27" i="92"/>
  <c r="C27" i="92" s="1"/>
  <c r="G38" i="89"/>
  <c r="G6" i="45"/>
  <c r="B32" i="92"/>
  <c r="B46" i="90"/>
  <c r="B45" i="90"/>
  <c r="F11" i="75"/>
  <c r="E8" i="75"/>
  <c r="D29" i="90"/>
  <c r="J32" i="92" s="1"/>
  <c r="J33" i="92"/>
  <c r="E35" i="90"/>
  <c r="K34" i="92" s="1"/>
  <c r="F36" i="90"/>
  <c r="H36" i="90" s="1"/>
  <c r="I26" i="92"/>
  <c r="E39" i="90"/>
  <c r="E30" i="90"/>
  <c r="F31" i="90"/>
  <c r="H31" i="90" s="1"/>
  <c r="J28" i="92"/>
  <c r="D7" i="90"/>
  <c r="E14" i="90"/>
  <c r="R27" i="92" l="1"/>
  <c r="I31" i="90"/>
  <c r="H35" i="90"/>
  <c r="I36" i="90"/>
  <c r="G11" i="75"/>
  <c r="H11" i="75" s="1"/>
  <c r="F14" i="90"/>
  <c r="G14" i="90" s="1"/>
  <c r="H14" i="90" s="1"/>
  <c r="I14" i="90" s="1"/>
  <c r="J14" i="90" s="1"/>
  <c r="J26" i="92"/>
  <c r="F39" i="90"/>
  <c r="F30" i="90"/>
  <c r="C40" i="90"/>
  <c r="C38" i="90" s="1"/>
  <c r="B59" i="92"/>
  <c r="E29" i="90"/>
  <c r="F35" i="90"/>
  <c r="F59" i="30"/>
  <c r="G59" i="30" s="1"/>
  <c r="H59" i="30" s="1"/>
  <c r="I59" i="30" l="1"/>
  <c r="I35" i="90"/>
  <c r="N34" i="92" s="1"/>
  <c r="J36" i="90"/>
  <c r="J35" i="90" s="1"/>
  <c r="O34" i="92" s="1"/>
  <c r="J31" i="90"/>
  <c r="F29" i="90"/>
  <c r="C41" i="90"/>
  <c r="I35" i="92"/>
  <c r="M34" i="92"/>
  <c r="L34" i="92"/>
  <c r="J59" i="30" l="1"/>
  <c r="I11" i="75"/>
  <c r="C43" i="90"/>
  <c r="I10" i="92" s="1"/>
  <c r="I36" i="92"/>
  <c r="K59" i="30" l="1"/>
  <c r="J11" i="75"/>
  <c r="C45" i="90"/>
  <c r="I40" i="92" s="1"/>
  <c r="I38" i="92"/>
  <c r="I24" i="92" s="1"/>
  <c r="C46" i="90"/>
  <c r="I41" i="92" s="1"/>
  <c r="F11" i="90" l="1"/>
  <c r="G11" i="90" s="1"/>
  <c r="H11" i="90" s="1"/>
  <c r="I11" i="90" s="1"/>
  <c r="J11" i="90" s="1"/>
  <c r="O31" i="92" l="1"/>
  <c r="H31" i="92" s="1"/>
  <c r="H55" i="41" l="1"/>
  <c r="H34" i="41"/>
  <c r="H96" i="41"/>
  <c r="H97" i="41" s="1"/>
  <c r="F86" i="30" s="1"/>
  <c r="H86" i="30" s="1"/>
  <c r="I86" i="30" s="1"/>
  <c r="J86" i="30" s="1"/>
  <c r="K86" i="30" s="1"/>
  <c r="H46" i="41" l="1"/>
  <c r="F35" i="4" s="1"/>
  <c r="F51" i="30" s="1"/>
  <c r="E50" i="30" s="1"/>
  <c r="F18" i="4" l="1"/>
  <c r="F16" i="4" l="1"/>
  <c r="F39" i="4" s="1"/>
  <c r="D24" i="90"/>
  <c r="E12" i="90"/>
  <c r="E8" i="90" s="1"/>
  <c r="E7" i="90" s="1"/>
  <c r="J31" i="92" l="1"/>
  <c r="C31" i="92" s="1"/>
  <c r="D17" i="90"/>
  <c r="J29" i="92" l="1"/>
  <c r="C29" i="92" s="1"/>
  <c r="D6" i="90"/>
  <c r="J25" i="92" s="1"/>
  <c r="D40" i="90" l="1"/>
  <c r="D38" i="90" s="1"/>
  <c r="C59" i="92"/>
  <c r="J35" i="92" l="1"/>
  <c r="D41" i="90"/>
  <c r="D43" i="90" l="1"/>
  <c r="J36" i="92"/>
  <c r="J10" i="92" l="1"/>
  <c r="J38" i="92"/>
  <c r="J24" i="92" s="1"/>
  <c r="D45" i="90"/>
  <c r="J40" i="92" s="1"/>
  <c r="D46" i="90"/>
  <c r="J41" i="92" s="1"/>
  <c r="B16" i="75" l="1"/>
  <c r="C16" i="75"/>
  <c r="D16" i="75" s="1"/>
  <c r="D36" i="75" l="1"/>
  <c r="D35" i="75" s="1"/>
  <c r="Q34" i="92" s="1"/>
  <c r="C34" i="92" s="1"/>
  <c r="E16" i="75"/>
  <c r="F16" i="75" s="1"/>
  <c r="G16" i="75" s="1"/>
  <c r="H16" i="75" s="1"/>
  <c r="E36" i="75" l="1"/>
  <c r="I16" i="75"/>
  <c r="J16" i="75" s="1"/>
  <c r="E35" i="75" l="1"/>
  <c r="R34" i="92" s="1"/>
  <c r="D34" i="92" s="1"/>
  <c r="F36" i="75"/>
  <c r="H36" i="75" s="1"/>
  <c r="H35" i="75" s="1"/>
  <c r="T34" i="92" s="1"/>
  <c r="F34" i="92" s="1"/>
  <c r="C13" i="74"/>
  <c r="B15" i="75"/>
  <c r="B14" i="75" s="1"/>
  <c r="B7" i="75" s="1"/>
  <c r="B6" i="75" s="1"/>
  <c r="B40" i="75" s="1"/>
  <c r="B38" i="75" s="1"/>
  <c r="B41" i="75" s="1"/>
  <c r="B43" i="75" s="1"/>
  <c r="C15" i="75"/>
  <c r="D31" i="75" l="1"/>
  <c r="D15" i="75"/>
  <c r="E15" i="75" s="1"/>
  <c r="I36" i="75"/>
  <c r="I35" i="75" s="1"/>
  <c r="U34" i="92" s="1"/>
  <c r="G34" i="92" s="1"/>
  <c r="F35" i="75"/>
  <c r="S34" i="92" s="1"/>
  <c r="E34" i="92" s="1"/>
  <c r="B51" i="92"/>
  <c r="B53" i="92" s="1"/>
  <c r="B45" i="75"/>
  <c r="B46" i="75"/>
  <c r="C14" i="75"/>
  <c r="D14" i="75" s="1"/>
  <c r="Q28" i="92" s="1"/>
  <c r="C28" i="92" s="1"/>
  <c r="J36" i="75" l="1"/>
  <c r="J35" i="75" s="1"/>
  <c r="V34" i="92" s="1"/>
  <c r="H34" i="92" s="1"/>
  <c r="E31" i="75"/>
  <c r="D30" i="75"/>
  <c r="Q33" i="92" s="1"/>
  <c r="C33" i="92" s="1"/>
  <c r="D39" i="75"/>
  <c r="C7" i="75"/>
  <c r="P28" i="92"/>
  <c r="B28" i="92" s="1"/>
  <c r="E14" i="75"/>
  <c r="R28" i="92" s="1"/>
  <c r="D29" i="75" l="1"/>
  <c r="Q32" i="92" s="1"/>
  <c r="C32" i="92" s="1"/>
  <c r="C6" i="75"/>
  <c r="P26" i="92"/>
  <c r="B26" i="92" s="1"/>
  <c r="E39" i="75"/>
  <c r="E30" i="75"/>
  <c r="C40" i="75" l="1"/>
  <c r="C38" i="75" s="1"/>
  <c r="D7" i="75"/>
  <c r="B58" i="92"/>
  <c r="B60" i="92" s="1"/>
  <c r="B61" i="92" s="1"/>
  <c r="B63" i="92" s="1"/>
  <c r="P25" i="92"/>
  <c r="B25" i="92" s="1"/>
  <c r="E29" i="75"/>
  <c r="R32" i="92" s="1"/>
  <c r="R33" i="92"/>
  <c r="Q26" i="92" l="1"/>
  <c r="C26" i="92" s="1"/>
  <c r="D6" i="75"/>
  <c r="C41" i="75"/>
  <c r="P35" i="92"/>
  <c r="B35" i="92" s="1"/>
  <c r="C50" i="92"/>
  <c r="C51" i="92" s="1"/>
  <c r="D40" i="75" l="1"/>
  <c r="D38" i="75" s="1"/>
  <c r="E7" i="75"/>
  <c r="R26" i="92" s="1"/>
  <c r="C58" i="92"/>
  <c r="C60" i="92" s="1"/>
  <c r="C61" i="92" s="1"/>
  <c r="C63" i="92" s="1"/>
  <c r="Q25" i="92"/>
  <c r="C25" i="92" s="1"/>
  <c r="C43" i="75"/>
  <c r="P10" i="92" s="1"/>
  <c r="P36" i="92"/>
  <c r="B36" i="92" s="1"/>
  <c r="C53" i="92"/>
  <c r="D41" i="75" l="1"/>
  <c r="Q35" i="92"/>
  <c r="C35" i="92" s="1"/>
  <c r="C45" i="75"/>
  <c r="P40" i="92" s="1"/>
  <c r="B40" i="92" s="1"/>
  <c r="P38" i="92"/>
  <c r="C46" i="75"/>
  <c r="P41" i="92" s="1"/>
  <c r="B41" i="92" s="1"/>
  <c r="D50" i="92"/>
  <c r="D51" i="92" s="1"/>
  <c r="F50" i="92"/>
  <c r="F51" i="92" s="1"/>
  <c r="E50" i="92"/>
  <c r="E51" i="92" s="1"/>
  <c r="Q36" i="92" l="1"/>
  <c r="C36" i="92" s="1"/>
  <c r="D43" i="75"/>
  <c r="G50" i="92"/>
  <c r="G51" i="92" s="1"/>
  <c r="P24" i="92"/>
  <c r="B24" i="92" s="1"/>
  <c r="B38" i="92"/>
  <c r="D53" i="92"/>
  <c r="H50" i="92"/>
  <c r="H51" i="92" s="1"/>
  <c r="Q38" i="92" l="1"/>
  <c r="D45" i="75"/>
  <c r="Q40" i="92" s="1"/>
  <c r="C40" i="92" s="1"/>
  <c r="D46" i="75"/>
  <c r="Q41" i="92" s="1"/>
  <c r="C41" i="92" s="1"/>
  <c r="Q10" i="92"/>
  <c r="H33" i="75"/>
  <c r="I33" i="75" s="1"/>
  <c r="J33" i="75" s="1"/>
  <c r="H33" i="90"/>
  <c r="C38" i="92" l="1"/>
  <c r="Q24" i="92"/>
  <c r="C24" i="92" s="1"/>
  <c r="I33" i="90"/>
  <c r="H39" i="90"/>
  <c r="H30" i="90"/>
  <c r="H29" i="90" s="1"/>
  <c r="J33" i="90" l="1"/>
  <c r="I30" i="90"/>
  <c r="I29" i="90" s="1"/>
  <c r="N32" i="92" s="1"/>
  <c r="I39" i="90"/>
  <c r="K26" i="92"/>
  <c r="D26" i="92" s="1"/>
  <c r="K27" i="92"/>
  <c r="D27" i="92" s="1"/>
  <c r="K28" i="92"/>
  <c r="D28" i="92" s="1"/>
  <c r="L28" i="92"/>
  <c r="M28" i="92"/>
  <c r="N28" i="92"/>
  <c r="O28" i="92"/>
  <c r="K30" i="92"/>
  <c r="L30" i="92"/>
  <c r="K32" i="92"/>
  <c r="D32" i="92" s="1"/>
  <c r="L32" i="92"/>
  <c r="M32" i="92"/>
  <c r="K33" i="92"/>
  <c r="D33" i="92" s="1"/>
  <c r="L33" i="92"/>
  <c r="M33" i="92"/>
  <c r="N33" i="92" l="1"/>
  <c r="J30" i="90"/>
  <c r="J39" i="90"/>
  <c r="J29" i="90" l="1"/>
  <c r="O32" i="92" s="1"/>
  <c r="O33" i="92"/>
  <c r="G8" i="79"/>
  <c r="F5" i="109" l="1"/>
  <c r="E3" i="121"/>
  <c r="G5" i="88"/>
  <c r="G22" i="79"/>
  <c r="F3" i="122" s="1"/>
  <c r="F4" i="109" l="1"/>
  <c r="E5" i="121"/>
  <c r="H177" i="30"/>
  <c r="G28" i="103" s="1"/>
  <c r="G29" i="103" s="1"/>
  <c r="G30" i="103" s="1"/>
  <c r="U5" i="94"/>
  <c r="AD5" i="94" s="1"/>
  <c r="AM5" i="94" s="1"/>
  <c r="D40" i="17"/>
  <c r="D41" i="17" s="1"/>
  <c r="C6" i="103" s="1"/>
  <c r="D81" i="74"/>
  <c r="D82" i="74" s="1"/>
  <c r="C54" i="103" s="1"/>
  <c r="S3" i="92" l="1"/>
  <c r="G20" i="75" l="1"/>
  <c r="F28" i="75"/>
  <c r="S9" i="92" s="1"/>
  <c r="F25" i="75"/>
  <c r="F19" i="75"/>
  <c r="G19" i="75" s="1"/>
  <c r="F26" i="75"/>
  <c r="S7" i="92" s="1"/>
  <c r="F24" i="75" l="1"/>
  <c r="S31" i="92"/>
  <c r="F18" i="75"/>
  <c r="S30" i="92" s="1"/>
  <c r="E30" i="92" s="1"/>
  <c r="S6" i="92"/>
  <c r="F17" i="75" l="1"/>
  <c r="R3" i="92"/>
  <c r="B82" i="74"/>
  <c r="B87" i="74"/>
  <c r="B93" i="74"/>
  <c r="S29" i="92" l="1"/>
  <c r="E20" i="75"/>
  <c r="E28" i="75" l="1"/>
  <c r="E19" i="75"/>
  <c r="E26" i="75"/>
  <c r="E25" i="75"/>
  <c r="E24" i="75" l="1"/>
  <c r="G25" i="75"/>
  <c r="G26" i="75"/>
  <c r="F12" i="75"/>
  <c r="G12" i="75" s="1"/>
  <c r="H12" i="75" s="1"/>
  <c r="I12" i="75" s="1"/>
  <c r="J12" i="75" s="1"/>
  <c r="F31" i="75"/>
  <c r="E18" i="75"/>
  <c r="F15" i="75"/>
  <c r="R9" i="92"/>
  <c r="G18" i="75"/>
  <c r="R6" i="92"/>
  <c r="F9" i="75"/>
  <c r="F10" i="75"/>
  <c r="R7" i="92"/>
  <c r="R31" i="92" l="1"/>
  <c r="G24" i="75"/>
  <c r="G17" i="75" s="1"/>
  <c r="G15" i="75"/>
  <c r="H15" i="75" s="1"/>
  <c r="R30" i="92"/>
  <c r="D30" i="92" s="1"/>
  <c r="F30" i="75"/>
  <c r="G10" i="75"/>
  <c r="H10" i="75" s="1"/>
  <c r="I10" i="75" s="1"/>
  <c r="J10" i="75" s="1"/>
  <c r="F14" i="75"/>
  <c r="H31" i="75"/>
  <c r="K31" i="75" s="1"/>
  <c r="F8" i="75"/>
  <c r="F39" i="75"/>
  <c r="E17" i="75"/>
  <c r="G9" i="75"/>
  <c r="H9" i="75" s="1"/>
  <c r="G14" i="75" l="1"/>
  <c r="H14" i="75" s="1"/>
  <c r="T28" i="92" s="1"/>
  <c r="F28" i="92" s="1"/>
  <c r="F29" i="75"/>
  <c r="S33" i="92"/>
  <c r="E33" i="92" s="1"/>
  <c r="E6" i="75"/>
  <c r="F7" i="75" s="1"/>
  <c r="S28" i="92"/>
  <c r="E28" i="92" s="1"/>
  <c r="H30" i="75"/>
  <c r="H29" i="75" s="1"/>
  <c r="I15" i="75"/>
  <c r="J15" i="75" s="1"/>
  <c r="G8" i="75"/>
  <c r="R29" i="92"/>
  <c r="S27" i="92"/>
  <c r="R25" i="92" l="1"/>
  <c r="F6" i="75"/>
  <c r="S32" i="92"/>
  <c r="E32" i="92" s="1"/>
  <c r="I14" i="75"/>
  <c r="J14" i="75" s="1"/>
  <c r="V28" i="92" s="1"/>
  <c r="H28" i="92" s="1"/>
  <c r="E40" i="75"/>
  <c r="G7" i="75"/>
  <c r="D58" i="92"/>
  <c r="I31" i="75"/>
  <c r="I30" i="75" s="1"/>
  <c r="U33" i="92" s="1"/>
  <c r="G33" i="92" s="1"/>
  <c r="T32" i="92"/>
  <c r="F32" i="92" s="1"/>
  <c r="H39" i="75"/>
  <c r="I9" i="75"/>
  <c r="H8" i="75"/>
  <c r="S26" i="92" l="1"/>
  <c r="U28" i="92"/>
  <c r="G28" i="92" s="1"/>
  <c r="E38" i="75"/>
  <c r="G6" i="75"/>
  <c r="F58" i="92" s="1"/>
  <c r="F40" i="75"/>
  <c r="T33" i="92"/>
  <c r="F33" i="92" s="1"/>
  <c r="I29" i="75"/>
  <c r="U32" i="92" s="1"/>
  <c r="G32" i="92" s="1"/>
  <c r="J31" i="75"/>
  <c r="J39" i="75" s="1"/>
  <c r="I39" i="75"/>
  <c r="H7" i="75"/>
  <c r="T27" i="92"/>
  <c r="J9" i="75"/>
  <c r="J8" i="75" s="1"/>
  <c r="V27" i="92" s="1"/>
  <c r="I8" i="75"/>
  <c r="U27" i="92" s="1"/>
  <c r="E58" i="92"/>
  <c r="S25" i="92"/>
  <c r="E41" i="75" l="1"/>
  <c r="R35" i="92"/>
  <c r="F38" i="75"/>
  <c r="J30" i="75"/>
  <c r="V33" i="92" s="1"/>
  <c r="H33" i="92" s="1"/>
  <c r="T26" i="92"/>
  <c r="H6" i="75"/>
  <c r="E43" i="75" l="1"/>
  <c r="R36" i="92"/>
  <c r="J29" i="75"/>
  <c r="V32" i="92" s="1"/>
  <c r="H32" i="92" s="1"/>
  <c r="I7" i="75"/>
  <c r="T25" i="92"/>
  <c r="G58" i="92"/>
  <c r="H40" i="75"/>
  <c r="H38" i="75" s="1"/>
  <c r="S35" i="92"/>
  <c r="F41" i="75"/>
  <c r="R38" i="92" l="1"/>
  <c r="R24" i="92" s="1"/>
  <c r="R10" i="92"/>
  <c r="H41" i="75"/>
  <c r="H43" i="75" s="1"/>
  <c r="T35" i="92"/>
  <c r="S36" i="92"/>
  <c r="F43" i="75"/>
  <c r="U26" i="92"/>
  <c r="I6" i="75"/>
  <c r="B98" i="74" l="1"/>
  <c r="D98" i="74" s="1"/>
  <c r="F98" i="74" s="1"/>
  <c r="D25" i="80"/>
  <c r="J7" i="75"/>
  <c r="I40" i="75"/>
  <c r="I38" i="75" s="1"/>
  <c r="U25" i="92"/>
  <c r="H58" i="92"/>
  <c r="T36" i="92"/>
  <c r="S10" i="92"/>
  <c r="C11" i="92" s="1"/>
  <c r="S38" i="92"/>
  <c r="S24" i="92" s="1"/>
  <c r="U35" i="92" l="1"/>
  <c r="I41" i="75"/>
  <c r="T10" i="92"/>
  <c r="T38" i="92"/>
  <c r="T24" i="92" s="1"/>
  <c r="E92" i="74"/>
  <c r="E94" i="74" s="1"/>
  <c r="V26" i="92"/>
  <c r="J6" i="75"/>
  <c r="U36" i="92" l="1"/>
  <c r="I43" i="75"/>
  <c r="J40" i="75"/>
  <c r="J38" i="75" s="1"/>
  <c r="V25" i="92"/>
  <c r="U38" i="92" l="1"/>
  <c r="U24" i="92" s="1"/>
  <c r="U10" i="92"/>
  <c r="V35" i="92"/>
  <c r="J41" i="75"/>
  <c r="J43" i="75" l="1"/>
  <c r="V36" i="92"/>
  <c r="V10" i="92" l="1"/>
  <c r="D11" i="92" s="1"/>
  <c r="V38" i="92"/>
  <c r="V24" i="92" s="1"/>
  <c r="D190" i="30" l="1"/>
  <c r="D191" i="30" s="1"/>
  <c r="C20" i="103" s="1"/>
  <c r="E73" i="104" l="1"/>
  <c r="E78" i="104"/>
  <c r="D25" i="109" l="1"/>
  <c r="F25" i="109"/>
  <c r="G25" i="109"/>
  <c r="H25" i="109"/>
  <c r="I25" i="109"/>
  <c r="J25" i="109"/>
  <c r="K25" i="109"/>
  <c r="L25" i="109"/>
  <c r="M25" i="109"/>
  <c r="C56" i="109"/>
  <c r="G56" i="109"/>
  <c r="G54" i="109"/>
  <c r="L3" i="109" l="1"/>
  <c r="E25" i="109"/>
  <c r="O25" i="109" s="1"/>
  <c r="B3" i="122" s="1"/>
  <c r="E56" i="109"/>
  <c r="F56" i="109"/>
  <c r="D54" i="109"/>
  <c r="G49" i="109"/>
  <c r="G52" i="109" s="1"/>
  <c r="D49" i="109"/>
  <c r="F54" i="109"/>
  <c r="E54" i="109"/>
  <c r="D56" i="109"/>
  <c r="O44" i="109"/>
  <c r="O42" i="109"/>
  <c r="E49" i="109"/>
  <c r="O27" i="109" l="1"/>
  <c r="G14" i="109"/>
  <c r="F49" i="109"/>
  <c r="O37" i="109"/>
  <c r="O54" i="109"/>
  <c r="O56" i="109"/>
  <c r="H14" i="109" l="1"/>
  <c r="F52" i="109"/>
  <c r="O41" i="109"/>
  <c r="O40" i="109"/>
  <c r="O39" i="109" s="1"/>
  <c r="O49" i="109"/>
  <c r="I14" i="109" l="1"/>
  <c r="J14" i="109" s="1"/>
  <c r="K14" i="109" l="1"/>
  <c r="L14" i="109" s="1"/>
  <c r="O21" i="109"/>
  <c r="G51" i="30" s="1"/>
  <c r="H51" i="30" s="1"/>
  <c r="A47" i="80" l="1"/>
  <c r="F50" i="30"/>
  <c r="G50" i="30"/>
  <c r="G35" i="4" s="1"/>
  <c r="D42" i="119" s="1"/>
  <c r="M14" i="109"/>
  <c r="N14" i="109" s="1"/>
  <c r="O14" i="109" s="1"/>
  <c r="G8" i="30" s="1"/>
  <c r="I51" i="30" l="1"/>
  <c r="H50" i="30"/>
  <c r="H35" i="4" s="1"/>
  <c r="G42" i="30"/>
  <c r="A40" i="80" l="1"/>
  <c r="H42" i="30"/>
  <c r="I42" i="30" s="1"/>
  <c r="J42" i="30" s="1"/>
  <c r="K42" i="30" s="1"/>
  <c r="A38" i="80"/>
  <c r="G6" i="30"/>
  <c r="G14" i="30" s="1"/>
  <c r="B4" i="122" s="1"/>
  <c r="J51" i="30"/>
  <c r="I50" i="30"/>
  <c r="I35" i="4" s="1"/>
  <c r="G41" i="30"/>
  <c r="G21" i="4" s="1"/>
  <c r="D28" i="119" s="1"/>
  <c r="C5" i="110"/>
  <c r="E5" i="110" s="1"/>
  <c r="C4" i="110"/>
  <c r="E4" i="110" s="1"/>
  <c r="H44" i="89" l="1"/>
  <c r="H27" i="30"/>
  <c r="H41" i="30"/>
  <c r="H21" i="4" s="1"/>
  <c r="K51" i="30"/>
  <c r="K50" i="30" s="1"/>
  <c r="K35" i="4" s="1"/>
  <c r="J50" i="30"/>
  <c r="J35" i="4" s="1"/>
  <c r="I7" i="30"/>
  <c r="H4" i="56"/>
  <c r="G14" i="4"/>
  <c r="G44" i="89"/>
  <c r="B171" i="30"/>
  <c r="C12" i="103" s="1"/>
  <c r="C15" i="103" s="1"/>
  <c r="G23" i="30"/>
  <c r="G83" i="30"/>
  <c r="G16" i="51" s="1"/>
  <c r="H6" i="30"/>
  <c r="G43" i="89"/>
  <c r="I44" i="89" l="1"/>
  <c r="I11" i="30"/>
  <c r="A35" i="80"/>
  <c r="G47" i="112"/>
  <c r="C11" i="112"/>
  <c r="C14" i="112" s="1"/>
  <c r="C16" i="112" s="1"/>
  <c r="E47" i="112"/>
  <c r="G7" i="4"/>
  <c r="M4" i="122" s="1"/>
  <c r="E11" i="112"/>
  <c r="E45" i="112" s="1"/>
  <c r="E44" i="112" s="1"/>
  <c r="C47" i="112"/>
  <c r="K51" i="112" s="1"/>
  <c r="D11" i="112"/>
  <c r="D45" i="112" s="1"/>
  <c r="D44" i="112" s="1"/>
  <c r="D47" i="112"/>
  <c r="F11" i="112"/>
  <c r="F45" i="112" s="1"/>
  <c r="F44" i="112" s="1"/>
  <c r="F47" i="112"/>
  <c r="I27" i="30"/>
  <c r="H8" i="4"/>
  <c r="H26" i="30"/>
  <c r="I41" i="30"/>
  <c r="I21" i="4" s="1"/>
  <c r="K7" i="30"/>
  <c r="H83" i="30"/>
  <c r="I83" i="30" s="1"/>
  <c r="G19" i="56"/>
  <c r="G20" i="56" s="1"/>
  <c r="G42" i="56" s="1"/>
  <c r="H14" i="4"/>
  <c r="H43" i="89"/>
  <c r="I6" i="30"/>
  <c r="D34" i="111"/>
  <c r="E34" i="111" s="1"/>
  <c r="F34" i="111" s="1"/>
  <c r="G12" i="39"/>
  <c r="D92" i="111" s="1"/>
  <c r="E92" i="111" s="1"/>
  <c r="F92" i="111" s="1"/>
  <c r="G46" i="89"/>
  <c r="E44" i="75"/>
  <c r="E46" i="75" s="1"/>
  <c r="E52" i="92"/>
  <c r="E53" i="92" s="1"/>
  <c r="E44" i="90"/>
  <c r="K39" i="92" s="1"/>
  <c r="E62" i="92"/>
  <c r="F44" i="90"/>
  <c r="L39" i="92" s="1"/>
  <c r="F52" i="92"/>
  <c r="F53" i="92" s="1"/>
  <c r="F44" i="75"/>
  <c r="F45" i="75" s="1"/>
  <c r="F62" i="92"/>
  <c r="H44" i="90"/>
  <c r="M39" i="92" s="1"/>
  <c r="G62" i="92"/>
  <c r="G52" i="92"/>
  <c r="G53" i="92" s="1"/>
  <c r="H44" i="75"/>
  <c r="K44" i="89" l="1"/>
  <c r="G6" i="4"/>
  <c r="N4" i="122"/>
  <c r="J7" i="30"/>
  <c r="J44" i="89" s="1"/>
  <c r="C45" i="112"/>
  <c r="G45" i="112" s="1"/>
  <c r="H45" i="112" s="1"/>
  <c r="D14" i="112"/>
  <c r="D16" i="112" s="1"/>
  <c r="F14" i="112"/>
  <c r="F16" i="112" s="1"/>
  <c r="K47" i="112"/>
  <c r="L47" i="112" s="1"/>
  <c r="M47" i="112" s="1"/>
  <c r="N47" i="112"/>
  <c r="G11" i="112"/>
  <c r="I11" i="112" s="1"/>
  <c r="E14" i="112"/>
  <c r="E16" i="112" s="1"/>
  <c r="J27" i="30"/>
  <c r="I8" i="4"/>
  <c r="I26" i="30"/>
  <c r="K41" i="30"/>
  <c r="K21" i="4" s="1"/>
  <c r="J41" i="30"/>
  <c r="J21" i="4" s="1"/>
  <c r="O53" i="112"/>
  <c r="K53" i="112"/>
  <c r="K54" i="112" s="1"/>
  <c r="N53" i="112"/>
  <c r="N54" i="112" s="1"/>
  <c r="H16" i="51"/>
  <c r="H12" i="39" s="1"/>
  <c r="I14" i="4"/>
  <c r="J14" i="4" s="1"/>
  <c r="G41" i="56"/>
  <c r="G51" i="89"/>
  <c r="I43" i="89"/>
  <c r="J6" i="30"/>
  <c r="I16" i="51"/>
  <c r="G47" i="89"/>
  <c r="S40" i="92"/>
  <c r="E45" i="75"/>
  <c r="R39" i="92"/>
  <c r="D39" i="92" s="1"/>
  <c r="C54" i="92"/>
  <c r="F46" i="75"/>
  <c r="S41" i="92" s="1"/>
  <c r="S39" i="92"/>
  <c r="E39" i="92" s="1"/>
  <c r="T39" i="92"/>
  <c r="F39" i="92" s="1"/>
  <c r="H46" i="75"/>
  <c r="T41" i="92" s="1"/>
  <c r="H45" i="75"/>
  <c r="I44" i="75"/>
  <c r="I44" i="90"/>
  <c r="N39" i="92" s="1"/>
  <c r="H62" i="92"/>
  <c r="H52" i="92"/>
  <c r="R41" i="92"/>
  <c r="E86" i="74"/>
  <c r="J83" i="30" l="1"/>
  <c r="J16" i="51" s="1"/>
  <c r="J11" i="30"/>
  <c r="K11" i="30" s="1"/>
  <c r="K45" i="112"/>
  <c r="L45" i="112" s="1"/>
  <c r="M45" i="112" s="1"/>
  <c r="C44" i="112"/>
  <c r="K44" i="112" s="1"/>
  <c r="L44" i="112" s="1"/>
  <c r="G14" i="112"/>
  <c r="G16" i="112" s="1"/>
  <c r="K27" i="30"/>
  <c r="J26" i="30"/>
  <c r="J8" i="4"/>
  <c r="O54" i="112"/>
  <c r="K14" i="4"/>
  <c r="J43" i="89"/>
  <c r="K6" i="30"/>
  <c r="G52" i="89"/>
  <c r="I12" i="39"/>
  <c r="R40" i="92"/>
  <c r="Q22" i="92" s="1"/>
  <c r="C47" i="75"/>
  <c r="Q23" i="92"/>
  <c r="T40" i="92"/>
  <c r="U39" i="92"/>
  <c r="G39" i="92" s="1"/>
  <c r="I46" i="75"/>
  <c r="U41" i="92" s="1"/>
  <c r="I45" i="75"/>
  <c r="U40" i="92" s="1"/>
  <c r="H53" i="92"/>
  <c r="F54" i="92"/>
  <c r="J44" i="75"/>
  <c r="J44" i="90"/>
  <c r="O39" i="92" s="1"/>
  <c r="K83" i="30" l="1"/>
  <c r="K16" i="51" s="1"/>
  <c r="K12" i="39" s="1"/>
  <c r="G44" i="112"/>
  <c r="H44" i="112" s="1"/>
  <c r="K26" i="30"/>
  <c r="K8" i="4"/>
  <c r="O47" i="112"/>
  <c r="M44" i="112"/>
  <c r="O48" i="112"/>
  <c r="O46" i="112"/>
  <c r="K43" i="89"/>
  <c r="J12" i="39"/>
  <c r="C48" i="75"/>
  <c r="Q11" i="92"/>
  <c r="C5" i="92" s="1"/>
  <c r="V39" i="92"/>
  <c r="H39" i="92" s="1"/>
  <c r="J45" i="75"/>
  <c r="V40" i="92" s="1"/>
  <c r="T22" i="92" s="1"/>
  <c r="J46" i="75"/>
  <c r="V41" i="92" s="1"/>
  <c r="T23" i="92" s="1"/>
  <c r="C49" i="75" l="1"/>
  <c r="I80" i="74"/>
  <c r="E81" i="74"/>
  <c r="D53" i="103" s="1"/>
  <c r="Q12" i="92"/>
  <c r="E5" i="92" s="1"/>
  <c r="G47" i="75"/>
  <c r="E25" i="90"/>
  <c r="F25" i="90"/>
  <c r="E26" i="90"/>
  <c r="G26" i="90" s="1"/>
  <c r="F26" i="90"/>
  <c r="E28" i="90"/>
  <c r="F12" i="90" s="1"/>
  <c r="G12" i="90" s="1"/>
  <c r="H12" i="90" s="1"/>
  <c r="I12" i="90" s="1"/>
  <c r="J12" i="90" s="1"/>
  <c r="F28" i="90"/>
  <c r="F24" i="90" l="1"/>
  <c r="E24" i="90"/>
  <c r="E17" i="90" s="1"/>
  <c r="F10" i="90"/>
  <c r="G10" i="90" s="1"/>
  <c r="H10" i="90" s="1"/>
  <c r="I10" i="90" s="1"/>
  <c r="J10" i="90" s="1"/>
  <c r="E83" i="74"/>
  <c r="D55" i="103" s="1"/>
  <c r="T11" i="92"/>
  <c r="D5" i="92" s="1"/>
  <c r="G48" i="75"/>
  <c r="K31" i="92"/>
  <c r="D31" i="92" s="1"/>
  <c r="L31" i="92"/>
  <c r="E31" i="92" s="1"/>
  <c r="F17" i="90"/>
  <c r="L29" i="92" s="1"/>
  <c r="E29" i="92" s="1"/>
  <c r="F9" i="90"/>
  <c r="G25" i="90"/>
  <c r="G24" i="90" s="1"/>
  <c r="G17" i="90" s="1"/>
  <c r="I81" i="74" l="1"/>
  <c r="F86" i="74"/>
  <c r="F81" i="74"/>
  <c r="T12" i="92"/>
  <c r="F5" i="92" s="1"/>
  <c r="F8" i="90"/>
  <c r="G9" i="90"/>
  <c r="K29" i="92"/>
  <c r="D29" i="92" s="1"/>
  <c r="E6" i="90"/>
  <c r="F83" i="74" l="1"/>
  <c r="E55" i="103" s="1"/>
  <c r="E53" i="103"/>
  <c r="E40" i="90"/>
  <c r="E38" i="90" s="1"/>
  <c r="K25" i="92"/>
  <c r="H9" i="90"/>
  <c r="G8" i="90"/>
  <c r="G7" i="90" s="1"/>
  <c r="G6" i="90" s="1"/>
  <c r="L27" i="92"/>
  <c r="E27" i="92" s="1"/>
  <c r="F7" i="90"/>
  <c r="I9" i="90" l="1"/>
  <c r="H8" i="90"/>
  <c r="L26" i="92"/>
  <c r="E26" i="92" s="1"/>
  <c r="F6" i="90"/>
  <c r="D25" i="92"/>
  <c r="D59" i="92"/>
  <c r="D60" i="92" s="1"/>
  <c r="D61" i="92" s="1"/>
  <c r="K35" i="92"/>
  <c r="D35" i="92" s="1"/>
  <c r="E41" i="90"/>
  <c r="E43" i="90" l="1"/>
  <c r="K36" i="92"/>
  <c r="D36" i="92" s="1"/>
  <c r="L25" i="92"/>
  <c r="F40" i="90"/>
  <c r="F38" i="90" s="1"/>
  <c r="D63" i="92"/>
  <c r="M27" i="92"/>
  <c r="F27" i="92" s="1"/>
  <c r="H7" i="90"/>
  <c r="I8" i="90"/>
  <c r="N27" i="92" s="1"/>
  <c r="G27" i="92" s="1"/>
  <c r="J9" i="90"/>
  <c r="J8" i="90" s="1"/>
  <c r="O27" i="92" s="1"/>
  <c r="H27" i="92" s="1"/>
  <c r="L35" i="92" l="1"/>
  <c r="E35" i="92" s="1"/>
  <c r="F41" i="90"/>
  <c r="E25" i="92"/>
  <c r="E59" i="92"/>
  <c r="E60" i="92" s="1"/>
  <c r="E61" i="92" s="1"/>
  <c r="M26" i="92"/>
  <c r="F26" i="92" s="1"/>
  <c r="H6" i="90"/>
  <c r="E46" i="90"/>
  <c r="K41" i="92" s="1"/>
  <c r="K10" i="92"/>
  <c r="K38" i="92"/>
  <c r="E45" i="90"/>
  <c r="E63" i="92" l="1"/>
  <c r="C64" i="92"/>
  <c r="D41" i="92"/>
  <c r="K40" i="92"/>
  <c r="M25" i="92"/>
  <c r="I7" i="90"/>
  <c r="H40" i="90"/>
  <c r="H38" i="90" s="1"/>
  <c r="L36" i="92"/>
  <c r="E36" i="92" s="1"/>
  <c r="F43" i="90"/>
  <c r="D38" i="92"/>
  <c r="K24" i="92"/>
  <c r="D24" i="92" s="1"/>
  <c r="N26" i="92" l="1"/>
  <c r="G26" i="92" s="1"/>
  <c r="I6" i="90"/>
  <c r="F45" i="90"/>
  <c r="F46" i="90"/>
  <c r="L41" i="92" s="1"/>
  <c r="L10" i="92"/>
  <c r="C10" i="92" s="1"/>
  <c r="C12" i="92" s="1"/>
  <c r="L38" i="92"/>
  <c r="F25" i="92"/>
  <c r="F59" i="92"/>
  <c r="F60" i="92" s="1"/>
  <c r="F61" i="92" s="1"/>
  <c r="D40" i="92"/>
  <c r="M35" i="92"/>
  <c r="F35" i="92" s="1"/>
  <c r="H41" i="90"/>
  <c r="F63" i="92" l="1"/>
  <c r="L40" i="92"/>
  <c r="C47" i="90"/>
  <c r="E38" i="92"/>
  <c r="L24" i="92"/>
  <c r="E24" i="92" s="1"/>
  <c r="J7" i="90"/>
  <c r="I40" i="90"/>
  <c r="I38" i="90" s="1"/>
  <c r="N25" i="92"/>
  <c r="E41" i="92"/>
  <c r="C23" i="92" s="1"/>
  <c r="J23" i="92"/>
  <c r="H43" i="90"/>
  <c r="M36" i="92"/>
  <c r="F36" i="92" s="1"/>
  <c r="J6" i="90" l="1"/>
  <c r="O26" i="92"/>
  <c r="H26" i="92" s="1"/>
  <c r="G25" i="92"/>
  <c r="G59" i="92"/>
  <c r="G60" i="92" s="1"/>
  <c r="G61" i="92" s="1"/>
  <c r="E40" i="92"/>
  <c r="C22" i="92" s="1"/>
  <c r="J22" i="92"/>
  <c r="M38" i="92"/>
  <c r="H45" i="90"/>
  <c r="H46" i="90"/>
  <c r="M41" i="92" s="1"/>
  <c r="M10" i="92"/>
  <c r="N35" i="92"/>
  <c r="G35" i="92" s="1"/>
  <c r="I41" i="90"/>
  <c r="C48" i="90"/>
  <c r="J11" i="92"/>
  <c r="C4" i="92" s="1"/>
  <c r="C6" i="92" s="1"/>
  <c r="F38" i="92" l="1"/>
  <c r="M24" i="92"/>
  <c r="F24" i="92" s="1"/>
  <c r="M40" i="92"/>
  <c r="I43" i="90"/>
  <c r="N36" i="92"/>
  <c r="G36" i="92" s="1"/>
  <c r="G63" i="92"/>
  <c r="C49" i="90"/>
  <c r="J12" i="92"/>
  <c r="E4" i="92" s="1"/>
  <c r="E6" i="92" s="1"/>
  <c r="F41" i="92"/>
  <c r="J40" i="90"/>
  <c r="J38" i="90" s="1"/>
  <c r="O25" i="92"/>
  <c r="H25" i="92" l="1"/>
  <c r="H59" i="92"/>
  <c r="H60" i="92" s="1"/>
  <c r="H61" i="92" s="1"/>
  <c r="O35" i="92"/>
  <c r="H35" i="92" s="1"/>
  <c r="J41" i="90"/>
  <c r="N10" i="92"/>
  <c r="N38" i="92"/>
  <c r="I45" i="90"/>
  <c r="I46" i="90"/>
  <c r="N41" i="92" s="1"/>
  <c r="F40" i="92"/>
  <c r="N40" i="92" l="1"/>
  <c r="O36" i="92"/>
  <c r="H36" i="92" s="1"/>
  <c r="J43" i="90"/>
  <c r="N24" i="92"/>
  <c r="G24" i="92" s="1"/>
  <c r="G38" i="92"/>
  <c r="G41" i="92"/>
  <c r="H63" i="92"/>
  <c r="F64" i="92"/>
  <c r="J46" i="90" l="1"/>
  <c r="O41" i="92" s="1"/>
  <c r="J45" i="90"/>
  <c r="O10" i="92"/>
  <c r="D10" i="92" s="1"/>
  <c r="D12" i="92" s="1"/>
  <c r="O38" i="92"/>
  <c r="G40" i="92"/>
  <c r="H38" i="92" l="1"/>
  <c r="O24" i="92"/>
  <c r="H24" i="92" s="1"/>
  <c r="O40" i="92"/>
  <c r="G47" i="90"/>
  <c r="H41" i="92"/>
  <c r="F23" i="92" s="1"/>
  <c r="M23" i="92"/>
  <c r="H40" i="92" l="1"/>
  <c r="F22" i="92" s="1"/>
  <c r="M22" i="92"/>
  <c r="G48" i="90"/>
  <c r="M12" i="92" s="1"/>
  <c r="F4" i="92" s="1"/>
  <c r="F6" i="92" s="1"/>
  <c r="M11" i="92"/>
  <c r="D4" i="92" s="1"/>
  <c r="D6" i="92" s="1"/>
  <c r="C52" i="109" l="1"/>
  <c r="D52" i="109" l="1"/>
  <c r="E52" i="109" l="1"/>
  <c r="O52" i="109" l="1"/>
  <c r="O51" i="109" s="1"/>
  <c r="G17" i="109" l="1"/>
  <c r="H17" i="109" s="1"/>
  <c r="O53" i="109"/>
  <c r="I17" i="109" l="1"/>
  <c r="J17" i="109" l="1"/>
  <c r="K17" i="109" s="1"/>
  <c r="L17" i="109" s="1"/>
  <c r="G48" i="89"/>
  <c r="M17" i="109" l="1"/>
  <c r="H46" i="89"/>
  <c r="H7" i="4"/>
  <c r="H6" i="4" s="1"/>
  <c r="G12" i="30"/>
  <c r="G25" i="30" s="1"/>
  <c r="G24" i="30" s="1"/>
  <c r="H48" i="89"/>
  <c r="H19" i="4"/>
  <c r="G19" i="4"/>
  <c r="M6" i="122" s="1"/>
  <c r="N6" i="122" s="1"/>
  <c r="O5" i="4" l="1"/>
  <c r="H5" i="4" s="1"/>
  <c r="U5" i="4"/>
  <c r="D26" i="119"/>
  <c r="N17" i="109"/>
  <c r="O18" i="109" s="1"/>
  <c r="H51" i="89"/>
  <c r="H52" i="89" s="1"/>
  <c r="H47" i="89"/>
  <c r="H5" i="56"/>
  <c r="D26" i="80"/>
  <c r="I19" i="4"/>
  <c r="I20" i="30"/>
  <c r="V5" i="4"/>
  <c r="AC16" i="4"/>
  <c r="I48" i="89"/>
  <c r="C9" i="110"/>
  <c r="E9" i="110" s="1"/>
  <c r="E3" i="110" s="1"/>
  <c r="AB16" i="4"/>
  <c r="AB5" i="4"/>
  <c r="N5" i="4"/>
  <c r="G5" i="4" s="1"/>
  <c r="J170" i="30"/>
  <c r="J190" i="30"/>
  <c r="C10" i="110"/>
  <c r="F10" i="110" s="1"/>
  <c r="F3" i="110" s="1"/>
  <c r="G43" i="4" l="1"/>
  <c r="G4" i="47"/>
  <c r="M3" i="122" s="1"/>
  <c r="N3" i="122" s="1"/>
  <c r="I46" i="89"/>
  <c r="I51" i="89" s="1"/>
  <c r="I52" i="89" s="1"/>
  <c r="I7" i="4"/>
  <c r="H4" i="47"/>
  <c r="H36" i="51" s="1"/>
  <c r="H80" i="51" s="1"/>
  <c r="H43" i="4"/>
  <c r="D29" i="80"/>
  <c r="G21" i="56"/>
  <c r="G43" i="56" s="1"/>
  <c r="B191" i="30"/>
  <c r="C19" i="103" s="1"/>
  <c r="C22" i="103" s="1"/>
  <c r="K48" i="89"/>
  <c r="J48" i="89"/>
  <c r="J19" i="4"/>
  <c r="J20" i="30"/>
  <c r="AD16" i="4"/>
  <c r="W5" i="4"/>
  <c r="J172" i="30"/>
  <c r="I14" i="103" s="1"/>
  <c r="I12" i="103"/>
  <c r="J192" i="30"/>
  <c r="I21" i="103" s="1"/>
  <c r="I19" i="103"/>
  <c r="J46" i="89" l="1"/>
  <c r="I6" i="4"/>
  <c r="P5" i="4" s="1"/>
  <c r="I5" i="4" s="1"/>
  <c r="G7" i="47"/>
  <c r="D5" i="119" s="1"/>
  <c r="I47" i="89"/>
  <c r="H10" i="79"/>
  <c r="G24" i="47"/>
  <c r="H7" i="51"/>
  <c r="H73" i="51" s="1"/>
  <c r="H7" i="47"/>
  <c r="H12" i="79" s="1"/>
  <c r="H5" i="89"/>
  <c r="D2" i="119"/>
  <c r="H24" i="47"/>
  <c r="AE16" i="4"/>
  <c r="X5" i="4"/>
  <c r="K19" i="4"/>
  <c r="K20" i="30"/>
  <c r="I22" i="103"/>
  <c r="I23" i="103" s="1"/>
  <c r="G10" i="79"/>
  <c r="G36" i="51"/>
  <c r="D4" i="111"/>
  <c r="E4" i="111" s="1"/>
  <c r="F4" i="111" s="1"/>
  <c r="G7" i="51"/>
  <c r="G73" i="51" s="1"/>
  <c r="G5" i="89"/>
  <c r="I15" i="103"/>
  <c r="I16" i="103" s="1"/>
  <c r="O17" i="109"/>
  <c r="O16" i="109" s="1"/>
  <c r="J7" i="4" l="1"/>
  <c r="J6" i="4" s="1"/>
  <c r="Q5" i="4" s="1"/>
  <c r="J5" i="4" s="1"/>
  <c r="J47" i="89"/>
  <c r="J51" i="89"/>
  <c r="J52" i="89" s="1"/>
  <c r="K46" i="89"/>
  <c r="K51" i="89" s="1"/>
  <c r="I43" i="4"/>
  <c r="I4" i="47"/>
  <c r="I24" i="47" s="1"/>
  <c r="Y5" i="4"/>
  <c r="AF16" i="4"/>
  <c r="G6" i="89"/>
  <c r="H6" i="89"/>
  <c r="G80" i="51"/>
  <c r="D53" i="111"/>
  <c r="E53" i="111" s="1"/>
  <c r="F53" i="111" s="1"/>
  <c r="G12" i="79"/>
  <c r="D7" i="111"/>
  <c r="E7" i="111" s="1"/>
  <c r="F7" i="111" s="1"/>
  <c r="C13" i="110"/>
  <c r="D27" i="80" s="1"/>
  <c r="D26" i="111"/>
  <c r="E26" i="111" s="1"/>
  <c r="F26" i="111" s="1"/>
  <c r="K52" i="89" l="1"/>
  <c r="K7" i="4"/>
  <c r="K6" i="4" s="1"/>
  <c r="R5" i="4" s="1"/>
  <c r="K5" i="4" s="1"/>
  <c r="K43" i="4" s="1"/>
  <c r="K47" i="89"/>
  <c r="I36" i="51"/>
  <c r="I80" i="51" s="1"/>
  <c r="I7" i="51"/>
  <c r="I73" i="51" s="1"/>
  <c r="J4" i="47"/>
  <c r="J24" i="47" s="1"/>
  <c r="J43" i="4"/>
  <c r="I10" i="79"/>
  <c r="I7" i="47"/>
  <c r="I12" i="79" s="1"/>
  <c r="I5" i="89"/>
  <c r="I6" i="89" s="1"/>
  <c r="G49" i="39"/>
  <c r="G29" i="37"/>
  <c r="G16" i="45" s="1"/>
  <c r="H22" i="51"/>
  <c r="I22" i="51"/>
  <c r="J7" i="51" l="1"/>
  <c r="J73" i="51" s="1"/>
  <c r="J5" i="89"/>
  <c r="J6" i="89" s="1"/>
  <c r="J7" i="47"/>
  <c r="J12" i="79" s="1"/>
  <c r="J10" i="79"/>
  <c r="J36" i="51"/>
  <c r="J80" i="51" s="1"/>
  <c r="K4" i="47"/>
  <c r="K24" i="47" s="1"/>
  <c r="H25" i="39"/>
  <c r="I25" i="39"/>
  <c r="K7" i="47" l="1"/>
  <c r="K12" i="79" s="1"/>
  <c r="K36" i="51"/>
  <c r="K80" i="51" s="1"/>
  <c r="K7" i="51"/>
  <c r="K73" i="51" s="1"/>
  <c r="K5" i="89"/>
  <c r="K6" i="89" s="1"/>
  <c r="K10" i="79"/>
  <c r="D75" i="105"/>
  <c r="D76" i="105"/>
  <c r="D77" i="105"/>
  <c r="D78" i="105"/>
  <c r="D79" i="105"/>
  <c r="D80" i="105"/>
  <c r="D81" i="105"/>
  <c r="D82" i="105"/>
  <c r="D83" i="105"/>
  <c r="D84" i="105"/>
  <c r="D85" i="105"/>
  <c r="D86" i="105"/>
  <c r="D87" i="105"/>
  <c r="D88" i="105"/>
  <c r="D89" i="105"/>
  <c r="D90" i="105"/>
  <c r="D91" i="105"/>
  <c r="D92" i="105"/>
  <c r="D93" i="105"/>
  <c r="D94" i="105"/>
  <c r="D95" i="105"/>
  <c r="D96" i="105"/>
  <c r="D97" i="105"/>
  <c r="D98" i="105"/>
  <c r="D99" i="105"/>
  <c r="D100" i="105"/>
  <c r="D101" i="105"/>
  <c r="D102" i="105"/>
  <c r="D103" i="105"/>
  <c r="D104" i="105"/>
  <c r="D179" i="105"/>
  <c r="D105" i="105" l="1"/>
  <c r="O9" i="105" s="1"/>
  <c r="H10" i="48" s="1"/>
  <c r="D180" i="105"/>
  <c r="D181" i="105"/>
  <c r="D182" i="105"/>
  <c r="D183" i="105"/>
  <c r="D184" i="105"/>
  <c r="D185" i="105"/>
  <c r="D186" i="105"/>
  <c r="D187" i="105"/>
  <c r="D188" i="105"/>
  <c r="D189" i="105"/>
  <c r="D190" i="105"/>
  <c r="D191" i="105"/>
  <c r="D192" i="105"/>
  <c r="D193" i="105"/>
  <c r="D194" i="105"/>
  <c r="D195" i="105"/>
  <c r="D196" i="105"/>
  <c r="D197" i="105"/>
  <c r="D198" i="105"/>
  <c r="D199" i="105"/>
  <c r="D200" i="105"/>
  <c r="D201" i="105"/>
  <c r="D202" i="105"/>
  <c r="D203" i="105"/>
  <c r="D204" i="105"/>
  <c r="D205" i="105"/>
  <c r="D206" i="105"/>
  <c r="D207" i="105"/>
  <c r="D208" i="105"/>
  <c r="D209" i="105"/>
  <c r="D145" i="105"/>
  <c r="D146" i="105"/>
  <c r="D147" i="105"/>
  <c r="D148" i="105"/>
  <c r="D149" i="105"/>
  <c r="D150" i="105"/>
  <c r="D151" i="105"/>
  <c r="D152" i="105"/>
  <c r="D153" i="105"/>
  <c r="D154" i="105"/>
  <c r="D155" i="105"/>
  <c r="D156" i="105"/>
  <c r="D157" i="105"/>
  <c r="D158" i="105"/>
  <c r="D159" i="105"/>
  <c r="D160" i="105"/>
  <c r="D161" i="105"/>
  <c r="D162" i="105"/>
  <c r="D163" i="105"/>
  <c r="D164" i="105"/>
  <c r="D165" i="105"/>
  <c r="D166" i="105"/>
  <c r="D167" i="105"/>
  <c r="D168" i="105"/>
  <c r="D169" i="105"/>
  <c r="D170" i="105"/>
  <c r="D171" i="105"/>
  <c r="D172" i="105"/>
  <c r="D173" i="105"/>
  <c r="D174" i="105"/>
  <c r="D210" i="105" l="1"/>
  <c r="R9" i="105" s="1"/>
  <c r="K10" i="48" s="1"/>
  <c r="D175" i="105"/>
  <c r="Q9" i="105" s="1"/>
  <c r="D110" i="105"/>
  <c r="D111" i="105"/>
  <c r="D112" i="105"/>
  <c r="D113" i="105"/>
  <c r="D114" i="105"/>
  <c r="D115" i="105"/>
  <c r="D116" i="105"/>
  <c r="D117" i="105"/>
  <c r="D118" i="105"/>
  <c r="D119" i="105"/>
  <c r="D120" i="105"/>
  <c r="D121" i="105"/>
  <c r="D122" i="105"/>
  <c r="D123" i="105"/>
  <c r="D124" i="105"/>
  <c r="D125" i="105"/>
  <c r="D126" i="105"/>
  <c r="D127" i="105"/>
  <c r="D128" i="105"/>
  <c r="D129" i="105"/>
  <c r="D130" i="105"/>
  <c r="D131" i="105"/>
  <c r="D132" i="105"/>
  <c r="D133" i="105"/>
  <c r="D134" i="105"/>
  <c r="D135" i="105"/>
  <c r="D136" i="105"/>
  <c r="D137" i="105"/>
  <c r="D138" i="105"/>
  <c r="D139" i="105"/>
  <c r="D140" i="105" l="1"/>
  <c r="H7" i="56"/>
  <c r="P9" i="105" l="1"/>
  <c r="I10" i="48" s="1"/>
  <c r="M40" i="17"/>
  <c r="L5" i="103" s="1"/>
  <c r="G175" i="30"/>
  <c r="F26" i="103" s="1"/>
  <c r="G10" i="51"/>
  <c r="G74" i="51" s="1"/>
  <c r="G177" i="30" l="1"/>
  <c r="F28" i="103" s="1"/>
  <c r="F29" i="103" s="1"/>
  <c r="F30" i="103" s="1"/>
  <c r="M42" i="17"/>
  <c r="L7" i="103" s="1"/>
  <c r="L8" i="103" s="1"/>
  <c r="L9" i="103" s="1"/>
  <c r="E185" i="30"/>
  <c r="D29" i="111"/>
  <c r="E29" i="111" s="1"/>
  <c r="F29" i="111" s="1"/>
  <c r="G88" i="51" l="1"/>
  <c r="G89" i="51" s="1"/>
  <c r="D40" i="103"/>
  <c r="E187" i="30"/>
  <c r="D42" i="103" s="1"/>
  <c r="H10" i="51"/>
  <c r="H74" i="51" s="1"/>
  <c r="H88" i="51" s="1"/>
  <c r="I10" i="51"/>
  <c r="I74" i="51" s="1"/>
  <c r="I88" i="51" s="1"/>
  <c r="J10" i="51"/>
  <c r="J74" i="51" s="1"/>
  <c r="K10" i="51"/>
  <c r="K74" i="51" s="1"/>
  <c r="H89" i="51" l="1"/>
  <c r="D43" i="103"/>
  <c r="D44" i="103" s="1"/>
  <c r="I89" i="51"/>
  <c r="J88" i="51"/>
  <c r="J89" i="51" s="1"/>
  <c r="H8" i="39" l="1"/>
  <c r="I24" i="48"/>
  <c r="H26" i="51"/>
  <c r="I35" i="48" l="1"/>
  <c r="I22" i="48"/>
  <c r="J28" i="48"/>
  <c r="J24" i="48" s="1"/>
  <c r="J35" i="48" s="1"/>
  <c r="I8" i="39"/>
  <c r="K28" i="48" l="1"/>
  <c r="K29" i="48"/>
  <c r="I26" i="51"/>
  <c r="J22" i="48" l="1"/>
  <c r="J8" i="39"/>
  <c r="K24" i="48" l="1"/>
  <c r="J26" i="51"/>
  <c r="K22" i="48" l="1"/>
  <c r="K26" i="51" s="1"/>
  <c r="K35" i="48"/>
  <c r="K8" i="39"/>
  <c r="D73" i="111" l="1"/>
  <c r="E73" i="111" s="1"/>
  <c r="F73" i="111" s="1"/>
  <c r="C57" i="109" l="1"/>
  <c r="D134" i="41"/>
  <c r="D57" i="109" s="1"/>
  <c r="E134" i="41"/>
  <c r="F134" i="41"/>
  <c r="F33" i="109" s="1"/>
  <c r="G134" i="41"/>
  <c r="G33" i="109" s="1"/>
  <c r="H134" i="41"/>
  <c r="H33" i="109" s="1"/>
  <c r="I134" i="41"/>
  <c r="I33" i="109" s="1"/>
  <c r="J134" i="41"/>
  <c r="J33" i="109" s="1"/>
  <c r="K134" i="41"/>
  <c r="L134" i="41"/>
  <c r="L33" i="109" s="1"/>
  <c r="M33" i="109"/>
  <c r="N134" i="41"/>
  <c r="N33" i="109" s="1"/>
  <c r="C33" i="109"/>
  <c r="K33" i="109"/>
  <c r="G57" i="109"/>
  <c r="L10" i="109" l="1"/>
  <c r="F57" i="109"/>
  <c r="E33" i="109"/>
  <c r="E57" i="109"/>
  <c r="O57" i="109" s="1"/>
  <c r="O134" i="41"/>
  <c r="D33" i="109"/>
  <c r="O33" i="109" s="1"/>
  <c r="G23" i="109" l="1"/>
  <c r="G22" i="109"/>
  <c r="H22" i="109" l="1"/>
  <c r="I22" i="109" s="1"/>
  <c r="J22" i="109" l="1"/>
  <c r="K22" i="109" l="1"/>
  <c r="L22" i="109" s="1"/>
  <c r="M22" i="109" s="1"/>
  <c r="N22" i="109" l="1"/>
  <c r="O22" i="109" s="1"/>
  <c r="G52" i="30" s="1"/>
  <c r="H52" i="30" l="1"/>
  <c r="G34" i="4"/>
  <c r="D41" i="119" s="1"/>
  <c r="I52" i="30" l="1"/>
  <c r="H34" i="4"/>
  <c r="J52" i="30" l="1"/>
  <c r="I34" i="4"/>
  <c r="K52" i="30" l="1"/>
  <c r="K34" i="4" s="1"/>
  <c r="J34" i="4"/>
  <c r="K6" i="48" l="1"/>
  <c r="K8" i="51" s="1"/>
  <c r="K76" i="51" s="1"/>
  <c r="K88" i="51" s="1"/>
  <c r="K89" i="51" s="1"/>
  <c r="J10" i="48"/>
  <c r="J11" i="48"/>
  <c r="K11" i="48"/>
  <c r="J17" i="48"/>
  <c r="J22" i="51" s="1"/>
  <c r="J25" i="39" s="1"/>
  <c r="K17" i="48"/>
  <c r="K22" i="51" s="1"/>
  <c r="K23" i="39"/>
  <c r="K25" i="39" l="1"/>
  <c r="K37" i="89"/>
  <c r="G6" i="114" l="1"/>
  <c r="Y6" i="114" s="1"/>
  <c r="Z6" i="114" s="1"/>
  <c r="I6" i="114"/>
  <c r="A7" i="114"/>
  <c r="C7" i="114"/>
  <c r="K7" i="114"/>
  <c r="Y7" i="114"/>
  <c r="Z7" i="114" s="1"/>
  <c r="I5" i="114" l="1"/>
  <c r="J6" i="114"/>
  <c r="I23" i="114"/>
  <c r="K23" i="114" s="1"/>
  <c r="G5" i="114"/>
  <c r="C5" i="114"/>
  <c r="I61" i="114"/>
  <c r="J61" i="114" s="1"/>
  <c r="C6" i="114"/>
  <c r="I4" i="114" l="1"/>
  <c r="J4" i="114" s="1"/>
  <c r="G7" i="120"/>
  <c r="J5" i="114"/>
  <c r="K6" i="114"/>
  <c r="K5" i="114"/>
  <c r="C61" i="114"/>
  <c r="K61" i="114"/>
  <c r="Y5" i="114"/>
  <c r="Z5" i="114" s="1"/>
  <c r="G4" i="114"/>
  <c r="Y4" i="114" s="1"/>
  <c r="Z4" i="114" s="1"/>
  <c r="I1" i="114" l="1"/>
  <c r="G9" i="120"/>
  <c r="G5" i="120"/>
  <c r="H7" i="120"/>
  <c r="I7" i="120" s="1"/>
  <c r="K4" i="114"/>
  <c r="L44" i="114"/>
  <c r="L36" i="114"/>
  <c r="L46" i="114"/>
  <c r="L38" i="114"/>
  <c r="L40" i="114"/>
  <c r="L45" i="114"/>
  <c r="L42" i="114"/>
  <c r="L39" i="114"/>
  <c r="L35" i="114"/>
  <c r="L43" i="114"/>
  <c r="L47" i="114"/>
  <c r="L37" i="114"/>
  <c r="L48" i="114"/>
  <c r="L49" i="114"/>
  <c r="L50" i="114"/>
  <c r="L60" i="114"/>
  <c r="L51" i="114"/>
  <c r="L59" i="114"/>
  <c r="L52" i="114"/>
  <c r="L63" i="114"/>
  <c r="L24" i="114"/>
  <c r="L58" i="114"/>
  <c r="L7" i="114"/>
  <c r="L54" i="114"/>
  <c r="L34" i="114"/>
  <c r="L56" i="114"/>
  <c r="L41" i="114"/>
  <c r="L55" i="114"/>
  <c r="L25" i="114"/>
  <c r="L53" i="114"/>
  <c r="L62" i="114"/>
  <c r="L22" i="114"/>
  <c r="L18" i="114"/>
  <c r="L20" i="114"/>
  <c r="L17" i="114"/>
  <c r="L21" i="114"/>
  <c r="L19" i="114"/>
  <c r="L16" i="114"/>
  <c r="L27" i="114"/>
  <c r="L26" i="114"/>
  <c r="L11" i="114"/>
  <c r="L30" i="114"/>
  <c r="L28" i="114"/>
  <c r="L8" i="114"/>
  <c r="L61" i="114"/>
  <c r="C4" i="114"/>
  <c r="L5" i="114"/>
  <c r="L6" i="114"/>
  <c r="D5" i="120"/>
  <c r="L4" i="114" l="1"/>
  <c r="H5" i="120"/>
  <c r="G8" i="120"/>
  <c r="H9" i="120"/>
  <c r="I9" i="120" s="1"/>
  <c r="D4" i="120"/>
  <c r="E4" i="120" s="1"/>
  <c r="E5" i="120"/>
  <c r="H8" i="120" l="1"/>
  <c r="J8" i="120"/>
  <c r="I5" i="120"/>
  <c r="G4" i="120"/>
  <c r="H4" i="120" s="1"/>
  <c r="I4" i="120" s="1"/>
  <c r="J5" i="120" l="1"/>
  <c r="I8" i="120"/>
  <c r="J10" i="120"/>
  <c r="J9" i="120"/>
  <c r="J4" i="120" l="1"/>
  <c r="J6" i="120"/>
  <c r="J7" i="120"/>
  <c r="H11" i="121" l="1"/>
  <c r="I11" i="121"/>
  <c r="I12" i="121" s="1"/>
  <c r="I13" i="121" s="1"/>
  <c r="J11" i="121"/>
  <c r="J12" i="121" s="1"/>
  <c r="J13" i="121" s="1"/>
  <c r="K11" i="121"/>
  <c r="K12" i="121" s="1"/>
  <c r="K13" i="121" s="1"/>
  <c r="H12" i="121"/>
  <c r="H13" i="121" s="1"/>
  <c r="D3" i="119"/>
  <c r="D4" i="119"/>
  <c r="D8" i="119"/>
  <c r="D13" i="119"/>
  <c r="D16" i="119"/>
  <c r="D17" i="119"/>
  <c r="D18" i="119"/>
  <c r="D19" i="119"/>
  <c r="D20" i="119"/>
  <c r="D23" i="119"/>
  <c r="D25" i="119"/>
  <c r="K36" i="119"/>
  <c r="L36" i="119"/>
  <c r="N36" i="119"/>
  <c r="O36" i="119"/>
  <c r="P36" i="119"/>
  <c r="Q36" i="119"/>
  <c r="S36" i="119"/>
  <c r="T36" i="119"/>
  <c r="K37" i="119"/>
  <c r="L37" i="119"/>
  <c r="N37" i="119"/>
  <c r="O37" i="119"/>
  <c r="P37" i="119"/>
  <c r="Q37" i="119"/>
  <c r="S37" i="119"/>
  <c r="T37" i="119"/>
  <c r="K38" i="119"/>
  <c r="L38" i="119"/>
  <c r="N38" i="119"/>
  <c r="O38" i="119"/>
  <c r="P38" i="119"/>
  <c r="Q38" i="119"/>
  <c r="S38" i="119"/>
  <c r="T38" i="119"/>
  <c r="K39" i="119"/>
  <c r="L39" i="119"/>
  <c r="N39" i="119"/>
  <c r="O39" i="119"/>
  <c r="P39" i="119"/>
  <c r="Q39" i="119"/>
  <c r="S39" i="119"/>
  <c r="T39" i="119"/>
  <c r="D40" i="119"/>
  <c r="K40" i="119"/>
  <c r="L40" i="119"/>
  <c r="N40" i="119"/>
  <c r="O40" i="119"/>
  <c r="P40" i="119"/>
  <c r="Q40" i="119"/>
  <c r="S40" i="119"/>
  <c r="T40" i="119"/>
  <c r="K41" i="119"/>
  <c r="L41" i="119"/>
  <c r="N41" i="119"/>
  <c r="O41" i="119"/>
  <c r="P41" i="119"/>
  <c r="Q41" i="119"/>
  <c r="S41" i="119"/>
  <c r="T41" i="119"/>
  <c r="K42" i="119"/>
  <c r="L42" i="119"/>
  <c r="N42" i="119"/>
  <c r="O42" i="119"/>
  <c r="P42" i="119"/>
  <c r="Q42" i="119"/>
  <c r="S42" i="119"/>
  <c r="T42" i="119"/>
  <c r="K43" i="119"/>
  <c r="L43" i="119"/>
  <c r="N43" i="119"/>
  <c r="O43" i="119"/>
  <c r="P43" i="119"/>
  <c r="Q43" i="119"/>
  <c r="S43" i="119"/>
  <c r="T43" i="119"/>
  <c r="K44" i="119"/>
  <c r="L44" i="119"/>
  <c r="N44" i="119"/>
  <c r="O44" i="119"/>
  <c r="P44" i="119"/>
  <c r="Q44" i="119"/>
  <c r="S44" i="119"/>
  <c r="T44" i="119"/>
  <c r="K45" i="119"/>
  <c r="L45" i="119"/>
  <c r="N45" i="119"/>
  <c r="O45" i="119"/>
  <c r="P45" i="119"/>
  <c r="Q45" i="119"/>
  <c r="S45" i="119"/>
  <c r="T45" i="119"/>
  <c r="K46" i="119"/>
  <c r="L46" i="119"/>
  <c r="N46" i="119"/>
  <c r="O46" i="119"/>
  <c r="P46" i="119"/>
  <c r="Q46" i="119"/>
  <c r="S46" i="119"/>
  <c r="T46" i="119"/>
  <c r="K47" i="119"/>
  <c r="L47" i="119"/>
  <c r="N47" i="119"/>
  <c r="O47" i="119"/>
  <c r="P47" i="119"/>
  <c r="Q47" i="119"/>
  <c r="S47" i="119"/>
  <c r="T47" i="119"/>
  <c r="K48" i="119"/>
  <c r="L48" i="119"/>
  <c r="N48" i="119"/>
  <c r="O48" i="119"/>
  <c r="P48" i="119"/>
  <c r="Q48" i="119"/>
  <c r="S48" i="119"/>
  <c r="T48" i="119"/>
  <c r="K49" i="119"/>
  <c r="L49" i="119"/>
  <c r="N49" i="119"/>
  <c r="O49" i="119"/>
  <c r="P49" i="119"/>
  <c r="Q49" i="119"/>
  <c r="S49" i="119"/>
  <c r="T49" i="119"/>
  <c r="K50" i="119"/>
  <c r="L50" i="119"/>
  <c r="N50" i="119"/>
  <c r="O50" i="119"/>
  <c r="P50" i="119"/>
  <c r="Q50" i="119"/>
  <c r="S50" i="119"/>
  <c r="T50" i="119"/>
  <c r="K51" i="119"/>
  <c r="L51" i="119"/>
  <c r="N51" i="119"/>
  <c r="O51" i="119"/>
  <c r="P51" i="119"/>
  <c r="Q51" i="119"/>
  <c r="S51" i="119"/>
  <c r="T51" i="119"/>
  <c r="K52" i="119"/>
  <c r="L52" i="119"/>
  <c r="N52" i="119"/>
  <c r="O52" i="119"/>
  <c r="P52" i="119"/>
  <c r="Q52" i="119"/>
  <c r="S52" i="119"/>
  <c r="T52" i="119"/>
  <c r="K53" i="119"/>
  <c r="L53" i="119"/>
  <c r="N53" i="119"/>
  <c r="O53" i="119"/>
  <c r="P53" i="119"/>
  <c r="Q53" i="119"/>
  <c r="S53" i="119"/>
  <c r="T53" i="119"/>
  <c r="K54" i="119"/>
  <c r="L54" i="119"/>
  <c r="N54" i="119"/>
  <c r="O54" i="119"/>
  <c r="P54" i="119"/>
  <c r="Q54" i="119"/>
  <c r="S54" i="119"/>
  <c r="T54" i="119"/>
  <c r="K55" i="119"/>
  <c r="L55" i="119"/>
  <c r="N55" i="119"/>
  <c r="O55" i="119"/>
  <c r="P55" i="119"/>
  <c r="Q55" i="119"/>
  <c r="S55" i="119"/>
  <c r="T55" i="119"/>
  <c r="K56" i="119"/>
  <c r="L56" i="119"/>
  <c r="N56" i="119"/>
  <c r="O56" i="119"/>
  <c r="P56" i="119"/>
  <c r="Q56" i="119"/>
  <c r="S56" i="119"/>
  <c r="T56" i="119"/>
  <c r="K57" i="119"/>
  <c r="L57" i="119"/>
  <c r="N57" i="119"/>
  <c r="O57" i="119"/>
  <c r="P57" i="119"/>
  <c r="Q57" i="119"/>
  <c r="S57" i="119"/>
  <c r="T57" i="119"/>
  <c r="K58" i="119"/>
  <c r="L58" i="119"/>
  <c r="N58" i="119"/>
  <c r="O58" i="119"/>
  <c r="P58" i="119"/>
  <c r="Q58" i="119"/>
  <c r="S58" i="119"/>
  <c r="T58" i="119"/>
  <c r="K59" i="119"/>
  <c r="L59" i="119"/>
  <c r="N59" i="119"/>
  <c r="O59" i="119"/>
  <c r="P59" i="119"/>
  <c r="Q59" i="119"/>
  <c r="S59" i="119"/>
  <c r="T59" i="119"/>
  <c r="K60" i="119"/>
  <c r="L60" i="119"/>
  <c r="N60" i="119"/>
  <c r="O60" i="119"/>
  <c r="P60" i="119"/>
  <c r="Q60" i="119"/>
  <c r="S60" i="119"/>
  <c r="T60" i="119"/>
  <c r="K61" i="119"/>
  <c r="L61" i="119"/>
  <c r="N61" i="119"/>
  <c r="O61" i="119"/>
  <c r="P61" i="119"/>
  <c r="Q61" i="119"/>
  <c r="S61" i="119"/>
  <c r="T61" i="119"/>
  <c r="K62" i="119"/>
  <c r="L62" i="119"/>
  <c r="N62" i="119"/>
  <c r="O62" i="119"/>
  <c r="P62" i="119"/>
  <c r="Q62" i="119"/>
  <c r="S62" i="119"/>
  <c r="T62" i="119"/>
  <c r="K63" i="119"/>
  <c r="L63" i="119"/>
  <c r="N63" i="119"/>
  <c r="O63" i="119"/>
  <c r="P63" i="119"/>
  <c r="Q63" i="119"/>
  <c r="S63" i="119"/>
  <c r="T63" i="119"/>
  <c r="K64" i="119"/>
  <c r="L64" i="119"/>
  <c r="N64" i="119"/>
  <c r="O64" i="119"/>
  <c r="P64" i="119"/>
  <c r="Q64" i="119"/>
  <c r="S64" i="119"/>
  <c r="T64" i="119"/>
  <c r="K65" i="119"/>
  <c r="L65" i="119"/>
  <c r="N65" i="119"/>
  <c r="O65" i="119"/>
  <c r="P65" i="119"/>
  <c r="Q65" i="119"/>
  <c r="S65" i="119"/>
  <c r="T65" i="119"/>
  <c r="K66" i="119"/>
  <c r="L66" i="119"/>
  <c r="N66" i="119"/>
  <c r="O66" i="119"/>
  <c r="P66" i="119"/>
  <c r="Q66" i="119"/>
  <c r="S66" i="119"/>
  <c r="T66" i="119"/>
  <c r="K67" i="119"/>
  <c r="L67" i="119"/>
  <c r="N67" i="119"/>
  <c r="O67" i="119"/>
  <c r="P67" i="119"/>
  <c r="Q67" i="119"/>
  <c r="S67" i="119"/>
  <c r="T67" i="119"/>
  <c r="D5" i="103"/>
  <c r="E5" i="103"/>
  <c r="F5" i="103"/>
  <c r="G5" i="103"/>
  <c r="H5" i="103"/>
  <c r="J5" i="103"/>
  <c r="K5" i="103"/>
  <c r="M5" i="103"/>
  <c r="N5" i="103"/>
  <c r="O5" i="103"/>
  <c r="P5" i="103"/>
  <c r="Q5" i="103"/>
  <c r="D7" i="103"/>
  <c r="E7" i="103"/>
  <c r="F7" i="103"/>
  <c r="G7" i="103"/>
  <c r="H7" i="103"/>
  <c r="J7" i="103"/>
  <c r="K7" i="103"/>
  <c r="M7" i="103"/>
  <c r="N7" i="103"/>
  <c r="O7" i="103"/>
  <c r="P7" i="103"/>
  <c r="Q7" i="103"/>
  <c r="D8" i="103"/>
  <c r="E8" i="103"/>
  <c r="F8" i="103"/>
  <c r="G8" i="103"/>
  <c r="H8" i="103"/>
  <c r="J8" i="103"/>
  <c r="K8" i="103"/>
  <c r="M8" i="103"/>
  <c r="N8" i="103"/>
  <c r="O8" i="103"/>
  <c r="P8" i="103"/>
  <c r="Q8" i="103"/>
  <c r="D9" i="103"/>
  <c r="E9" i="103"/>
  <c r="F9" i="103"/>
  <c r="G9" i="103"/>
  <c r="H9" i="103"/>
  <c r="J9" i="103"/>
  <c r="K9" i="103"/>
  <c r="M9" i="103"/>
  <c r="N9" i="103"/>
  <c r="O9" i="103"/>
  <c r="P9" i="103"/>
  <c r="Q9" i="103"/>
  <c r="D12" i="103"/>
  <c r="E12" i="103"/>
  <c r="F12" i="103"/>
  <c r="G12" i="103"/>
  <c r="H12" i="103"/>
  <c r="J12" i="103"/>
  <c r="K12" i="103"/>
  <c r="L12" i="103"/>
  <c r="M12" i="103"/>
  <c r="N12" i="103"/>
  <c r="D14" i="103"/>
  <c r="E14" i="103"/>
  <c r="F14" i="103"/>
  <c r="G14" i="103"/>
  <c r="H14" i="103"/>
  <c r="J14" i="103"/>
  <c r="K14" i="103"/>
  <c r="L14" i="103"/>
  <c r="M14" i="103"/>
  <c r="N14" i="103"/>
  <c r="D15" i="103"/>
  <c r="E15" i="103"/>
  <c r="F15" i="103"/>
  <c r="G15" i="103"/>
  <c r="H15" i="103"/>
  <c r="J15" i="103"/>
  <c r="K15" i="103"/>
  <c r="L15" i="103"/>
  <c r="M15" i="103"/>
  <c r="N15" i="103"/>
  <c r="D16" i="103"/>
  <c r="E16" i="103"/>
  <c r="F16" i="103"/>
  <c r="G16" i="103"/>
  <c r="H16" i="103"/>
  <c r="J16" i="103"/>
  <c r="K16" i="103"/>
  <c r="L16" i="103"/>
  <c r="M16" i="103"/>
  <c r="N16" i="103"/>
  <c r="D19" i="103"/>
  <c r="E19" i="103"/>
  <c r="F19" i="103"/>
  <c r="G19" i="103"/>
  <c r="H19" i="103"/>
  <c r="J19" i="103"/>
  <c r="K19" i="103"/>
  <c r="L19" i="103"/>
  <c r="M19" i="103"/>
  <c r="N19" i="103"/>
  <c r="D21" i="103"/>
  <c r="E21" i="103"/>
  <c r="F21" i="103"/>
  <c r="G21" i="103"/>
  <c r="H21" i="103"/>
  <c r="J21" i="103"/>
  <c r="K21" i="103"/>
  <c r="L21" i="103"/>
  <c r="M21" i="103"/>
  <c r="N21" i="103"/>
  <c r="D22" i="103"/>
  <c r="E22" i="103"/>
  <c r="F22" i="103"/>
  <c r="G22" i="103"/>
  <c r="H22" i="103"/>
  <c r="J22" i="103"/>
  <c r="K22" i="103"/>
  <c r="L22" i="103"/>
  <c r="M22" i="103"/>
  <c r="N22" i="103"/>
  <c r="D23" i="103"/>
  <c r="E23" i="103"/>
  <c r="F23" i="103"/>
  <c r="G23" i="103"/>
  <c r="H23" i="103"/>
  <c r="J23" i="103"/>
  <c r="K23" i="103"/>
  <c r="L23" i="103"/>
  <c r="M23" i="103"/>
  <c r="N23" i="103"/>
  <c r="D26" i="103"/>
  <c r="E26" i="103"/>
  <c r="H26" i="103"/>
  <c r="I26" i="103"/>
  <c r="J26" i="103"/>
  <c r="K26" i="103"/>
  <c r="L26" i="103"/>
  <c r="D28" i="103"/>
  <c r="E28" i="103"/>
  <c r="H28" i="103"/>
  <c r="I28" i="103"/>
  <c r="J28" i="103"/>
  <c r="K28" i="103"/>
  <c r="L28" i="103"/>
  <c r="D29" i="103"/>
  <c r="E29" i="103"/>
  <c r="H29" i="103"/>
  <c r="I29" i="103"/>
  <c r="J29" i="103"/>
  <c r="K29" i="103"/>
  <c r="L29" i="103"/>
  <c r="D30" i="103"/>
  <c r="E30" i="103"/>
  <c r="H30" i="103"/>
  <c r="I30" i="103"/>
  <c r="J30" i="103"/>
  <c r="K30" i="103"/>
  <c r="L30" i="103"/>
  <c r="D33" i="103"/>
  <c r="E33" i="103"/>
  <c r="F33" i="103"/>
  <c r="G33" i="103"/>
  <c r="H33" i="103"/>
  <c r="I33" i="103"/>
  <c r="J33" i="103"/>
  <c r="K33" i="103"/>
  <c r="D35" i="103"/>
  <c r="E35" i="103"/>
  <c r="F35" i="103"/>
  <c r="G35" i="103"/>
  <c r="H35" i="103"/>
  <c r="I35" i="103"/>
  <c r="J35" i="103"/>
  <c r="K35" i="103"/>
  <c r="D36" i="103"/>
  <c r="E36" i="103"/>
  <c r="F36" i="103"/>
  <c r="G36" i="103"/>
  <c r="H36" i="103"/>
  <c r="I36" i="103"/>
  <c r="J36" i="103"/>
  <c r="K36" i="103"/>
  <c r="D37" i="103"/>
  <c r="E37" i="103"/>
  <c r="F37" i="103"/>
  <c r="G37" i="103"/>
  <c r="H37" i="103"/>
  <c r="I37" i="103"/>
  <c r="J37" i="103"/>
  <c r="K37" i="103"/>
  <c r="E40" i="103"/>
  <c r="F40" i="103"/>
  <c r="G40" i="103"/>
  <c r="H40" i="103"/>
  <c r="I40" i="103"/>
  <c r="J40" i="103"/>
  <c r="K40" i="103"/>
  <c r="L40" i="103"/>
  <c r="E42" i="103"/>
  <c r="F42" i="103"/>
  <c r="G42" i="103"/>
  <c r="H42" i="103"/>
  <c r="I42" i="103"/>
  <c r="J42" i="103"/>
  <c r="K42" i="103"/>
  <c r="L42" i="103"/>
  <c r="E43" i="103"/>
  <c r="F43" i="103"/>
  <c r="G43" i="103"/>
  <c r="H43" i="103"/>
  <c r="I43" i="103"/>
  <c r="J43" i="103"/>
  <c r="K43" i="103"/>
  <c r="L43" i="103"/>
  <c r="E44" i="103"/>
  <c r="F44" i="103"/>
  <c r="G44" i="103"/>
  <c r="H44" i="103"/>
  <c r="I44" i="103"/>
  <c r="J44" i="103"/>
  <c r="K44" i="103"/>
  <c r="L44" i="103"/>
  <c r="G3" i="122"/>
  <c r="H3" i="122"/>
  <c r="G4" i="122"/>
  <c r="H4" i="122"/>
  <c r="G5" i="122"/>
  <c r="H5" i="122"/>
  <c r="M5" i="122"/>
  <c r="N5" i="122"/>
  <c r="G6" i="122"/>
  <c r="H6" i="122"/>
  <c r="M7" i="122"/>
  <c r="N7" i="122"/>
  <c r="M8" i="122"/>
  <c r="N8" i="122"/>
  <c r="M9" i="122"/>
  <c r="N9" i="122"/>
  <c r="E16" i="94"/>
  <c r="L16" i="94"/>
  <c r="M16" i="94"/>
  <c r="O16" i="94"/>
  <c r="P16" i="94"/>
  <c r="R16" i="94"/>
  <c r="S16" i="94"/>
  <c r="E17" i="94"/>
  <c r="M17" i="94"/>
  <c r="P17" i="94"/>
  <c r="S17" i="94"/>
  <c r="E18" i="94"/>
  <c r="Q14" i="80"/>
  <c r="R14" i="80"/>
  <c r="D15" i="80"/>
  <c r="J15" i="80"/>
  <c r="Q15" i="80"/>
  <c r="R15" i="80"/>
  <c r="D16" i="80"/>
  <c r="J16" i="80"/>
  <c r="Q16" i="80"/>
  <c r="R16" i="80"/>
  <c r="D17" i="80"/>
  <c r="J17" i="80"/>
  <c r="Q17" i="80"/>
  <c r="R17" i="80"/>
  <c r="D18" i="80"/>
  <c r="J18" i="80"/>
  <c r="P18" i="80"/>
  <c r="D19" i="80"/>
  <c r="P19" i="80"/>
  <c r="P20" i="80"/>
  <c r="D23" i="80"/>
  <c r="D24" i="80"/>
  <c r="D28" i="80"/>
  <c r="A39" i="80"/>
  <c r="A49" i="80"/>
  <c r="E40" i="17"/>
  <c r="F40" i="17"/>
  <c r="G40" i="17"/>
  <c r="H40" i="17"/>
  <c r="I40" i="17"/>
  <c r="K40" i="17"/>
  <c r="L40" i="17"/>
  <c r="N40" i="17"/>
  <c r="O40" i="17"/>
  <c r="P40" i="17"/>
  <c r="Q40" i="17"/>
  <c r="R40" i="17"/>
  <c r="E42" i="17"/>
  <c r="F42" i="17"/>
  <c r="G42" i="17"/>
  <c r="H42" i="17"/>
  <c r="I42" i="17"/>
  <c r="K42" i="17"/>
  <c r="L42" i="17"/>
  <c r="N42" i="17"/>
  <c r="O42" i="17"/>
  <c r="P42" i="17"/>
  <c r="Q42" i="17"/>
  <c r="R42" i="17"/>
  <c r="E45" i="17"/>
  <c r="E47" i="17"/>
  <c r="G5" i="48"/>
  <c r="H5" i="48"/>
  <c r="I5" i="48"/>
  <c r="J5" i="48"/>
  <c r="K5" i="48"/>
  <c r="G7" i="48"/>
  <c r="H7" i="48"/>
  <c r="I7" i="48"/>
  <c r="J7" i="48"/>
  <c r="K7" i="48"/>
  <c r="G8" i="48"/>
  <c r="H8" i="48"/>
  <c r="I8" i="48"/>
  <c r="J8" i="48"/>
  <c r="K8" i="48"/>
  <c r="H9" i="48"/>
  <c r="I9" i="48"/>
  <c r="J9" i="48"/>
  <c r="K9" i="48"/>
  <c r="G12" i="48"/>
  <c r="H12" i="48"/>
  <c r="I12" i="48"/>
  <c r="J12" i="48"/>
  <c r="K12" i="48"/>
  <c r="H13" i="48"/>
  <c r="I13" i="48"/>
  <c r="J13" i="48"/>
  <c r="K13" i="48"/>
  <c r="G14" i="48"/>
  <c r="H14" i="48"/>
  <c r="I14" i="48"/>
  <c r="J14" i="48"/>
  <c r="K14" i="48"/>
  <c r="G15" i="48"/>
  <c r="H15" i="48"/>
  <c r="I15" i="48"/>
  <c r="J15" i="48"/>
  <c r="K15" i="48"/>
  <c r="G16" i="48"/>
  <c r="H16" i="48"/>
  <c r="I16" i="48"/>
  <c r="J16" i="48"/>
  <c r="K16" i="48"/>
  <c r="G18" i="48"/>
  <c r="H18" i="48"/>
  <c r="I18" i="48"/>
  <c r="J18" i="48"/>
  <c r="K18" i="48"/>
  <c r="G33" i="48"/>
  <c r="H33" i="48"/>
  <c r="I33" i="48"/>
  <c r="J33" i="48"/>
  <c r="K33" i="48"/>
  <c r="E4" i="105"/>
  <c r="F4" i="105"/>
  <c r="L4" i="105"/>
  <c r="N4" i="105"/>
  <c r="O4" i="105"/>
  <c r="P4" i="105"/>
  <c r="Q4" i="105"/>
  <c r="R4" i="105"/>
  <c r="L5" i="105"/>
  <c r="L6" i="105"/>
  <c r="N6" i="105"/>
  <c r="O6" i="105"/>
  <c r="P6" i="105"/>
  <c r="Q6" i="105"/>
  <c r="R6" i="105"/>
  <c r="L7" i="105"/>
  <c r="N7" i="105"/>
  <c r="O7" i="105"/>
  <c r="P7" i="105"/>
  <c r="Q7" i="105"/>
  <c r="R7" i="105"/>
  <c r="L8" i="105"/>
  <c r="O8" i="105"/>
  <c r="P8" i="105"/>
  <c r="Q8" i="105"/>
  <c r="R8" i="105"/>
  <c r="L9" i="105"/>
  <c r="E10" i="105"/>
  <c r="F10" i="105"/>
  <c r="L10" i="105"/>
  <c r="L11" i="105"/>
  <c r="N11" i="105"/>
  <c r="O11" i="105"/>
  <c r="P11" i="105"/>
  <c r="Q11" i="105"/>
  <c r="R11" i="105"/>
  <c r="L12" i="105"/>
  <c r="O12" i="105"/>
  <c r="P12" i="105"/>
  <c r="Q12" i="105"/>
  <c r="R12" i="105"/>
  <c r="L13" i="105"/>
  <c r="N13" i="105"/>
  <c r="O13" i="105"/>
  <c r="P13" i="105"/>
  <c r="Q13" i="105"/>
  <c r="R13" i="105"/>
  <c r="L14" i="105"/>
  <c r="N14" i="105"/>
  <c r="O14" i="105"/>
  <c r="P14" i="105"/>
  <c r="Q14" i="105"/>
  <c r="R14" i="105"/>
  <c r="L15" i="105"/>
  <c r="N15" i="105"/>
  <c r="O15" i="105"/>
  <c r="P15" i="105"/>
  <c r="Q15" i="105"/>
  <c r="R15" i="105"/>
  <c r="E16" i="105"/>
  <c r="F16" i="105"/>
  <c r="L16" i="105"/>
  <c r="E17" i="105"/>
  <c r="F17" i="105"/>
  <c r="L17" i="105"/>
  <c r="N17" i="105"/>
  <c r="O17" i="105"/>
  <c r="P17" i="105"/>
  <c r="Q17" i="105"/>
  <c r="R17" i="105"/>
  <c r="L18" i="105"/>
  <c r="L19" i="105"/>
  <c r="E20" i="105"/>
  <c r="F20" i="105"/>
  <c r="L20" i="105"/>
  <c r="L21" i="105"/>
  <c r="L22" i="105"/>
  <c r="L23" i="105"/>
  <c r="L24" i="105"/>
  <c r="L25" i="105"/>
  <c r="L26" i="105"/>
  <c r="L27" i="105"/>
  <c r="L28" i="105"/>
  <c r="L29" i="105"/>
  <c r="L30" i="105"/>
  <c r="L31" i="105"/>
  <c r="L32" i="105"/>
  <c r="L33" i="105"/>
  <c r="L34" i="105"/>
  <c r="E35" i="105"/>
  <c r="F35" i="105"/>
  <c r="L35" i="105"/>
  <c r="F36" i="105"/>
  <c r="G39" i="105"/>
  <c r="H39" i="105"/>
  <c r="J39" i="105"/>
  <c r="K39" i="105"/>
  <c r="L39" i="105"/>
  <c r="M39" i="105"/>
  <c r="O39" i="105"/>
  <c r="P39" i="105"/>
  <c r="G40" i="105"/>
  <c r="H40" i="105"/>
  <c r="J40" i="105"/>
  <c r="K40" i="105"/>
  <c r="L40" i="105"/>
  <c r="M40" i="105"/>
  <c r="O40" i="105"/>
  <c r="P40" i="105"/>
  <c r="G41" i="105"/>
  <c r="H41" i="105"/>
  <c r="J41" i="105"/>
  <c r="K41" i="105"/>
  <c r="L41" i="105"/>
  <c r="M41" i="105"/>
  <c r="O41" i="105"/>
  <c r="P41" i="105"/>
  <c r="G42" i="105"/>
  <c r="H42" i="105"/>
  <c r="J42" i="105"/>
  <c r="K42" i="105"/>
  <c r="L42" i="105"/>
  <c r="M42" i="105"/>
  <c r="O42" i="105"/>
  <c r="P42" i="105"/>
  <c r="G43" i="105"/>
  <c r="H43" i="105"/>
  <c r="J43" i="105"/>
  <c r="K43" i="105"/>
  <c r="L43" i="105"/>
  <c r="M43" i="105"/>
  <c r="O43" i="105"/>
  <c r="P43" i="105"/>
  <c r="G44" i="105"/>
  <c r="H44" i="105"/>
  <c r="J44" i="105"/>
  <c r="K44" i="105"/>
  <c r="L44" i="105"/>
  <c r="M44" i="105"/>
  <c r="O44" i="105"/>
  <c r="P44" i="105"/>
  <c r="G45" i="105"/>
  <c r="H45" i="105"/>
  <c r="J45" i="105"/>
  <c r="K45" i="105"/>
  <c r="L45" i="105"/>
  <c r="M45" i="105"/>
  <c r="O45" i="105"/>
  <c r="P45" i="105"/>
  <c r="G46" i="105"/>
  <c r="H46" i="105"/>
  <c r="J46" i="105"/>
  <c r="K46" i="105"/>
  <c r="L46" i="105"/>
  <c r="M46" i="105"/>
  <c r="O46" i="105"/>
  <c r="P46" i="105"/>
  <c r="G47" i="105"/>
  <c r="H47" i="105"/>
  <c r="J47" i="105"/>
  <c r="K47" i="105"/>
  <c r="L47" i="105"/>
  <c r="M47" i="105"/>
  <c r="O47" i="105"/>
  <c r="P47" i="105"/>
  <c r="G48" i="105"/>
  <c r="H48" i="105"/>
  <c r="J48" i="105"/>
  <c r="K48" i="105"/>
  <c r="L48" i="105"/>
  <c r="M48" i="105"/>
  <c r="O48" i="105"/>
  <c r="P48" i="105"/>
  <c r="G49" i="105"/>
  <c r="H49" i="105"/>
  <c r="J49" i="105"/>
  <c r="K49" i="105"/>
  <c r="L49" i="105"/>
  <c r="M49" i="105"/>
  <c r="O49" i="105"/>
  <c r="P49" i="105"/>
  <c r="G50" i="105"/>
  <c r="H50" i="105"/>
  <c r="J50" i="105"/>
  <c r="K50" i="105"/>
  <c r="L50" i="105"/>
  <c r="M50" i="105"/>
  <c r="O50" i="105"/>
  <c r="P50" i="105"/>
  <c r="G51" i="105"/>
  <c r="H51" i="105"/>
  <c r="J51" i="105"/>
  <c r="K51" i="105"/>
  <c r="L51" i="105"/>
  <c r="M51" i="105"/>
  <c r="O51" i="105"/>
  <c r="P51" i="105"/>
  <c r="G52" i="105"/>
  <c r="H52" i="105"/>
  <c r="J52" i="105"/>
  <c r="K52" i="105"/>
  <c r="L52" i="105"/>
  <c r="M52" i="105"/>
  <c r="O52" i="105"/>
  <c r="P52" i="105"/>
  <c r="G53" i="105"/>
  <c r="H53" i="105"/>
  <c r="J53" i="105"/>
  <c r="K53" i="105"/>
  <c r="L53" i="105"/>
  <c r="M53" i="105"/>
  <c r="O53" i="105"/>
  <c r="P53" i="105"/>
  <c r="G54" i="105"/>
  <c r="H54" i="105"/>
  <c r="J54" i="105"/>
  <c r="K54" i="105"/>
  <c r="L54" i="105"/>
  <c r="M54" i="105"/>
  <c r="O54" i="105"/>
  <c r="P54" i="105"/>
  <c r="G55" i="105"/>
  <c r="H55" i="105"/>
  <c r="J55" i="105"/>
  <c r="K55" i="105"/>
  <c r="L55" i="105"/>
  <c r="M55" i="105"/>
  <c r="O55" i="105"/>
  <c r="P55" i="105"/>
  <c r="G56" i="105"/>
  <c r="H56" i="105"/>
  <c r="J56" i="105"/>
  <c r="K56" i="105"/>
  <c r="L56" i="105"/>
  <c r="M56" i="105"/>
  <c r="O56" i="105"/>
  <c r="P56" i="105"/>
  <c r="G57" i="105"/>
  <c r="H57" i="105"/>
  <c r="J57" i="105"/>
  <c r="K57" i="105"/>
  <c r="L57" i="105"/>
  <c r="M57" i="105"/>
  <c r="O57" i="105"/>
  <c r="P57" i="105"/>
  <c r="G58" i="105"/>
  <c r="H58" i="105"/>
  <c r="J58" i="105"/>
  <c r="K58" i="105"/>
  <c r="L58" i="105"/>
  <c r="M58" i="105"/>
  <c r="O58" i="105"/>
  <c r="P58" i="105"/>
  <c r="G59" i="105"/>
  <c r="H59" i="105"/>
  <c r="J59" i="105"/>
  <c r="K59" i="105"/>
  <c r="L59" i="105"/>
  <c r="M59" i="105"/>
  <c r="O59" i="105"/>
  <c r="P59" i="105"/>
  <c r="G60" i="105"/>
  <c r="H60" i="105"/>
  <c r="J60" i="105"/>
  <c r="K60" i="105"/>
  <c r="L60" i="105"/>
  <c r="M60" i="105"/>
  <c r="O60" i="105"/>
  <c r="P60" i="105"/>
  <c r="G61" i="105"/>
  <c r="H61" i="105"/>
  <c r="J61" i="105"/>
  <c r="K61" i="105"/>
  <c r="L61" i="105"/>
  <c r="M61" i="105"/>
  <c r="O61" i="105"/>
  <c r="P61" i="105"/>
  <c r="G62" i="105"/>
  <c r="H62" i="105"/>
  <c r="J62" i="105"/>
  <c r="K62" i="105"/>
  <c r="L62" i="105"/>
  <c r="M62" i="105"/>
  <c r="O62" i="105"/>
  <c r="P62" i="105"/>
  <c r="G63" i="105"/>
  <c r="H63" i="105"/>
  <c r="J63" i="105"/>
  <c r="K63" i="105"/>
  <c r="L63" i="105"/>
  <c r="M63" i="105"/>
  <c r="O63" i="105"/>
  <c r="P63" i="105"/>
  <c r="G64" i="105"/>
  <c r="H64" i="105"/>
  <c r="J64" i="105"/>
  <c r="K64" i="105"/>
  <c r="L64" i="105"/>
  <c r="M64" i="105"/>
  <c r="O64" i="105"/>
  <c r="P64" i="105"/>
  <c r="G65" i="105"/>
  <c r="H65" i="105"/>
  <c r="J65" i="105"/>
  <c r="K65" i="105"/>
  <c r="L65" i="105"/>
  <c r="M65" i="105"/>
  <c r="O65" i="105"/>
  <c r="P65" i="105"/>
  <c r="G66" i="105"/>
  <c r="H66" i="105"/>
  <c r="J66" i="105"/>
  <c r="K66" i="105"/>
  <c r="L66" i="105"/>
  <c r="M66" i="105"/>
  <c r="O66" i="105"/>
  <c r="P66" i="105"/>
  <c r="G67" i="105"/>
  <c r="H67" i="105"/>
  <c r="J67" i="105"/>
  <c r="K67" i="105"/>
  <c r="L67" i="105"/>
  <c r="M67" i="105"/>
  <c r="O67" i="105"/>
  <c r="P67" i="105"/>
  <c r="G68" i="105"/>
  <c r="H68" i="105"/>
  <c r="J68" i="105"/>
  <c r="K68" i="105"/>
  <c r="L68" i="105"/>
  <c r="M68" i="105"/>
  <c r="O68" i="105"/>
  <c r="P68" i="105"/>
  <c r="G69" i="105"/>
  <c r="H69" i="105"/>
  <c r="J69" i="105"/>
  <c r="K69" i="105"/>
  <c r="L69" i="105"/>
  <c r="M69" i="105"/>
  <c r="O69" i="105"/>
  <c r="P69" i="105"/>
  <c r="G70" i="105"/>
  <c r="H70" i="105"/>
  <c r="J70" i="105"/>
  <c r="K70" i="105"/>
  <c r="L70" i="105"/>
  <c r="M70" i="105"/>
  <c r="O70" i="105"/>
  <c r="P70" i="105"/>
  <c r="E74" i="105"/>
  <c r="G74" i="105"/>
  <c r="H74" i="105"/>
  <c r="I74" i="105"/>
  <c r="J74" i="105"/>
  <c r="K74" i="105"/>
  <c r="L74" i="105"/>
  <c r="M74" i="105"/>
  <c r="O74" i="105"/>
  <c r="P74" i="105"/>
  <c r="E75" i="105"/>
  <c r="G75" i="105"/>
  <c r="H75" i="105"/>
  <c r="I75" i="105"/>
  <c r="J75" i="105"/>
  <c r="K75" i="105"/>
  <c r="L75" i="105"/>
  <c r="M75" i="105"/>
  <c r="O75" i="105"/>
  <c r="P75" i="105"/>
  <c r="E76" i="105"/>
  <c r="G76" i="105"/>
  <c r="H76" i="105"/>
  <c r="I76" i="105"/>
  <c r="J76" i="105"/>
  <c r="K76" i="105"/>
  <c r="L76" i="105"/>
  <c r="M76" i="105"/>
  <c r="O76" i="105"/>
  <c r="P76" i="105"/>
  <c r="E77" i="105"/>
  <c r="G77" i="105"/>
  <c r="H77" i="105"/>
  <c r="I77" i="105"/>
  <c r="J77" i="105"/>
  <c r="K77" i="105"/>
  <c r="L77" i="105"/>
  <c r="M77" i="105"/>
  <c r="O77" i="105"/>
  <c r="P77" i="105"/>
  <c r="E78" i="105"/>
  <c r="G78" i="105"/>
  <c r="H78" i="105"/>
  <c r="I78" i="105"/>
  <c r="J78" i="105"/>
  <c r="K78" i="105"/>
  <c r="L78" i="105"/>
  <c r="M78" i="105"/>
  <c r="O78" i="105"/>
  <c r="P78" i="105"/>
  <c r="E79" i="105"/>
  <c r="G79" i="105"/>
  <c r="H79" i="105"/>
  <c r="I79" i="105"/>
  <c r="J79" i="105"/>
  <c r="K79" i="105"/>
  <c r="L79" i="105"/>
  <c r="M79" i="105"/>
  <c r="O79" i="105"/>
  <c r="P79" i="105"/>
  <c r="E80" i="105"/>
  <c r="G80" i="105"/>
  <c r="H80" i="105"/>
  <c r="I80" i="105"/>
  <c r="J80" i="105"/>
  <c r="K80" i="105"/>
  <c r="L80" i="105"/>
  <c r="M80" i="105"/>
  <c r="O80" i="105"/>
  <c r="P80" i="105"/>
  <c r="E81" i="105"/>
  <c r="G81" i="105"/>
  <c r="H81" i="105"/>
  <c r="I81" i="105"/>
  <c r="J81" i="105"/>
  <c r="K81" i="105"/>
  <c r="L81" i="105"/>
  <c r="M81" i="105"/>
  <c r="O81" i="105"/>
  <c r="P81" i="105"/>
  <c r="E82" i="105"/>
  <c r="G82" i="105"/>
  <c r="H82" i="105"/>
  <c r="I82" i="105"/>
  <c r="J82" i="105"/>
  <c r="K82" i="105"/>
  <c r="L82" i="105"/>
  <c r="M82" i="105"/>
  <c r="O82" i="105"/>
  <c r="P82" i="105"/>
  <c r="E83" i="105"/>
  <c r="G83" i="105"/>
  <c r="H83" i="105"/>
  <c r="I83" i="105"/>
  <c r="J83" i="105"/>
  <c r="K83" i="105"/>
  <c r="L83" i="105"/>
  <c r="M83" i="105"/>
  <c r="O83" i="105"/>
  <c r="P83" i="105"/>
  <c r="E84" i="105"/>
  <c r="G84" i="105"/>
  <c r="H84" i="105"/>
  <c r="I84" i="105"/>
  <c r="J84" i="105"/>
  <c r="K84" i="105"/>
  <c r="L84" i="105"/>
  <c r="M84" i="105"/>
  <c r="O84" i="105"/>
  <c r="P84" i="105"/>
  <c r="E85" i="105"/>
  <c r="G85" i="105"/>
  <c r="H85" i="105"/>
  <c r="I85" i="105"/>
  <c r="J85" i="105"/>
  <c r="K85" i="105"/>
  <c r="L85" i="105"/>
  <c r="M85" i="105"/>
  <c r="O85" i="105"/>
  <c r="P85" i="105"/>
  <c r="E86" i="105"/>
  <c r="G86" i="105"/>
  <c r="H86" i="105"/>
  <c r="I86" i="105"/>
  <c r="J86" i="105"/>
  <c r="K86" i="105"/>
  <c r="L86" i="105"/>
  <c r="M86" i="105"/>
  <c r="O86" i="105"/>
  <c r="P86" i="105"/>
  <c r="E87" i="105"/>
  <c r="G87" i="105"/>
  <c r="H87" i="105"/>
  <c r="I87" i="105"/>
  <c r="J87" i="105"/>
  <c r="K87" i="105"/>
  <c r="L87" i="105"/>
  <c r="M87" i="105"/>
  <c r="O87" i="105"/>
  <c r="P87" i="105"/>
  <c r="E88" i="105"/>
  <c r="G88" i="105"/>
  <c r="H88" i="105"/>
  <c r="I88" i="105"/>
  <c r="J88" i="105"/>
  <c r="K88" i="105"/>
  <c r="L88" i="105"/>
  <c r="M88" i="105"/>
  <c r="O88" i="105"/>
  <c r="P88" i="105"/>
  <c r="E89" i="105"/>
  <c r="G89" i="105"/>
  <c r="H89" i="105"/>
  <c r="I89" i="105"/>
  <c r="J89" i="105"/>
  <c r="K89" i="105"/>
  <c r="L89" i="105"/>
  <c r="M89" i="105"/>
  <c r="O89" i="105"/>
  <c r="P89" i="105"/>
  <c r="E90" i="105"/>
  <c r="G90" i="105"/>
  <c r="H90" i="105"/>
  <c r="I90" i="105"/>
  <c r="J90" i="105"/>
  <c r="K90" i="105"/>
  <c r="L90" i="105"/>
  <c r="M90" i="105"/>
  <c r="O90" i="105"/>
  <c r="P90" i="105"/>
  <c r="E91" i="105"/>
  <c r="G91" i="105"/>
  <c r="H91" i="105"/>
  <c r="I91" i="105"/>
  <c r="J91" i="105"/>
  <c r="K91" i="105"/>
  <c r="L91" i="105"/>
  <c r="M91" i="105"/>
  <c r="O91" i="105"/>
  <c r="P91" i="105"/>
  <c r="E92" i="105"/>
  <c r="G92" i="105"/>
  <c r="H92" i="105"/>
  <c r="I92" i="105"/>
  <c r="J92" i="105"/>
  <c r="K92" i="105"/>
  <c r="L92" i="105"/>
  <c r="M92" i="105"/>
  <c r="O92" i="105"/>
  <c r="P92" i="105"/>
  <c r="E93" i="105"/>
  <c r="G93" i="105"/>
  <c r="H93" i="105"/>
  <c r="I93" i="105"/>
  <c r="J93" i="105"/>
  <c r="K93" i="105"/>
  <c r="L93" i="105"/>
  <c r="M93" i="105"/>
  <c r="O93" i="105"/>
  <c r="P93" i="105"/>
  <c r="E94" i="105"/>
  <c r="G94" i="105"/>
  <c r="H94" i="105"/>
  <c r="I94" i="105"/>
  <c r="J94" i="105"/>
  <c r="K94" i="105"/>
  <c r="L94" i="105"/>
  <c r="M94" i="105"/>
  <c r="O94" i="105"/>
  <c r="P94" i="105"/>
  <c r="E95" i="105"/>
  <c r="G95" i="105"/>
  <c r="H95" i="105"/>
  <c r="I95" i="105"/>
  <c r="J95" i="105"/>
  <c r="K95" i="105"/>
  <c r="L95" i="105"/>
  <c r="M95" i="105"/>
  <c r="O95" i="105"/>
  <c r="P95" i="105"/>
  <c r="E96" i="105"/>
  <c r="G96" i="105"/>
  <c r="H96" i="105"/>
  <c r="I96" i="105"/>
  <c r="J96" i="105"/>
  <c r="K96" i="105"/>
  <c r="L96" i="105"/>
  <c r="M96" i="105"/>
  <c r="O96" i="105"/>
  <c r="P96" i="105"/>
  <c r="E97" i="105"/>
  <c r="G97" i="105"/>
  <c r="H97" i="105"/>
  <c r="I97" i="105"/>
  <c r="J97" i="105"/>
  <c r="K97" i="105"/>
  <c r="L97" i="105"/>
  <c r="M97" i="105"/>
  <c r="O97" i="105"/>
  <c r="P97" i="105"/>
  <c r="E98" i="105"/>
  <c r="G98" i="105"/>
  <c r="H98" i="105"/>
  <c r="I98" i="105"/>
  <c r="J98" i="105"/>
  <c r="K98" i="105"/>
  <c r="L98" i="105"/>
  <c r="M98" i="105"/>
  <c r="O98" i="105"/>
  <c r="P98" i="105"/>
  <c r="E99" i="105"/>
  <c r="G99" i="105"/>
  <c r="H99" i="105"/>
  <c r="I99" i="105"/>
  <c r="J99" i="105"/>
  <c r="K99" i="105"/>
  <c r="L99" i="105"/>
  <c r="M99" i="105"/>
  <c r="O99" i="105"/>
  <c r="P99" i="105"/>
  <c r="E100" i="105"/>
  <c r="G100" i="105"/>
  <c r="H100" i="105"/>
  <c r="I100" i="105"/>
  <c r="J100" i="105"/>
  <c r="K100" i="105"/>
  <c r="L100" i="105"/>
  <c r="M100" i="105"/>
  <c r="O100" i="105"/>
  <c r="P100" i="105"/>
  <c r="E101" i="105"/>
  <c r="G101" i="105"/>
  <c r="H101" i="105"/>
  <c r="I101" i="105"/>
  <c r="J101" i="105"/>
  <c r="K101" i="105"/>
  <c r="L101" i="105"/>
  <c r="M101" i="105"/>
  <c r="O101" i="105"/>
  <c r="P101" i="105"/>
  <c r="E102" i="105"/>
  <c r="G102" i="105"/>
  <c r="H102" i="105"/>
  <c r="I102" i="105"/>
  <c r="J102" i="105"/>
  <c r="K102" i="105"/>
  <c r="L102" i="105"/>
  <c r="M102" i="105"/>
  <c r="O102" i="105"/>
  <c r="P102" i="105"/>
  <c r="E103" i="105"/>
  <c r="G103" i="105"/>
  <c r="H103" i="105"/>
  <c r="I103" i="105"/>
  <c r="J103" i="105"/>
  <c r="K103" i="105"/>
  <c r="L103" i="105"/>
  <c r="M103" i="105"/>
  <c r="O103" i="105"/>
  <c r="P103" i="105"/>
  <c r="E104" i="105"/>
  <c r="G104" i="105"/>
  <c r="H104" i="105"/>
  <c r="I104" i="105"/>
  <c r="J104" i="105"/>
  <c r="K104" i="105"/>
  <c r="L104" i="105"/>
  <c r="M104" i="105"/>
  <c r="O104" i="105"/>
  <c r="P104" i="105"/>
  <c r="E105" i="105"/>
  <c r="G105" i="105"/>
  <c r="H105" i="105"/>
  <c r="I105" i="105"/>
  <c r="J105" i="105"/>
  <c r="K105" i="105"/>
  <c r="L105" i="105"/>
  <c r="M105" i="105"/>
  <c r="O105" i="105"/>
  <c r="P105" i="105"/>
  <c r="E109" i="105"/>
  <c r="G109" i="105"/>
  <c r="H109" i="105"/>
  <c r="I109" i="105"/>
  <c r="J109" i="105"/>
  <c r="K109" i="105"/>
  <c r="L109" i="105"/>
  <c r="M109" i="105"/>
  <c r="O109" i="105"/>
  <c r="P109" i="105"/>
  <c r="E110" i="105"/>
  <c r="G110" i="105"/>
  <c r="H110" i="105"/>
  <c r="I110" i="105"/>
  <c r="J110" i="105"/>
  <c r="K110" i="105"/>
  <c r="L110" i="105"/>
  <c r="M110" i="105"/>
  <c r="O110" i="105"/>
  <c r="P110" i="105"/>
  <c r="E111" i="105"/>
  <c r="G111" i="105"/>
  <c r="H111" i="105"/>
  <c r="I111" i="105"/>
  <c r="J111" i="105"/>
  <c r="K111" i="105"/>
  <c r="L111" i="105"/>
  <c r="M111" i="105"/>
  <c r="O111" i="105"/>
  <c r="P111" i="105"/>
  <c r="E112" i="105"/>
  <c r="G112" i="105"/>
  <c r="H112" i="105"/>
  <c r="I112" i="105"/>
  <c r="J112" i="105"/>
  <c r="K112" i="105"/>
  <c r="L112" i="105"/>
  <c r="M112" i="105"/>
  <c r="O112" i="105"/>
  <c r="P112" i="105"/>
  <c r="E113" i="105"/>
  <c r="G113" i="105"/>
  <c r="H113" i="105"/>
  <c r="I113" i="105"/>
  <c r="J113" i="105"/>
  <c r="K113" i="105"/>
  <c r="L113" i="105"/>
  <c r="M113" i="105"/>
  <c r="O113" i="105"/>
  <c r="P113" i="105"/>
  <c r="E114" i="105"/>
  <c r="G114" i="105"/>
  <c r="H114" i="105"/>
  <c r="I114" i="105"/>
  <c r="J114" i="105"/>
  <c r="K114" i="105"/>
  <c r="L114" i="105"/>
  <c r="M114" i="105"/>
  <c r="O114" i="105"/>
  <c r="P114" i="105"/>
  <c r="E115" i="105"/>
  <c r="G115" i="105"/>
  <c r="H115" i="105"/>
  <c r="I115" i="105"/>
  <c r="J115" i="105"/>
  <c r="K115" i="105"/>
  <c r="L115" i="105"/>
  <c r="M115" i="105"/>
  <c r="O115" i="105"/>
  <c r="P115" i="105"/>
  <c r="E116" i="105"/>
  <c r="G116" i="105"/>
  <c r="H116" i="105"/>
  <c r="I116" i="105"/>
  <c r="J116" i="105"/>
  <c r="K116" i="105"/>
  <c r="L116" i="105"/>
  <c r="M116" i="105"/>
  <c r="O116" i="105"/>
  <c r="P116" i="105"/>
  <c r="E117" i="105"/>
  <c r="G117" i="105"/>
  <c r="H117" i="105"/>
  <c r="I117" i="105"/>
  <c r="J117" i="105"/>
  <c r="K117" i="105"/>
  <c r="L117" i="105"/>
  <c r="M117" i="105"/>
  <c r="O117" i="105"/>
  <c r="P117" i="105"/>
  <c r="E118" i="105"/>
  <c r="G118" i="105"/>
  <c r="H118" i="105"/>
  <c r="I118" i="105"/>
  <c r="J118" i="105"/>
  <c r="K118" i="105"/>
  <c r="L118" i="105"/>
  <c r="M118" i="105"/>
  <c r="O118" i="105"/>
  <c r="P118" i="105"/>
  <c r="E119" i="105"/>
  <c r="G119" i="105"/>
  <c r="H119" i="105"/>
  <c r="I119" i="105"/>
  <c r="J119" i="105"/>
  <c r="K119" i="105"/>
  <c r="L119" i="105"/>
  <c r="M119" i="105"/>
  <c r="O119" i="105"/>
  <c r="P119" i="105"/>
  <c r="E120" i="105"/>
  <c r="G120" i="105"/>
  <c r="H120" i="105"/>
  <c r="I120" i="105"/>
  <c r="J120" i="105"/>
  <c r="K120" i="105"/>
  <c r="L120" i="105"/>
  <c r="M120" i="105"/>
  <c r="O120" i="105"/>
  <c r="P120" i="105"/>
  <c r="E121" i="105"/>
  <c r="G121" i="105"/>
  <c r="H121" i="105"/>
  <c r="I121" i="105"/>
  <c r="J121" i="105"/>
  <c r="K121" i="105"/>
  <c r="L121" i="105"/>
  <c r="M121" i="105"/>
  <c r="O121" i="105"/>
  <c r="P121" i="105"/>
  <c r="E122" i="105"/>
  <c r="G122" i="105"/>
  <c r="H122" i="105"/>
  <c r="I122" i="105"/>
  <c r="J122" i="105"/>
  <c r="K122" i="105"/>
  <c r="L122" i="105"/>
  <c r="M122" i="105"/>
  <c r="O122" i="105"/>
  <c r="P122" i="105"/>
  <c r="E123" i="105"/>
  <c r="G123" i="105"/>
  <c r="H123" i="105"/>
  <c r="I123" i="105"/>
  <c r="J123" i="105"/>
  <c r="K123" i="105"/>
  <c r="L123" i="105"/>
  <c r="M123" i="105"/>
  <c r="O123" i="105"/>
  <c r="P123" i="105"/>
  <c r="E124" i="105"/>
  <c r="G124" i="105"/>
  <c r="H124" i="105"/>
  <c r="I124" i="105"/>
  <c r="J124" i="105"/>
  <c r="K124" i="105"/>
  <c r="L124" i="105"/>
  <c r="M124" i="105"/>
  <c r="O124" i="105"/>
  <c r="P124" i="105"/>
  <c r="E125" i="105"/>
  <c r="G125" i="105"/>
  <c r="H125" i="105"/>
  <c r="I125" i="105"/>
  <c r="J125" i="105"/>
  <c r="K125" i="105"/>
  <c r="L125" i="105"/>
  <c r="M125" i="105"/>
  <c r="O125" i="105"/>
  <c r="P125" i="105"/>
  <c r="E126" i="105"/>
  <c r="G126" i="105"/>
  <c r="H126" i="105"/>
  <c r="I126" i="105"/>
  <c r="J126" i="105"/>
  <c r="K126" i="105"/>
  <c r="L126" i="105"/>
  <c r="M126" i="105"/>
  <c r="O126" i="105"/>
  <c r="P126" i="105"/>
  <c r="E127" i="105"/>
  <c r="G127" i="105"/>
  <c r="H127" i="105"/>
  <c r="I127" i="105"/>
  <c r="J127" i="105"/>
  <c r="K127" i="105"/>
  <c r="L127" i="105"/>
  <c r="M127" i="105"/>
  <c r="O127" i="105"/>
  <c r="P127" i="105"/>
  <c r="E128" i="105"/>
  <c r="G128" i="105"/>
  <c r="H128" i="105"/>
  <c r="I128" i="105"/>
  <c r="J128" i="105"/>
  <c r="K128" i="105"/>
  <c r="L128" i="105"/>
  <c r="M128" i="105"/>
  <c r="O128" i="105"/>
  <c r="P128" i="105"/>
  <c r="E129" i="105"/>
  <c r="G129" i="105"/>
  <c r="H129" i="105"/>
  <c r="I129" i="105"/>
  <c r="J129" i="105"/>
  <c r="K129" i="105"/>
  <c r="L129" i="105"/>
  <c r="M129" i="105"/>
  <c r="O129" i="105"/>
  <c r="P129" i="105"/>
  <c r="E130" i="105"/>
  <c r="G130" i="105"/>
  <c r="H130" i="105"/>
  <c r="I130" i="105"/>
  <c r="J130" i="105"/>
  <c r="K130" i="105"/>
  <c r="L130" i="105"/>
  <c r="M130" i="105"/>
  <c r="O130" i="105"/>
  <c r="P130" i="105"/>
  <c r="E131" i="105"/>
  <c r="G131" i="105"/>
  <c r="H131" i="105"/>
  <c r="I131" i="105"/>
  <c r="J131" i="105"/>
  <c r="K131" i="105"/>
  <c r="L131" i="105"/>
  <c r="M131" i="105"/>
  <c r="O131" i="105"/>
  <c r="P131" i="105"/>
  <c r="E132" i="105"/>
  <c r="G132" i="105"/>
  <c r="H132" i="105"/>
  <c r="I132" i="105"/>
  <c r="J132" i="105"/>
  <c r="K132" i="105"/>
  <c r="L132" i="105"/>
  <c r="M132" i="105"/>
  <c r="O132" i="105"/>
  <c r="P132" i="105"/>
  <c r="E133" i="105"/>
  <c r="G133" i="105"/>
  <c r="H133" i="105"/>
  <c r="I133" i="105"/>
  <c r="J133" i="105"/>
  <c r="K133" i="105"/>
  <c r="L133" i="105"/>
  <c r="M133" i="105"/>
  <c r="O133" i="105"/>
  <c r="P133" i="105"/>
  <c r="E134" i="105"/>
  <c r="G134" i="105"/>
  <c r="H134" i="105"/>
  <c r="I134" i="105"/>
  <c r="J134" i="105"/>
  <c r="K134" i="105"/>
  <c r="L134" i="105"/>
  <c r="M134" i="105"/>
  <c r="O134" i="105"/>
  <c r="P134" i="105"/>
  <c r="E135" i="105"/>
  <c r="G135" i="105"/>
  <c r="H135" i="105"/>
  <c r="I135" i="105"/>
  <c r="J135" i="105"/>
  <c r="K135" i="105"/>
  <c r="L135" i="105"/>
  <c r="M135" i="105"/>
  <c r="O135" i="105"/>
  <c r="P135" i="105"/>
  <c r="E136" i="105"/>
  <c r="G136" i="105"/>
  <c r="H136" i="105"/>
  <c r="I136" i="105"/>
  <c r="J136" i="105"/>
  <c r="K136" i="105"/>
  <c r="L136" i="105"/>
  <c r="M136" i="105"/>
  <c r="O136" i="105"/>
  <c r="P136" i="105"/>
  <c r="E137" i="105"/>
  <c r="G137" i="105"/>
  <c r="H137" i="105"/>
  <c r="I137" i="105"/>
  <c r="J137" i="105"/>
  <c r="K137" i="105"/>
  <c r="L137" i="105"/>
  <c r="M137" i="105"/>
  <c r="O137" i="105"/>
  <c r="P137" i="105"/>
  <c r="E138" i="105"/>
  <c r="G138" i="105"/>
  <c r="H138" i="105"/>
  <c r="I138" i="105"/>
  <c r="J138" i="105"/>
  <c r="K138" i="105"/>
  <c r="L138" i="105"/>
  <c r="M138" i="105"/>
  <c r="O138" i="105"/>
  <c r="P138" i="105"/>
  <c r="E139" i="105"/>
  <c r="G139" i="105"/>
  <c r="H139" i="105"/>
  <c r="I139" i="105"/>
  <c r="J139" i="105"/>
  <c r="K139" i="105"/>
  <c r="L139" i="105"/>
  <c r="M139" i="105"/>
  <c r="O139" i="105"/>
  <c r="P139" i="105"/>
  <c r="E140" i="105"/>
  <c r="G140" i="105"/>
  <c r="H140" i="105"/>
  <c r="I140" i="105"/>
  <c r="J140" i="105"/>
  <c r="K140" i="105"/>
  <c r="L140" i="105"/>
  <c r="M140" i="105"/>
  <c r="O140" i="105"/>
  <c r="P140" i="105"/>
  <c r="E144" i="105"/>
  <c r="G144" i="105"/>
  <c r="H144" i="105"/>
  <c r="I144" i="105"/>
  <c r="J144" i="105"/>
  <c r="K144" i="105"/>
  <c r="L144" i="105"/>
  <c r="M144" i="105"/>
  <c r="O144" i="105"/>
  <c r="P144" i="105"/>
  <c r="E145" i="105"/>
  <c r="G145" i="105"/>
  <c r="H145" i="105"/>
  <c r="I145" i="105"/>
  <c r="J145" i="105"/>
  <c r="K145" i="105"/>
  <c r="L145" i="105"/>
  <c r="M145" i="105"/>
  <c r="O145" i="105"/>
  <c r="P145" i="105"/>
  <c r="E146" i="105"/>
  <c r="G146" i="105"/>
  <c r="H146" i="105"/>
  <c r="I146" i="105"/>
  <c r="J146" i="105"/>
  <c r="K146" i="105"/>
  <c r="L146" i="105"/>
  <c r="M146" i="105"/>
  <c r="O146" i="105"/>
  <c r="P146" i="105"/>
  <c r="E147" i="105"/>
  <c r="G147" i="105"/>
  <c r="H147" i="105"/>
  <c r="I147" i="105"/>
  <c r="J147" i="105"/>
  <c r="K147" i="105"/>
  <c r="L147" i="105"/>
  <c r="M147" i="105"/>
  <c r="O147" i="105"/>
  <c r="P147" i="105"/>
  <c r="E148" i="105"/>
  <c r="G148" i="105"/>
  <c r="H148" i="105"/>
  <c r="I148" i="105"/>
  <c r="J148" i="105"/>
  <c r="K148" i="105"/>
  <c r="L148" i="105"/>
  <c r="M148" i="105"/>
  <c r="O148" i="105"/>
  <c r="P148" i="105"/>
  <c r="E149" i="105"/>
  <c r="G149" i="105"/>
  <c r="H149" i="105"/>
  <c r="I149" i="105"/>
  <c r="J149" i="105"/>
  <c r="K149" i="105"/>
  <c r="L149" i="105"/>
  <c r="M149" i="105"/>
  <c r="O149" i="105"/>
  <c r="P149" i="105"/>
  <c r="E150" i="105"/>
  <c r="G150" i="105"/>
  <c r="H150" i="105"/>
  <c r="I150" i="105"/>
  <c r="J150" i="105"/>
  <c r="K150" i="105"/>
  <c r="L150" i="105"/>
  <c r="M150" i="105"/>
  <c r="O150" i="105"/>
  <c r="P150" i="105"/>
  <c r="E151" i="105"/>
  <c r="G151" i="105"/>
  <c r="H151" i="105"/>
  <c r="I151" i="105"/>
  <c r="J151" i="105"/>
  <c r="K151" i="105"/>
  <c r="L151" i="105"/>
  <c r="M151" i="105"/>
  <c r="O151" i="105"/>
  <c r="P151" i="105"/>
  <c r="E152" i="105"/>
  <c r="G152" i="105"/>
  <c r="H152" i="105"/>
  <c r="I152" i="105"/>
  <c r="J152" i="105"/>
  <c r="K152" i="105"/>
  <c r="L152" i="105"/>
  <c r="M152" i="105"/>
  <c r="O152" i="105"/>
  <c r="P152" i="105"/>
  <c r="E153" i="105"/>
  <c r="G153" i="105"/>
  <c r="H153" i="105"/>
  <c r="I153" i="105"/>
  <c r="J153" i="105"/>
  <c r="K153" i="105"/>
  <c r="L153" i="105"/>
  <c r="M153" i="105"/>
  <c r="O153" i="105"/>
  <c r="P153" i="105"/>
  <c r="E154" i="105"/>
  <c r="G154" i="105"/>
  <c r="H154" i="105"/>
  <c r="I154" i="105"/>
  <c r="J154" i="105"/>
  <c r="K154" i="105"/>
  <c r="L154" i="105"/>
  <c r="M154" i="105"/>
  <c r="O154" i="105"/>
  <c r="P154" i="105"/>
  <c r="E155" i="105"/>
  <c r="G155" i="105"/>
  <c r="H155" i="105"/>
  <c r="I155" i="105"/>
  <c r="J155" i="105"/>
  <c r="K155" i="105"/>
  <c r="L155" i="105"/>
  <c r="M155" i="105"/>
  <c r="O155" i="105"/>
  <c r="P155" i="105"/>
  <c r="E156" i="105"/>
  <c r="G156" i="105"/>
  <c r="H156" i="105"/>
  <c r="I156" i="105"/>
  <c r="J156" i="105"/>
  <c r="K156" i="105"/>
  <c r="L156" i="105"/>
  <c r="M156" i="105"/>
  <c r="O156" i="105"/>
  <c r="P156" i="105"/>
  <c r="E157" i="105"/>
  <c r="G157" i="105"/>
  <c r="H157" i="105"/>
  <c r="I157" i="105"/>
  <c r="J157" i="105"/>
  <c r="K157" i="105"/>
  <c r="L157" i="105"/>
  <c r="M157" i="105"/>
  <c r="O157" i="105"/>
  <c r="P157" i="105"/>
  <c r="E158" i="105"/>
  <c r="G158" i="105"/>
  <c r="H158" i="105"/>
  <c r="I158" i="105"/>
  <c r="J158" i="105"/>
  <c r="K158" i="105"/>
  <c r="L158" i="105"/>
  <c r="M158" i="105"/>
  <c r="O158" i="105"/>
  <c r="P158" i="105"/>
  <c r="E159" i="105"/>
  <c r="G159" i="105"/>
  <c r="H159" i="105"/>
  <c r="I159" i="105"/>
  <c r="J159" i="105"/>
  <c r="K159" i="105"/>
  <c r="L159" i="105"/>
  <c r="M159" i="105"/>
  <c r="O159" i="105"/>
  <c r="P159" i="105"/>
  <c r="E160" i="105"/>
  <c r="G160" i="105"/>
  <c r="H160" i="105"/>
  <c r="I160" i="105"/>
  <c r="J160" i="105"/>
  <c r="K160" i="105"/>
  <c r="L160" i="105"/>
  <c r="M160" i="105"/>
  <c r="O160" i="105"/>
  <c r="P160" i="105"/>
  <c r="E161" i="105"/>
  <c r="G161" i="105"/>
  <c r="H161" i="105"/>
  <c r="I161" i="105"/>
  <c r="J161" i="105"/>
  <c r="K161" i="105"/>
  <c r="L161" i="105"/>
  <c r="M161" i="105"/>
  <c r="O161" i="105"/>
  <c r="P161" i="105"/>
  <c r="E162" i="105"/>
  <c r="G162" i="105"/>
  <c r="H162" i="105"/>
  <c r="I162" i="105"/>
  <c r="J162" i="105"/>
  <c r="K162" i="105"/>
  <c r="L162" i="105"/>
  <c r="M162" i="105"/>
  <c r="O162" i="105"/>
  <c r="P162" i="105"/>
  <c r="E163" i="105"/>
  <c r="G163" i="105"/>
  <c r="H163" i="105"/>
  <c r="I163" i="105"/>
  <c r="J163" i="105"/>
  <c r="K163" i="105"/>
  <c r="L163" i="105"/>
  <c r="M163" i="105"/>
  <c r="O163" i="105"/>
  <c r="P163" i="105"/>
  <c r="E164" i="105"/>
  <c r="G164" i="105"/>
  <c r="H164" i="105"/>
  <c r="I164" i="105"/>
  <c r="J164" i="105"/>
  <c r="K164" i="105"/>
  <c r="L164" i="105"/>
  <c r="M164" i="105"/>
  <c r="O164" i="105"/>
  <c r="P164" i="105"/>
  <c r="E165" i="105"/>
  <c r="G165" i="105"/>
  <c r="H165" i="105"/>
  <c r="I165" i="105"/>
  <c r="J165" i="105"/>
  <c r="K165" i="105"/>
  <c r="L165" i="105"/>
  <c r="M165" i="105"/>
  <c r="O165" i="105"/>
  <c r="P165" i="105"/>
  <c r="E166" i="105"/>
  <c r="G166" i="105"/>
  <c r="H166" i="105"/>
  <c r="I166" i="105"/>
  <c r="J166" i="105"/>
  <c r="K166" i="105"/>
  <c r="L166" i="105"/>
  <c r="M166" i="105"/>
  <c r="O166" i="105"/>
  <c r="P166" i="105"/>
  <c r="E167" i="105"/>
  <c r="G167" i="105"/>
  <c r="H167" i="105"/>
  <c r="I167" i="105"/>
  <c r="J167" i="105"/>
  <c r="K167" i="105"/>
  <c r="L167" i="105"/>
  <c r="M167" i="105"/>
  <c r="O167" i="105"/>
  <c r="P167" i="105"/>
  <c r="E168" i="105"/>
  <c r="G168" i="105"/>
  <c r="H168" i="105"/>
  <c r="I168" i="105"/>
  <c r="J168" i="105"/>
  <c r="K168" i="105"/>
  <c r="L168" i="105"/>
  <c r="M168" i="105"/>
  <c r="O168" i="105"/>
  <c r="P168" i="105"/>
  <c r="E169" i="105"/>
  <c r="G169" i="105"/>
  <c r="H169" i="105"/>
  <c r="I169" i="105"/>
  <c r="J169" i="105"/>
  <c r="K169" i="105"/>
  <c r="L169" i="105"/>
  <c r="M169" i="105"/>
  <c r="O169" i="105"/>
  <c r="P169" i="105"/>
  <c r="E170" i="105"/>
  <c r="G170" i="105"/>
  <c r="H170" i="105"/>
  <c r="I170" i="105"/>
  <c r="J170" i="105"/>
  <c r="K170" i="105"/>
  <c r="L170" i="105"/>
  <c r="M170" i="105"/>
  <c r="O170" i="105"/>
  <c r="P170" i="105"/>
  <c r="E171" i="105"/>
  <c r="G171" i="105"/>
  <c r="H171" i="105"/>
  <c r="I171" i="105"/>
  <c r="J171" i="105"/>
  <c r="K171" i="105"/>
  <c r="L171" i="105"/>
  <c r="M171" i="105"/>
  <c r="O171" i="105"/>
  <c r="P171" i="105"/>
  <c r="E172" i="105"/>
  <c r="G172" i="105"/>
  <c r="H172" i="105"/>
  <c r="I172" i="105"/>
  <c r="J172" i="105"/>
  <c r="K172" i="105"/>
  <c r="L172" i="105"/>
  <c r="M172" i="105"/>
  <c r="O172" i="105"/>
  <c r="P172" i="105"/>
  <c r="E173" i="105"/>
  <c r="G173" i="105"/>
  <c r="H173" i="105"/>
  <c r="I173" i="105"/>
  <c r="J173" i="105"/>
  <c r="K173" i="105"/>
  <c r="L173" i="105"/>
  <c r="M173" i="105"/>
  <c r="O173" i="105"/>
  <c r="P173" i="105"/>
  <c r="E174" i="105"/>
  <c r="G174" i="105"/>
  <c r="H174" i="105"/>
  <c r="I174" i="105"/>
  <c r="J174" i="105"/>
  <c r="K174" i="105"/>
  <c r="L174" i="105"/>
  <c r="M174" i="105"/>
  <c r="O174" i="105"/>
  <c r="P174" i="105"/>
  <c r="E175" i="105"/>
  <c r="G175" i="105"/>
  <c r="H175" i="105"/>
  <c r="I175" i="105"/>
  <c r="J175" i="105"/>
  <c r="K175" i="105"/>
  <c r="L175" i="105"/>
  <c r="M175" i="105"/>
  <c r="O175" i="105"/>
  <c r="P175" i="105"/>
  <c r="E179" i="105"/>
  <c r="G179" i="105"/>
  <c r="H179" i="105"/>
  <c r="I179" i="105"/>
  <c r="J179" i="105"/>
  <c r="K179" i="105"/>
  <c r="L179" i="105"/>
  <c r="M179" i="105"/>
  <c r="O179" i="105"/>
  <c r="P179" i="105"/>
  <c r="E180" i="105"/>
  <c r="G180" i="105"/>
  <c r="H180" i="105"/>
  <c r="I180" i="105"/>
  <c r="J180" i="105"/>
  <c r="K180" i="105"/>
  <c r="L180" i="105"/>
  <c r="M180" i="105"/>
  <c r="O180" i="105"/>
  <c r="P180" i="105"/>
  <c r="E181" i="105"/>
  <c r="G181" i="105"/>
  <c r="H181" i="105"/>
  <c r="I181" i="105"/>
  <c r="J181" i="105"/>
  <c r="K181" i="105"/>
  <c r="L181" i="105"/>
  <c r="M181" i="105"/>
  <c r="O181" i="105"/>
  <c r="P181" i="105"/>
  <c r="E182" i="105"/>
  <c r="G182" i="105"/>
  <c r="H182" i="105"/>
  <c r="I182" i="105"/>
  <c r="J182" i="105"/>
  <c r="K182" i="105"/>
  <c r="L182" i="105"/>
  <c r="M182" i="105"/>
  <c r="O182" i="105"/>
  <c r="P182" i="105"/>
  <c r="E183" i="105"/>
  <c r="G183" i="105"/>
  <c r="H183" i="105"/>
  <c r="I183" i="105"/>
  <c r="J183" i="105"/>
  <c r="K183" i="105"/>
  <c r="L183" i="105"/>
  <c r="M183" i="105"/>
  <c r="O183" i="105"/>
  <c r="P183" i="105"/>
  <c r="E184" i="105"/>
  <c r="G184" i="105"/>
  <c r="H184" i="105"/>
  <c r="I184" i="105"/>
  <c r="J184" i="105"/>
  <c r="K184" i="105"/>
  <c r="L184" i="105"/>
  <c r="M184" i="105"/>
  <c r="O184" i="105"/>
  <c r="P184" i="105"/>
  <c r="E185" i="105"/>
  <c r="G185" i="105"/>
  <c r="H185" i="105"/>
  <c r="I185" i="105"/>
  <c r="J185" i="105"/>
  <c r="K185" i="105"/>
  <c r="L185" i="105"/>
  <c r="M185" i="105"/>
  <c r="O185" i="105"/>
  <c r="P185" i="105"/>
  <c r="E186" i="105"/>
  <c r="G186" i="105"/>
  <c r="H186" i="105"/>
  <c r="I186" i="105"/>
  <c r="J186" i="105"/>
  <c r="K186" i="105"/>
  <c r="L186" i="105"/>
  <c r="M186" i="105"/>
  <c r="O186" i="105"/>
  <c r="P186" i="105"/>
  <c r="E187" i="105"/>
  <c r="G187" i="105"/>
  <c r="H187" i="105"/>
  <c r="I187" i="105"/>
  <c r="J187" i="105"/>
  <c r="K187" i="105"/>
  <c r="L187" i="105"/>
  <c r="M187" i="105"/>
  <c r="O187" i="105"/>
  <c r="P187" i="105"/>
  <c r="E188" i="105"/>
  <c r="G188" i="105"/>
  <c r="H188" i="105"/>
  <c r="I188" i="105"/>
  <c r="J188" i="105"/>
  <c r="K188" i="105"/>
  <c r="L188" i="105"/>
  <c r="M188" i="105"/>
  <c r="O188" i="105"/>
  <c r="P188" i="105"/>
  <c r="E189" i="105"/>
  <c r="G189" i="105"/>
  <c r="H189" i="105"/>
  <c r="I189" i="105"/>
  <c r="J189" i="105"/>
  <c r="K189" i="105"/>
  <c r="L189" i="105"/>
  <c r="M189" i="105"/>
  <c r="O189" i="105"/>
  <c r="P189" i="105"/>
  <c r="E190" i="105"/>
  <c r="G190" i="105"/>
  <c r="H190" i="105"/>
  <c r="I190" i="105"/>
  <c r="J190" i="105"/>
  <c r="K190" i="105"/>
  <c r="L190" i="105"/>
  <c r="M190" i="105"/>
  <c r="O190" i="105"/>
  <c r="P190" i="105"/>
  <c r="E191" i="105"/>
  <c r="G191" i="105"/>
  <c r="H191" i="105"/>
  <c r="I191" i="105"/>
  <c r="J191" i="105"/>
  <c r="K191" i="105"/>
  <c r="L191" i="105"/>
  <c r="M191" i="105"/>
  <c r="O191" i="105"/>
  <c r="P191" i="105"/>
  <c r="E192" i="105"/>
  <c r="G192" i="105"/>
  <c r="H192" i="105"/>
  <c r="I192" i="105"/>
  <c r="J192" i="105"/>
  <c r="K192" i="105"/>
  <c r="L192" i="105"/>
  <c r="M192" i="105"/>
  <c r="O192" i="105"/>
  <c r="P192" i="105"/>
  <c r="E193" i="105"/>
  <c r="G193" i="105"/>
  <c r="H193" i="105"/>
  <c r="I193" i="105"/>
  <c r="J193" i="105"/>
  <c r="K193" i="105"/>
  <c r="L193" i="105"/>
  <c r="M193" i="105"/>
  <c r="O193" i="105"/>
  <c r="P193" i="105"/>
  <c r="E194" i="105"/>
  <c r="G194" i="105"/>
  <c r="H194" i="105"/>
  <c r="I194" i="105"/>
  <c r="J194" i="105"/>
  <c r="K194" i="105"/>
  <c r="L194" i="105"/>
  <c r="M194" i="105"/>
  <c r="O194" i="105"/>
  <c r="P194" i="105"/>
  <c r="E195" i="105"/>
  <c r="G195" i="105"/>
  <c r="H195" i="105"/>
  <c r="I195" i="105"/>
  <c r="J195" i="105"/>
  <c r="K195" i="105"/>
  <c r="L195" i="105"/>
  <c r="M195" i="105"/>
  <c r="O195" i="105"/>
  <c r="P195" i="105"/>
  <c r="E196" i="105"/>
  <c r="G196" i="105"/>
  <c r="H196" i="105"/>
  <c r="I196" i="105"/>
  <c r="J196" i="105"/>
  <c r="K196" i="105"/>
  <c r="L196" i="105"/>
  <c r="M196" i="105"/>
  <c r="O196" i="105"/>
  <c r="P196" i="105"/>
  <c r="E197" i="105"/>
  <c r="G197" i="105"/>
  <c r="H197" i="105"/>
  <c r="I197" i="105"/>
  <c r="J197" i="105"/>
  <c r="K197" i="105"/>
  <c r="L197" i="105"/>
  <c r="M197" i="105"/>
  <c r="O197" i="105"/>
  <c r="P197" i="105"/>
  <c r="E198" i="105"/>
  <c r="G198" i="105"/>
  <c r="H198" i="105"/>
  <c r="I198" i="105"/>
  <c r="J198" i="105"/>
  <c r="K198" i="105"/>
  <c r="L198" i="105"/>
  <c r="M198" i="105"/>
  <c r="O198" i="105"/>
  <c r="P198" i="105"/>
  <c r="E199" i="105"/>
  <c r="G199" i="105"/>
  <c r="H199" i="105"/>
  <c r="I199" i="105"/>
  <c r="J199" i="105"/>
  <c r="K199" i="105"/>
  <c r="L199" i="105"/>
  <c r="M199" i="105"/>
  <c r="O199" i="105"/>
  <c r="P199" i="105"/>
  <c r="E200" i="105"/>
  <c r="G200" i="105"/>
  <c r="H200" i="105"/>
  <c r="I200" i="105"/>
  <c r="J200" i="105"/>
  <c r="K200" i="105"/>
  <c r="L200" i="105"/>
  <c r="M200" i="105"/>
  <c r="O200" i="105"/>
  <c r="P200" i="105"/>
  <c r="E201" i="105"/>
  <c r="G201" i="105"/>
  <c r="H201" i="105"/>
  <c r="I201" i="105"/>
  <c r="J201" i="105"/>
  <c r="K201" i="105"/>
  <c r="L201" i="105"/>
  <c r="M201" i="105"/>
  <c r="O201" i="105"/>
  <c r="P201" i="105"/>
  <c r="E202" i="105"/>
  <c r="G202" i="105"/>
  <c r="H202" i="105"/>
  <c r="I202" i="105"/>
  <c r="J202" i="105"/>
  <c r="K202" i="105"/>
  <c r="L202" i="105"/>
  <c r="M202" i="105"/>
  <c r="O202" i="105"/>
  <c r="P202" i="105"/>
  <c r="E203" i="105"/>
  <c r="G203" i="105"/>
  <c r="H203" i="105"/>
  <c r="I203" i="105"/>
  <c r="J203" i="105"/>
  <c r="K203" i="105"/>
  <c r="L203" i="105"/>
  <c r="M203" i="105"/>
  <c r="O203" i="105"/>
  <c r="P203" i="105"/>
  <c r="E204" i="105"/>
  <c r="G204" i="105"/>
  <c r="H204" i="105"/>
  <c r="I204" i="105"/>
  <c r="J204" i="105"/>
  <c r="K204" i="105"/>
  <c r="L204" i="105"/>
  <c r="M204" i="105"/>
  <c r="O204" i="105"/>
  <c r="P204" i="105"/>
  <c r="E205" i="105"/>
  <c r="G205" i="105"/>
  <c r="H205" i="105"/>
  <c r="I205" i="105"/>
  <c r="J205" i="105"/>
  <c r="K205" i="105"/>
  <c r="L205" i="105"/>
  <c r="M205" i="105"/>
  <c r="O205" i="105"/>
  <c r="P205" i="105"/>
  <c r="E206" i="105"/>
  <c r="G206" i="105"/>
  <c r="H206" i="105"/>
  <c r="I206" i="105"/>
  <c r="J206" i="105"/>
  <c r="K206" i="105"/>
  <c r="L206" i="105"/>
  <c r="M206" i="105"/>
  <c r="O206" i="105"/>
  <c r="P206" i="105"/>
  <c r="E207" i="105"/>
  <c r="G207" i="105"/>
  <c r="H207" i="105"/>
  <c r="I207" i="105"/>
  <c r="J207" i="105"/>
  <c r="K207" i="105"/>
  <c r="L207" i="105"/>
  <c r="M207" i="105"/>
  <c r="O207" i="105"/>
  <c r="P207" i="105"/>
  <c r="E208" i="105"/>
  <c r="G208" i="105"/>
  <c r="H208" i="105"/>
  <c r="I208" i="105"/>
  <c r="J208" i="105"/>
  <c r="K208" i="105"/>
  <c r="L208" i="105"/>
  <c r="M208" i="105"/>
  <c r="O208" i="105"/>
  <c r="P208" i="105"/>
  <c r="E209" i="105"/>
  <c r="G209" i="105"/>
  <c r="H209" i="105"/>
  <c r="I209" i="105"/>
  <c r="J209" i="105"/>
  <c r="K209" i="105"/>
  <c r="L209" i="105"/>
  <c r="M209" i="105"/>
  <c r="O209" i="105"/>
  <c r="P209" i="105"/>
  <c r="E210" i="105"/>
  <c r="G210" i="105"/>
  <c r="H210" i="105"/>
  <c r="I210" i="105"/>
  <c r="J210" i="105"/>
  <c r="K210" i="105"/>
  <c r="L210" i="105"/>
  <c r="M210" i="105"/>
  <c r="O210" i="105"/>
  <c r="P210" i="105"/>
  <c r="D4" i="109"/>
  <c r="E4" i="109"/>
  <c r="G4" i="109"/>
  <c r="H4" i="109"/>
  <c r="D5" i="109"/>
  <c r="E5" i="109"/>
  <c r="G5" i="109"/>
  <c r="H5" i="109"/>
  <c r="D6" i="109"/>
  <c r="E6" i="109"/>
  <c r="G6" i="109"/>
  <c r="H6" i="109"/>
  <c r="D7" i="109"/>
  <c r="G7" i="109"/>
  <c r="H4" i="79"/>
  <c r="I4" i="79"/>
  <c r="J4" i="79"/>
  <c r="K4" i="79"/>
  <c r="G5" i="79"/>
  <c r="H5" i="79"/>
  <c r="I5" i="79"/>
  <c r="J5" i="79"/>
  <c r="K5" i="79"/>
  <c r="G6" i="79"/>
  <c r="H6" i="79"/>
  <c r="I6" i="79"/>
  <c r="J6" i="79"/>
  <c r="K6" i="79"/>
  <c r="G7" i="79"/>
  <c r="H7" i="79"/>
  <c r="I7" i="79"/>
  <c r="J7" i="79"/>
  <c r="K7" i="79"/>
  <c r="H8" i="79"/>
  <c r="I8" i="79"/>
  <c r="J8" i="79"/>
  <c r="K8" i="79"/>
  <c r="G9" i="79"/>
  <c r="H9" i="79"/>
  <c r="I9" i="79"/>
  <c r="J9" i="79"/>
  <c r="K9" i="79"/>
  <c r="G11" i="79"/>
  <c r="H11" i="79"/>
  <c r="I11" i="79"/>
  <c r="J11" i="79"/>
  <c r="K11" i="79"/>
  <c r="G15" i="79"/>
  <c r="H15" i="79"/>
  <c r="I15" i="79"/>
  <c r="J15" i="79"/>
  <c r="K15" i="79"/>
  <c r="H22" i="79"/>
  <c r="I22" i="79"/>
  <c r="J22" i="79"/>
  <c r="K22" i="79"/>
  <c r="G23" i="79"/>
  <c r="H23" i="79"/>
  <c r="I23" i="79"/>
  <c r="J23" i="79"/>
  <c r="K23" i="79"/>
  <c r="G24" i="79"/>
  <c r="H24" i="79"/>
  <c r="I24" i="79"/>
  <c r="J24" i="79"/>
  <c r="K24" i="79"/>
  <c r="G25" i="79"/>
  <c r="H25" i="79"/>
  <c r="I25" i="79"/>
  <c r="J25" i="79"/>
  <c r="K25" i="79"/>
  <c r="G26" i="79"/>
  <c r="H26" i="79"/>
  <c r="I26" i="79"/>
  <c r="J26" i="79"/>
  <c r="K26" i="79"/>
  <c r="G32" i="79"/>
  <c r="H32" i="79"/>
  <c r="I32" i="79"/>
  <c r="J32" i="79"/>
  <c r="K32" i="79"/>
  <c r="G33" i="79"/>
  <c r="H33" i="79"/>
  <c r="I33" i="79"/>
  <c r="J33" i="79"/>
  <c r="K33" i="79"/>
  <c r="G34" i="79"/>
  <c r="H34" i="79"/>
  <c r="I34" i="79"/>
  <c r="J34" i="79"/>
  <c r="K34" i="79"/>
  <c r="G35" i="79"/>
  <c r="H35" i="79"/>
  <c r="I35" i="79"/>
  <c r="J35" i="79"/>
  <c r="K35" i="79"/>
  <c r="G38" i="79"/>
  <c r="H38" i="79"/>
  <c r="I38" i="79"/>
  <c r="J38" i="79"/>
  <c r="K38" i="79"/>
  <c r="G39" i="79"/>
  <c r="H39" i="79"/>
  <c r="I39" i="79"/>
  <c r="J39" i="79"/>
  <c r="K39" i="79"/>
  <c r="G41" i="79"/>
  <c r="H41" i="79"/>
  <c r="I41" i="79"/>
  <c r="J41" i="79"/>
  <c r="K41" i="79"/>
  <c r="G42" i="79"/>
  <c r="H42" i="79"/>
  <c r="I42" i="79"/>
  <c r="J42" i="79"/>
  <c r="K42" i="79"/>
  <c r="G43" i="79"/>
  <c r="H43" i="79"/>
  <c r="I43" i="79"/>
  <c r="J43" i="79"/>
  <c r="K43" i="79"/>
  <c r="G44" i="79"/>
  <c r="G46" i="79"/>
  <c r="G47" i="79"/>
  <c r="G48" i="79"/>
  <c r="G49" i="79"/>
  <c r="G50" i="79"/>
  <c r="H50" i="79"/>
  <c r="I50" i="79"/>
  <c r="J50" i="79"/>
  <c r="K50" i="79"/>
  <c r="G51" i="79"/>
  <c r="H51" i="79"/>
  <c r="I51" i="79"/>
  <c r="J51" i="79"/>
  <c r="K51" i="79"/>
  <c r="G52" i="79"/>
  <c r="H52" i="79"/>
  <c r="I52" i="79"/>
  <c r="J52" i="79"/>
  <c r="K52" i="79"/>
  <c r="G54" i="79"/>
  <c r="H54" i="79"/>
  <c r="I54" i="79"/>
  <c r="J54" i="79"/>
  <c r="K54" i="79"/>
  <c r="G55" i="79"/>
  <c r="H55" i="79"/>
  <c r="I55" i="79"/>
  <c r="J55" i="79"/>
  <c r="K55" i="79"/>
  <c r="G57" i="79"/>
  <c r="H57" i="79"/>
  <c r="I57" i="79"/>
  <c r="J57" i="79"/>
  <c r="K57" i="79"/>
  <c r="G63" i="79"/>
  <c r="C65" i="79"/>
  <c r="G65" i="79"/>
  <c r="C66" i="79"/>
  <c r="C67" i="79"/>
  <c r="C68" i="79"/>
  <c r="C69" i="79"/>
  <c r="G1" i="30"/>
  <c r="H1" i="30"/>
  <c r="I1" i="30"/>
  <c r="J1" i="30"/>
  <c r="K1" i="30"/>
  <c r="G4" i="30"/>
  <c r="F161" i="30"/>
  <c r="F166" i="30"/>
  <c r="E170" i="30"/>
  <c r="F170" i="30"/>
  <c r="G170" i="30"/>
  <c r="H170" i="30"/>
  <c r="I170" i="30"/>
  <c r="K170" i="30"/>
  <c r="L170" i="30"/>
  <c r="M170" i="30"/>
  <c r="N170" i="30"/>
  <c r="O170" i="30"/>
  <c r="E172" i="30"/>
  <c r="F172" i="30"/>
  <c r="G172" i="30"/>
  <c r="H172" i="30"/>
  <c r="I172" i="30"/>
  <c r="K172" i="30"/>
  <c r="L172" i="30"/>
  <c r="M172" i="30"/>
  <c r="N172" i="30"/>
  <c r="O172" i="30"/>
  <c r="E175" i="30"/>
  <c r="F175" i="30"/>
  <c r="I175" i="30"/>
  <c r="J175" i="30"/>
  <c r="K175" i="30"/>
  <c r="L175" i="30"/>
  <c r="M175" i="30"/>
  <c r="E177" i="30"/>
  <c r="F177" i="30"/>
  <c r="I177" i="30"/>
  <c r="J177" i="30"/>
  <c r="K177" i="30"/>
  <c r="L177" i="30"/>
  <c r="M177" i="30"/>
  <c r="E180" i="30"/>
  <c r="F180" i="30"/>
  <c r="G180" i="30"/>
  <c r="H180" i="30"/>
  <c r="I180" i="30"/>
  <c r="J180" i="30"/>
  <c r="K180" i="30"/>
  <c r="L180" i="30"/>
  <c r="M180" i="30"/>
  <c r="E182" i="30"/>
  <c r="F182" i="30"/>
  <c r="G182" i="30"/>
  <c r="H182" i="30"/>
  <c r="I182" i="30"/>
  <c r="J182" i="30"/>
  <c r="K182" i="30"/>
  <c r="L182" i="30"/>
  <c r="M182" i="30"/>
  <c r="F185" i="30"/>
  <c r="G185" i="30"/>
  <c r="H185" i="30"/>
  <c r="I185" i="30"/>
  <c r="J185" i="30"/>
  <c r="K185" i="30"/>
  <c r="L185" i="30"/>
  <c r="M185" i="30"/>
  <c r="F187" i="30"/>
  <c r="G187" i="30"/>
  <c r="H187" i="30"/>
  <c r="I187" i="30"/>
  <c r="J187" i="30"/>
  <c r="K187" i="30"/>
  <c r="L187" i="30"/>
  <c r="M187" i="30"/>
  <c r="E190" i="30"/>
  <c r="F190" i="30"/>
  <c r="G190" i="30"/>
  <c r="H190" i="30"/>
  <c r="I190" i="30"/>
  <c r="K190" i="30"/>
  <c r="L190" i="30"/>
  <c r="M190" i="30"/>
  <c r="N190" i="30"/>
  <c r="O190" i="30"/>
  <c r="E192" i="30"/>
  <c r="F192" i="30"/>
  <c r="G192" i="30"/>
  <c r="H192" i="30"/>
  <c r="I192" i="30"/>
  <c r="K192" i="30"/>
  <c r="L192" i="30"/>
  <c r="M192" i="30"/>
  <c r="N192" i="30"/>
  <c r="O192" i="30"/>
  <c r="D3" i="121"/>
  <c r="F3" i="121"/>
  <c r="D4" i="121"/>
  <c r="F4" i="121"/>
  <c r="D5" i="121"/>
  <c r="F5" i="121"/>
  <c r="D6" i="121"/>
  <c r="F6" i="121"/>
  <c r="H6" i="56"/>
  <c r="G16" i="56"/>
  <c r="G17" i="56"/>
  <c r="G18" i="56"/>
  <c r="G23" i="56"/>
  <c r="G38" i="56"/>
  <c r="G39" i="56"/>
  <c r="G40" i="56"/>
  <c r="G16" i="4"/>
  <c r="H16" i="4"/>
  <c r="I16" i="4"/>
  <c r="J16" i="4"/>
  <c r="K16" i="4"/>
  <c r="N16" i="4"/>
  <c r="O16" i="4"/>
  <c r="P16" i="4"/>
  <c r="Q16" i="4"/>
  <c r="R16" i="4"/>
  <c r="U16" i="4"/>
  <c r="V16" i="4"/>
  <c r="W16" i="4"/>
  <c r="X16" i="4"/>
  <c r="Y16" i="4"/>
  <c r="G18" i="4"/>
  <c r="H18" i="4"/>
  <c r="I18" i="4"/>
  <c r="J18" i="4"/>
  <c r="K18" i="4"/>
  <c r="G33" i="4"/>
  <c r="H33" i="4"/>
  <c r="I33" i="4"/>
  <c r="J33" i="4"/>
  <c r="K33" i="4"/>
  <c r="L33" i="4"/>
  <c r="G39" i="4"/>
  <c r="H39" i="4"/>
  <c r="I39" i="4"/>
  <c r="J39" i="4"/>
  <c r="K39" i="4"/>
  <c r="G44" i="4"/>
  <c r="H44" i="4"/>
  <c r="I44" i="4"/>
  <c r="J44" i="4"/>
  <c r="K44" i="4"/>
  <c r="C14" i="110"/>
  <c r="K2" i="47"/>
  <c r="G5" i="47"/>
  <c r="H5" i="47"/>
  <c r="I5" i="47"/>
  <c r="J5" i="47"/>
  <c r="K5" i="47"/>
  <c r="L5" i="47"/>
  <c r="G6" i="47"/>
  <c r="H6" i="47"/>
  <c r="I6" i="47"/>
  <c r="J6" i="47"/>
  <c r="K6" i="47"/>
  <c r="G10" i="47"/>
  <c r="H10" i="47"/>
  <c r="I10" i="47"/>
  <c r="J10" i="47"/>
  <c r="K10" i="47"/>
  <c r="G15" i="47"/>
  <c r="H15" i="47"/>
  <c r="I15" i="47"/>
  <c r="J15" i="47"/>
  <c r="K15" i="47"/>
  <c r="G18" i="47"/>
  <c r="H18" i="47"/>
  <c r="I18" i="47"/>
  <c r="J18" i="47"/>
  <c r="K18" i="47"/>
  <c r="G19" i="47"/>
  <c r="H19" i="47"/>
  <c r="I19" i="47"/>
  <c r="J19" i="47"/>
  <c r="K19" i="47"/>
  <c r="G20" i="47"/>
  <c r="H20" i="47"/>
  <c r="I20" i="47"/>
  <c r="J20" i="47"/>
  <c r="K20" i="47"/>
  <c r="G21" i="47"/>
  <c r="H21" i="47"/>
  <c r="I21" i="47"/>
  <c r="J21" i="47"/>
  <c r="K21" i="47"/>
  <c r="G22" i="47"/>
  <c r="H22" i="47"/>
  <c r="I22" i="47"/>
  <c r="J22" i="47"/>
  <c r="K22" i="47"/>
  <c r="G25" i="47"/>
  <c r="H25" i="47"/>
  <c r="I25" i="47"/>
  <c r="J25" i="47"/>
  <c r="K25" i="47"/>
  <c r="E30" i="47"/>
  <c r="F30" i="47"/>
  <c r="B31" i="47"/>
  <c r="G55" i="47"/>
  <c r="D5" i="81"/>
  <c r="E5" i="81"/>
  <c r="F5" i="81"/>
  <c r="G5" i="81"/>
  <c r="H5" i="81"/>
  <c r="I5" i="81"/>
  <c r="D8" i="81"/>
  <c r="E8" i="81"/>
  <c r="F8" i="81"/>
  <c r="G8" i="81"/>
  <c r="H8" i="81"/>
  <c r="D11" i="81"/>
  <c r="E11" i="81"/>
  <c r="F11" i="81"/>
  <c r="G11" i="81"/>
  <c r="H11" i="81"/>
  <c r="I11" i="81"/>
  <c r="D29" i="81"/>
  <c r="E29" i="81"/>
  <c r="F29" i="81"/>
  <c r="G29" i="81"/>
  <c r="H29" i="81"/>
  <c r="I29" i="81"/>
  <c r="D32" i="81"/>
  <c r="E32" i="81"/>
  <c r="F32" i="81"/>
  <c r="G32" i="81"/>
  <c r="H32" i="81"/>
  <c r="D35" i="81"/>
  <c r="E35" i="81"/>
  <c r="F35" i="81"/>
  <c r="G35" i="81"/>
  <c r="H35" i="81"/>
  <c r="I35" i="81"/>
  <c r="D53" i="81"/>
  <c r="E53" i="81"/>
  <c r="F53" i="81"/>
  <c r="G53" i="81"/>
  <c r="H53" i="81"/>
  <c r="I53" i="81"/>
  <c r="D56" i="81"/>
  <c r="E56" i="81"/>
  <c r="F56" i="81"/>
  <c r="G56" i="81"/>
  <c r="H56" i="81"/>
  <c r="D59" i="81"/>
  <c r="E59" i="81"/>
  <c r="F59" i="81"/>
  <c r="G59" i="81"/>
  <c r="H59" i="81"/>
  <c r="I59" i="81"/>
  <c r="D77" i="81"/>
  <c r="E77" i="81"/>
  <c r="F77" i="81"/>
  <c r="G77" i="81"/>
  <c r="H77" i="81"/>
  <c r="I77" i="81"/>
  <c r="D80" i="81"/>
  <c r="E80" i="81"/>
  <c r="F80" i="81"/>
  <c r="G80" i="81"/>
  <c r="H80" i="81"/>
  <c r="D83" i="81"/>
  <c r="E83" i="81"/>
  <c r="F83" i="81"/>
  <c r="G83" i="81"/>
  <c r="H83" i="81"/>
  <c r="I83" i="81"/>
  <c r="G5" i="39"/>
  <c r="H5" i="39"/>
  <c r="I5" i="39"/>
  <c r="J5" i="39"/>
  <c r="K5" i="39"/>
  <c r="G6" i="39"/>
  <c r="H6" i="39"/>
  <c r="I6" i="39"/>
  <c r="J6" i="39"/>
  <c r="K6" i="39"/>
  <c r="G7" i="39"/>
  <c r="H7" i="39"/>
  <c r="I7" i="39"/>
  <c r="J7" i="39"/>
  <c r="K7" i="39"/>
  <c r="G10" i="39"/>
  <c r="H10" i="39"/>
  <c r="I10" i="39"/>
  <c r="J10" i="39"/>
  <c r="K10" i="39"/>
  <c r="G20" i="39"/>
  <c r="H20" i="39"/>
  <c r="I20" i="39"/>
  <c r="J20" i="39"/>
  <c r="K20" i="39"/>
  <c r="H24" i="39"/>
  <c r="I24" i="39"/>
  <c r="J24" i="39"/>
  <c r="K24" i="39"/>
  <c r="H28" i="39"/>
  <c r="I28" i="39"/>
  <c r="J28" i="39"/>
  <c r="K28" i="39"/>
  <c r="G31" i="39"/>
  <c r="H31" i="39"/>
  <c r="I31" i="39"/>
  <c r="J31" i="39"/>
  <c r="K31" i="39"/>
  <c r="G32" i="39"/>
  <c r="H32" i="39"/>
  <c r="I32" i="39"/>
  <c r="J32" i="39"/>
  <c r="K32" i="39"/>
  <c r="G33" i="39"/>
  <c r="H33" i="39"/>
  <c r="I33" i="39"/>
  <c r="J33" i="39"/>
  <c r="K33" i="39"/>
  <c r="G35" i="39"/>
  <c r="H35" i="39"/>
  <c r="I35" i="39"/>
  <c r="J35" i="39"/>
  <c r="K35" i="39"/>
  <c r="H36" i="39"/>
  <c r="I36" i="39"/>
  <c r="J36" i="39"/>
  <c r="K36" i="39"/>
  <c r="G37" i="39"/>
  <c r="H37" i="39"/>
  <c r="I37" i="39"/>
  <c r="J37" i="39"/>
  <c r="K37" i="39"/>
  <c r="G39" i="39"/>
  <c r="H39" i="39"/>
  <c r="I39" i="39"/>
  <c r="J39" i="39"/>
  <c r="K39" i="39"/>
  <c r="G45" i="39"/>
  <c r="H45" i="39"/>
  <c r="I45" i="39"/>
  <c r="J45" i="39"/>
  <c r="K45" i="39"/>
  <c r="H46" i="39"/>
  <c r="I46" i="39"/>
  <c r="J46" i="39"/>
  <c r="K46" i="39"/>
  <c r="G47" i="39"/>
  <c r="H47" i="39"/>
  <c r="I47" i="39"/>
  <c r="J47" i="39"/>
  <c r="K47" i="39"/>
  <c r="G5" i="45"/>
  <c r="H5" i="45"/>
  <c r="I5" i="45"/>
  <c r="J5" i="45"/>
  <c r="K5" i="45"/>
  <c r="H6" i="45"/>
  <c r="I6" i="45"/>
  <c r="J6" i="45"/>
  <c r="K6" i="45"/>
  <c r="H7" i="45"/>
  <c r="I7" i="45"/>
  <c r="J7" i="45"/>
  <c r="K7" i="45"/>
  <c r="G11" i="45"/>
  <c r="H11" i="45"/>
  <c r="I11" i="45"/>
  <c r="J11" i="45"/>
  <c r="K11" i="45"/>
  <c r="G12" i="45"/>
  <c r="H12" i="45"/>
  <c r="I12" i="45"/>
  <c r="J12" i="45"/>
  <c r="K12" i="45"/>
  <c r="H13" i="45"/>
  <c r="I13" i="45"/>
  <c r="J13" i="45"/>
  <c r="K13" i="45"/>
  <c r="G15" i="45"/>
  <c r="H15" i="45"/>
  <c r="I15" i="45"/>
  <c r="J15" i="45"/>
  <c r="K15" i="45"/>
  <c r="G17" i="45"/>
  <c r="H17" i="45"/>
  <c r="I17" i="45"/>
  <c r="J17" i="45"/>
  <c r="K17" i="45"/>
  <c r="G18" i="45"/>
  <c r="G19" i="45"/>
  <c r="D5" i="111"/>
  <c r="E5" i="111"/>
  <c r="F5" i="111"/>
  <c r="D6" i="111"/>
  <c r="E6" i="111"/>
  <c r="F6" i="111"/>
  <c r="D10" i="111"/>
  <c r="E10" i="111"/>
  <c r="F10" i="111"/>
  <c r="D15" i="111"/>
  <c r="E15" i="111"/>
  <c r="F15" i="111"/>
  <c r="D18" i="111"/>
  <c r="E18" i="111"/>
  <c r="F18" i="111"/>
  <c r="D19" i="111"/>
  <c r="E19" i="111"/>
  <c r="F19" i="111"/>
  <c r="D20" i="111"/>
  <c r="E20" i="111"/>
  <c r="F20" i="111"/>
  <c r="D21" i="111"/>
  <c r="E21" i="111"/>
  <c r="F21" i="111"/>
  <c r="D22" i="111"/>
  <c r="E22" i="111"/>
  <c r="F22" i="111"/>
  <c r="D25" i="111"/>
  <c r="E25" i="111"/>
  <c r="F25" i="111"/>
  <c r="D31" i="111"/>
  <c r="E31" i="111"/>
  <c r="F31" i="111"/>
  <c r="D37" i="111"/>
  <c r="E37" i="111"/>
  <c r="F37" i="111"/>
  <c r="D38" i="111"/>
  <c r="E38" i="111"/>
  <c r="F38" i="111"/>
  <c r="D39" i="111"/>
  <c r="E39" i="111"/>
  <c r="F39" i="111"/>
  <c r="D41" i="111"/>
  <c r="E41" i="111"/>
  <c r="F41" i="111"/>
  <c r="D42" i="111"/>
  <c r="E42" i="111"/>
  <c r="F42" i="111"/>
  <c r="D47" i="111"/>
  <c r="E47" i="111"/>
  <c r="F47" i="111"/>
  <c r="D48" i="111"/>
  <c r="E48" i="111"/>
  <c r="F48" i="111"/>
  <c r="D51" i="111"/>
  <c r="E51" i="111"/>
  <c r="F51" i="111"/>
  <c r="D52" i="111"/>
  <c r="E52" i="111"/>
  <c r="F52" i="111"/>
  <c r="D55" i="111"/>
  <c r="E55" i="111"/>
  <c r="F55" i="111"/>
  <c r="D56" i="111"/>
  <c r="E56" i="111"/>
  <c r="F56" i="111"/>
  <c r="D60" i="111"/>
  <c r="E60" i="111"/>
  <c r="F60" i="111"/>
  <c r="D62" i="111"/>
  <c r="E62" i="111"/>
  <c r="F62" i="111"/>
  <c r="D63" i="111"/>
  <c r="E63" i="111"/>
  <c r="F63" i="111"/>
  <c r="D70" i="111"/>
  <c r="E70" i="111"/>
  <c r="F70" i="111"/>
  <c r="D71" i="111"/>
  <c r="E71" i="111"/>
  <c r="F71" i="111"/>
  <c r="D76" i="111"/>
  <c r="E76" i="111"/>
  <c r="F76" i="111"/>
  <c r="D77" i="111"/>
  <c r="E77" i="111"/>
  <c r="F77" i="111"/>
  <c r="D79" i="111"/>
  <c r="E79" i="111"/>
  <c r="F79" i="111"/>
  <c r="D80" i="111"/>
  <c r="E80" i="111"/>
  <c r="F80" i="111"/>
  <c r="D81" i="111"/>
  <c r="E81" i="111"/>
  <c r="F81" i="111"/>
  <c r="D82" i="111"/>
  <c r="E82" i="111"/>
  <c r="F82" i="111"/>
  <c r="D85" i="111"/>
  <c r="E85" i="111"/>
  <c r="F85" i="111"/>
  <c r="D86" i="111"/>
  <c r="E86" i="111"/>
  <c r="F86" i="111"/>
  <c r="D87" i="111"/>
  <c r="E87" i="111"/>
  <c r="F87" i="111"/>
  <c r="D90" i="111"/>
  <c r="E90" i="111"/>
  <c r="F90" i="111"/>
  <c r="D97" i="111"/>
  <c r="E97" i="111"/>
  <c r="F97" i="111"/>
  <c r="D108" i="111"/>
  <c r="E108" i="111"/>
  <c r="F108" i="111"/>
  <c r="D109" i="111"/>
  <c r="E109" i="111"/>
  <c r="F109" i="111"/>
  <c r="D110" i="111"/>
  <c r="E110" i="111"/>
  <c r="F110" i="111"/>
  <c r="D112" i="111"/>
  <c r="E112" i="111"/>
  <c r="F112" i="111"/>
  <c r="D114" i="111"/>
  <c r="E114" i="111"/>
  <c r="F114" i="111"/>
  <c r="D116" i="111"/>
  <c r="E116" i="111"/>
  <c r="F116" i="111"/>
  <c r="D117" i="111"/>
  <c r="E117" i="111"/>
  <c r="F117" i="111"/>
  <c r="H5" i="37"/>
  <c r="I5" i="37"/>
  <c r="J5" i="37"/>
  <c r="K5" i="37"/>
  <c r="G6" i="37"/>
  <c r="H6" i="37"/>
  <c r="I6" i="37"/>
  <c r="J6" i="37"/>
  <c r="K6" i="37"/>
  <c r="G8" i="37"/>
  <c r="H8" i="37"/>
  <c r="I8" i="37"/>
  <c r="J8" i="37"/>
  <c r="K8" i="37"/>
  <c r="G9" i="37"/>
  <c r="H9" i="37"/>
  <c r="I9" i="37"/>
  <c r="J9" i="37"/>
  <c r="K9" i="37"/>
  <c r="H12" i="37"/>
  <c r="I12" i="37"/>
  <c r="J12" i="37"/>
  <c r="K12" i="37"/>
  <c r="G14" i="37"/>
  <c r="H14" i="37"/>
  <c r="I14" i="37"/>
  <c r="J14" i="37"/>
  <c r="K14" i="37"/>
  <c r="G16" i="37"/>
  <c r="H16" i="37"/>
  <c r="I16" i="37"/>
  <c r="J16" i="37"/>
  <c r="K16" i="37"/>
  <c r="G18" i="37"/>
  <c r="H18" i="37"/>
  <c r="I18" i="37"/>
  <c r="J18" i="37"/>
  <c r="K18" i="37"/>
  <c r="H21" i="37"/>
  <c r="I21" i="37"/>
  <c r="J21" i="37"/>
  <c r="K21" i="37"/>
  <c r="G23" i="37"/>
  <c r="H23" i="37"/>
  <c r="I23" i="37"/>
  <c r="J23" i="37"/>
  <c r="K23" i="37"/>
  <c r="G24" i="37"/>
  <c r="H24" i="37"/>
  <c r="I24" i="37"/>
  <c r="J24" i="37"/>
  <c r="K24" i="37"/>
  <c r="G26" i="37"/>
  <c r="H26" i="37"/>
  <c r="I26" i="37"/>
  <c r="J26" i="37"/>
  <c r="K26" i="37"/>
  <c r="G27" i="37"/>
  <c r="H27" i="37"/>
  <c r="I27" i="37"/>
  <c r="J27" i="37"/>
  <c r="K27" i="37"/>
  <c r="G30" i="37"/>
  <c r="H30" i="37"/>
  <c r="I30" i="37"/>
  <c r="J30" i="37"/>
  <c r="K30" i="37"/>
  <c r="G31" i="37"/>
  <c r="H31" i="37"/>
  <c r="I31" i="37"/>
  <c r="J31" i="37"/>
  <c r="K31" i="37"/>
  <c r="G32" i="37"/>
  <c r="H32" i="37"/>
  <c r="I32" i="37"/>
  <c r="J32" i="37"/>
  <c r="K32" i="37"/>
  <c r="G34" i="37"/>
  <c r="H34" i="37"/>
  <c r="I34" i="37"/>
  <c r="J34" i="37"/>
  <c r="K34" i="37"/>
  <c r="G35" i="37"/>
  <c r="H35" i="37"/>
  <c r="I35" i="37"/>
  <c r="J35" i="37"/>
  <c r="K35" i="37"/>
  <c r="G37" i="37"/>
  <c r="H37" i="37"/>
  <c r="I37" i="37"/>
  <c r="J37" i="37"/>
  <c r="K37" i="37"/>
  <c r="G38" i="37"/>
  <c r="H38" i="37"/>
  <c r="I38" i="37"/>
  <c r="J38" i="37"/>
  <c r="K38" i="37"/>
  <c r="G39" i="37"/>
  <c r="H39" i="37"/>
  <c r="I39" i="37"/>
  <c r="J39" i="37"/>
  <c r="K39" i="37"/>
  <c r="E60" i="37"/>
  <c r="F60" i="37"/>
  <c r="G60" i="37"/>
  <c r="H60" i="37"/>
  <c r="B61" i="37"/>
  <c r="G7" i="89"/>
  <c r="H7" i="89"/>
  <c r="I7" i="89"/>
  <c r="J7" i="89"/>
  <c r="K7" i="89"/>
  <c r="G8" i="89"/>
  <c r="H8" i="89"/>
  <c r="I8" i="89"/>
  <c r="J8" i="89"/>
  <c r="K8" i="89"/>
  <c r="G9" i="89"/>
  <c r="H9" i="89"/>
  <c r="I9" i="89"/>
  <c r="J9" i="89"/>
  <c r="K9" i="89"/>
  <c r="G10" i="89"/>
  <c r="H10" i="89"/>
  <c r="I10" i="89"/>
  <c r="J10" i="89"/>
  <c r="K10" i="89"/>
  <c r="G11" i="89"/>
  <c r="H11" i="89"/>
  <c r="I11" i="89"/>
  <c r="J11" i="89"/>
  <c r="K11" i="89"/>
  <c r="G12" i="89"/>
  <c r="H12" i="89"/>
  <c r="I12" i="89"/>
  <c r="J12" i="89"/>
  <c r="K12" i="89"/>
  <c r="G13" i="89"/>
  <c r="H13" i="89"/>
  <c r="I13" i="89"/>
  <c r="J13" i="89"/>
  <c r="K13" i="89"/>
  <c r="G14" i="89"/>
  <c r="H14" i="89"/>
  <c r="I14" i="89"/>
  <c r="J14" i="89"/>
  <c r="K14" i="89"/>
  <c r="G15" i="89"/>
  <c r="H15" i="89"/>
  <c r="I15" i="89"/>
  <c r="J15" i="89"/>
  <c r="K15" i="89"/>
  <c r="G16" i="89"/>
  <c r="H16" i="89"/>
  <c r="I16" i="89"/>
  <c r="J16" i="89"/>
  <c r="K16" i="89"/>
  <c r="G17" i="89"/>
  <c r="H17" i="89"/>
  <c r="I17" i="89"/>
  <c r="J17" i="89"/>
  <c r="K17" i="89"/>
  <c r="G19" i="89"/>
  <c r="H19" i="89"/>
  <c r="I19" i="89"/>
  <c r="J19" i="89"/>
  <c r="K19" i="89"/>
  <c r="G20" i="89"/>
  <c r="H20" i="89"/>
  <c r="I20" i="89"/>
  <c r="J20" i="89"/>
  <c r="K20" i="89"/>
  <c r="G21" i="89"/>
  <c r="H21" i="89"/>
  <c r="I21" i="89"/>
  <c r="J21" i="89"/>
  <c r="K21" i="89"/>
  <c r="G22" i="89"/>
  <c r="H22" i="89"/>
  <c r="I22" i="89"/>
  <c r="J22" i="89"/>
  <c r="K22" i="89"/>
  <c r="G23" i="89"/>
  <c r="H23" i="89"/>
  <c r="I23" i="89"/>
  <c r="J23" i="89"/>
  <c r="K23" i="89"/>
  <c r="G24" i="89"/>
  <c r="H24" i="89"/>
  <c r="I24" i="89"/>
  <c r="J24" i="89"/>
  <c r="K24" i="89"/>
  <c r="G26" i="89"/>
  <c r="H26" i="89"/>
  <c r="I26" i="89"/>
  <c r="J26" i="89"/>
  <c r="K26" i="89"/>
  <c r="G27" i="89"/>
  <c r="H27" i="89"/>
  <c r="I27" i="89"/>
  <c r="J27" i="89"/>
  <c r="K27" i="89"/>
  <c r="G28" i="89"/>
  <c r="H28" i="89"/>
  <c r="I28" i="89"/>
  <c r="J28" i="89"/>
  <c r="K28" i="89"/>
  <c r="G29" i="89"/>
  <c r="H29" i="89"/>
  <c r="I29" i="89"/>
  <c r="J29" i="89"/>
  <c r="K29" i="89"/>
  <c r="G30" i="89"/>
  <c r="H30" i="89"/>
  <c r="I30" i="89"/>
  <c r="J30" i="89"/>
  <c r="K30" i="89"/>
  <c r="G31" i="89"/>
  <c r="H31" i="89"/>
  <c r="I31" i="89"/>
  <c r="J31" i="89"/>
  <c r="K31" i="89"/>
  <c r="G33" i="89"/>
  <c r="H33" i="89"/>
  <c r="I33" i="89"/>
  <c r="J33" i="89"/>
  <c r="K33" i="89"/>
  <c r="G34" i="89"/>
  <c r="H34" i="89"/>
  <c r="I34" i="89"/>
  <c r="J34" i="89"/>
  <c r="K34" i="89"/>
  <c r="G35" i="89"/>
  <c r="H35" i="89"/>
  <c r="I35" i="89"/>
  <c r="J35" i="89"/>
  <c r="K35" i="89"/>
  <c r="G36" i="89"/>
  <c r="H36" i="89"/>
  <c r="I36" i="89"/>
  <c r="J36" i="89"/>
  <c r="K36" i="89"/>
  <c r="H38" i="89"/>
  <c r="I38" i="89"/>
  <c r="J38" i="89"/>
  <c r="K38" i="89"/>
  <c r="G39" i="89"/>
  <c r="H39" i="89"/>
  <c r="I39" i="89"/>
  <c r="J39" i="89"/>
  <c r="K39" i="89"/>
  <c r="G40" i="89"/>
  <c r="H40" i="89"/>
  <c r="I40" i="89"/>
  <c r="J40" i="89"/>
  <c r="K40" i="89"/>
  <c r="H5" i="88"/>
  <c r="I5" i="88"/>
  <c r="J5" i="88"/>
  <c r="K5" i="88"/>
  <c r="G6" i="88"/>
  <c r="H6" i="88"/>
  <c r="I6" i="88"/>
  <c r="J6" i="88"/>
  <c r="K6" i="88"/>
  <c r="G7" i="88"/>
  <c r="H7" i="88"/>
  <c r="I7" i="88"/>
  <c r="J7" i="88"/>
  <c r="K7" i="88"/>
  <c r="G8" i="88"/>
  <c r="H8" i="88"/>
  <c r="I8" i="88"/>
  <c r="J8" i="88"/>
  <c r="K8" i="88"/>
  <c r="G9" i="88"/>
  <c r="H9" i="88"/>
  <c r="I9" i="88"/>
  <c r="J9" i="88"/>
  <c r="K9" i="88"/>
  <c r="G10" i="88"/>
  <c r="H10" i="88"/>
  <c r="I10" i="88"/>
  <c r="J10" i="88"/>
  <c r="K10" i="88"/>
  <c r="G11" i="88"/>
  <c r="H11" i="88"/>
  <c r="I11" i="88"/>
  <c r="J11" i="88"/>
  <c r="K11" i="88"/>
  <c r="G12" i="88"/>
  <c r="H12" i="88"/>
  <c r="I12" i="88"/>
  <c r="J12" i="88"/>
  <c r="K12" i="88"/>
  <c r="G13" i="88"/>
  <c r="H13" i="88"/>
  <c r="I13" i="88"/>
  <c r="J13" i="88"/>
  <c r="K13" i="88"/>
  <c r="G14" i="88"/>
  <c r="H14" i="88"/>
  <c r="I14" i="88"/>
  <c r="J14" i="88"/>
  <c r="K14" i="88"/>
  <c r="G16" i="88"/>
  <c r="H16" i="88"/>
  <c r="I16" i="88"/>
  <c r="J16" i="88"/>
  <c r="K16" i="88"/>
  <c r="G17" i="88"/>
  <c r="H17" i="88"/>
  <c r="I17" i="88"/>
  <c r="J17" i="88"/>
  <c r="K17" i="88"/>
  <c r="G18" i="88"/>
  <c r="H18" i="88"/>
  <c r="I18" i="88"/>
  <c r="J18" i="88"/>
  <c r="K18" i="88"/>
  <c r="G19" i="88"/>
  <c r="H19" i="88"/>
  <c r="I19" i="88"/>
  <c r="J19" i="88"/>
  <c r="K19" i="88"/>
  <c r="G20" i="88"/>
  <c r="H20" i="88"/>
  <c r="I20" i="88"/>
  <c r="J20" i="88"/>
  <c r="K20" i="88"/>
  <c r="G21" i="88"/>
  <c r="H21" i="88"/>
  <c r="I21" i="88"/>
  <c r="J21" i="88"/>
  <c r="K21" i="88"/>
  <c r="G22" i="88"/>
  <c r="H22" i="88"/>
  <c r="I22" i="88"/>
  <c r="J22" i="88"/>
  <c r="K22" i="88"/>
  <c r="G23" i="88"/>
  <c r="H23" i="88"/>
  <c r="I23" i="88"/>
  <c r="J23" i="88"/>
  <c r="K23" i="88"/>
  <c r="G24" i="88"/>
  <c r="H24" i="88"/>
  <c r="I24" i="88"/>
  <c r="J24" i="88"/>
  <c r="K24" i="88"/>
  <c r="G25" i="88"/>
  <c r="H25" i="88"/>
  <c r="I25" i="88"/>
  <c r="J25" i="88"/>
  <c r="K25" i="88"/>
  <c r="G26" i="88"/>
  <c r="H26" i="88"/>
  <c r="I26" i="88"/>
  <c r="J26" i="88"/>
  <c r="K26" i="88"/>
  <c r="G27" i="88"/>
  <c r="H27" i="88"/>
  <c r="I27" i="88"/>
  <c r="J27" i="88"/>
  <c r="K27" i="88"/>
  <c r="G28" i="88"/>
  <c r="H28" i="88"/>
  <c r="I28" i="88"/>
  <c r="J28" i="88"/>
  <c r="K28" i="88"/>
  <c r="G6" i="51"/>
  <c r="H6" i="51"/>
  <c r="I6" i="51"/>
  <c r="J6" i="51"/>
  <c r="K6" i="51"/>
  <c r="G13" i="51"/>
  <c r="H13" i="51"/>
  <c r="I13" i="51"/>
  <c r="J13" i="51"/>
  <c r="K13" i="51"/>
  <c r="G19" i="51"/>
  <c r="H19" i="51"/>
  <c r="I19" i="51"/>
  <c r="J19" i="51"/>
  <c r="K19" i="51"/>
  <c r="G20" i="51"/>
  <c r="H20" i="51"/>
  <c r="I20" i="51"/>
  <c r="J20" i="51"/>
  <c r="K20" i="51"/>
  <c r="G21" i="51"/>
  <c r="H21" i="51"/>
  <c r="I21" i="51"/>
  <c r="J21" i="51"/>
  <c r="K21" i="51"/>
  <c r="G23" i="51"/>
  <c r="H23" i="51"/>
  <c r="I23" i="51"/>
  <c r="J23" i="51"/>
  <c r="K23" i="51"/>
  <c r="G25" i="51"/>
  <c r="H25" i="51"/>
  <c r="I25" i="51"/>
  <c r="J25" i="51"/>
  <c r="K25" i="51"/>
  <c r="G30" i="51"/>
  <c r="H30" i="51"/>
  <c r="I30" i="51"/>
  <c r="J30" i="51"/>
  <c r="K30" i="51"/>
  <c r="G31" i="51"/>
  <c r="H31" i="51"/>
  <c r="I31" i="51"/>
  <c r="J31" i="51"/>
  <c r="K31" i="51"/>
  <c r="G34" i="51"/>
  <c r="H34" i="51"/>
  <c r="I34" i="51"/>
  <c r="J34" i="51"/>
  <c r="K34" i="51"/>
  <c r="G35" i="51"/>
  <c r="H35" i="51"/>
  <c r="I35" i="51"/>
  <c r="J35" i="51"/>
  <c r="K35" i="51"/>
  <c r="G38" i="51"/>
  <c r="H38" i="51"/>
  <c r="I38" i="51"/>
  <c r="J38" i="51"/>
  <c r="K38" i="51"/>
  <c r="G39" i="51"/>
  <c r="H39" i="51"/>
  <c r="I39" i="51"/>
  <c r="J39" i="51"/>
  <c r="K39" i="51"/>
  <c r="G43" i="51"/>
  <c r="H43" i="51"/>
  <c r="I43" i="51"/>
  <c r="J43" i="51"/>
  <c r="K43" i="51"/>
  <c r="G45" i="51"/>
  <c r="H45" i="51"/>
  <c r="I45" i="51"/>
  <c r="J45" i="51"/>
  <c r="K45" i="51"/>
  <c r="G46" i="51"/>
  <c r="H46" i="51"/>
  <c r="I46" i="51"/>
  <c r="J46" i="51"/>
  <c r="K46" i="51"/>
  <c r="G53" i="51"/>
  <c r="H53" i="51"/>
  <c r="I53" i="51"/>
  <c r="J53" i="51"/>
  <c r="K53" i="51"/>
  <c r="G54" i="51"/>
  <c r="H54" i="51"/>
  <c r="I54" i="51"/>
  <c r="J54" i="51"/>
  <c r="K54" i="51"/>
  <c r="G60" i="51"/>
  <c r="H60" i="51"/>
  <c r="I60" i="51"/>
  <c r="J60" i="51"/>
  <c r="K60" i="51"/>
  <c r="G61" i="51"/>
  <c r="H61" i="51"/>
  <c r="I61" i="51"/>
  <c r="J61" i="51"/>
  <c r="K61" i="51"/>
  <c r="G63" i="51"/>
  <c r="H63" i="51"/>
  <c r="I63" i="51"/>
  <c r="J63" i="51"/>
  <c r="K63" i="51"/>
  <c r="G64" i="51"/>
  <c r="H64" i="51"/>
  <c r="I64" i="51"/>
  <c r="J64" i="51"/>
  <c r="K64" i="51"/>
  <c r="G65" i="51"/>
  <c r="H65" i="51"/>
  <c r="I65" i="51"/>
  <c r="J65" i="51"/>
  <c r="K65" i="51"/>
  <c r="G66" i="51"/>
  <c r="H66" i="51"/>
  <c r="I66" i="51"/>
  <c r="J66" i="51"/>
  <c r="K66" i="51"/>
  <c r="G68" i="51"/>
  <c r="H68" i="51"/>
  <c r="I68" i="51"/>
  <c r="J68" i="51"/>
  <c r="K68" i="51"/>
  <c r="G70" i="51"/>
  <c r="H70" i="51"/>
  <c r="I70" i="51"/>
  <c r="J70" i="51"/>
  <c r="K70" i="51"/>
  <c r="G79" i="51"/>
  <c r="H79" i="51"/>
  <c r="I79" i="51"/>
  <c r="J79" i="51"/>
  <c r="K79" i="51"/>
  <c r="G83" i="51"/>
  <c r="H83" i="51"/>
  <c r="I83" i="51"/>
  <c r="J83" i="51"/>
  <c r="K83" i="51"/>
  <c r="G86" i="51"/>
  <c r="H86" i="51"/>
  <c r="I86" i="51"/>
  <c r="J86" i="51"/>
  <c r="K86" i="51"/>
  <c r="G87" i="51"/>
  <c r="H87" i="51"/>
  <c r="I87" i="51"/>
  <c r="J87" i="51"/>
  <c r="K87" i="51"/>
  <c r="G90" i="51"/>
  <c r="H90" i="51"/>
  <c r="I90" i="51"/>
  <c r="J90" i="51"/>
  <c r="K90" i="51"/>
  <c r="G91" i="51"/>
  <c r="H91" i="51"/>
  <c r="I91" i="51"/>
  <c r="J91" i="51"/>
  <c r="K91" i="51"/>
  <c r="E99" i="51"/>
  <c r="B100" i="5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kachio</author>
  </authors>
  <commentList>
    <comment ref="G10" authorId="0" shapeId="0" xr:uid="{00000000-0006-0000-0600-000001000000}">
      <text>
        <r>
          <rPr>
            <b/>
            <sz val="9"/>
            <color indexed="81"/>
            <rFont val="宋体"/>
            <family val="3"/>
            <charset val="134"/>
          </rPr>
          <t>kachio:</t>
        </r>
        <r>
          <rPr>
            <sz val="9"/>
            <color indexed="81"/>
            <rFont val="宋体"/>
            <family val="3"/>
            <charset val="134"/>
          </rPr>
          <t xml:space="preserve">
对收入增加的影响+收入增加导致税金增加对利润总额的降低影响</t>
        </r>
      </text>
    </comment>
    <comment ref="G11" authorId="0" shapeId="0" xr:uid="{00000000-0006-0000-0600-000002000000}">
      <text>
        <r>
          <rPr>
            <b/>
            <sz val="9"/>
            <color indexed="81"/>
            <rFont val="宋体"/>
            <family val="3"/>
            <charset val="134"/>
          </rPr>
          <t>kachio:</t>
        </r>
        <r>
          <rPr>
            <sz val="9"/>
            <color indexed="81"/>
            <rFont val="宋体"/>
            <family val="3"/>
            <charset val="134"/>
          </rPr>
          <t xml:space="preserve">
对收入降低的影响及收入降低对税率降低利润增加的影响</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kachio</author>
  </authors>
  <commentList>
    <comment ref="I19" authorId="0" shapeId="0" xr:uid="{00000000-0006-0000-0B00-000001000000}">
      <text>
        <r>
          <rPr>
            <b/>
            <sz val="9"/>
            <color indexed="81"/>
            <rFont val="宋体"/>
            <family val="3"/>
            <charset val="134"/>
          </rPr>
          <t>kachio:</t>
        </r>
        <r>
          <rPr>
            <sz val="9"/>
            <color indexed="81"/>
            <rFont val="宋体"/>
            <family val="3"/>
            <charset val="134"/>
          </rPr>
          <t xml:space="preserve">
方案Ⅰ：投资规模、折旧率、新增运维成本与经营预测一致；方案Ⅱ：折旧额、运维费、有效资产与经营预测一致</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kachio</author>
  </authors>
  <commentList>
    <comment ref="L2" authorId="0" shapeId="0" xr:uid="{00000000-0006-0000-0F00-000001000000}">
      <text>
        <r>
          <rPr>
            <b/>
            <sz val="9"/>
            <color indexed="81"/>
            <rFont val="宋体"/>
            <family val="3"/>
            <charset val="134"/>
          </rPr>
          <t>kachio:值表示该指标变动对利润总额差额的贡献比，负数表述负向影响</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kachio</author>
  </authors>
  <commentList>
    <comment ref="J2" authorId="0" shapeId="0" xr:uid="{00000000-0006-0000-1000-000001000000}">
      <text>
        <r>
          <rPr>
            <b/>
            <sz val="9"/>
            <color indexed="81"/>
            <rFont val="宋体"/>
            <family val="3"/>
            <charset val="134"/>
          </rPr>
          <t>kachio:值表示该指标变动对利润总额差额的贡献比，负数表述负向影响</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kachio</author>
  </authors>
  <commentList>
    <comment ref="J2" authorId="0" shapeId="0" xr:uid="{00000000-0006-0000-1100-000001000000}">
      <text>
        <r>
          <rPr>
            <b/>
            <sz val="9"/>
            <color indexed="81"/>
            <rFont val="宋体"/>
            <family val="3"/>
            <charset val="134"/>
          </rPr>
          <t>kachio:值表示该指标变动对利润总额差额的贡献比，负数表述负向影响</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sgcc</author>
    <author>kachio</author>
  </authors>
  <commentList>
    <comment ref="G9" authorId="0" shapeId="0" xr:uid="{00000000-0006-0000-1900-000001000000}">
      <text>
        <r>
          <rPr>
            <b/>
            <sz val="9"/>
            <color indexed="81"/>
            <rFont val="Tahoma"/>
            <family val="2"/>
          </rPr>
          <t>sgcc:</t>
        </r>
        <r>
          <rPr>
            <sz val="9"/>
            <color indexed="81"/>
            <rFont val="Tahoma"/>
            <family val="2"/>
          </rPr>
          <t xml:space="preserve">
</t>
        </r>
        <r>
          <rPr>
            <sz val="9"/>
            <color indexed="81"/>
            <rFont val="宋体"/>
            <family val="3"/>
            <charset val="134"/>
          </rPr>
          <t>按照</t>
        </r>
        <r>
          <rPr>
            <sz val="9"/>
            <color indexed="81"/>
            <rFont val="Tahoma"/>
            <family val="2"/>
          </rPr>
          <t>2018</t>
        </r>
        <r>
          <rPr>
            <sz val="9"/>
            <color indexed="81"/>
            <rFont val="宋体"/>
            <family val="3"/>
            <charset val="134"/>
          </rPr>
          <t>年预算上会稿售电量购电量测算</t>
        </r>
      </text>
    </comment>
    <comment ref="E174" authorId="1" shapeId="0" xr:uid="{00000000-0006-0000-1900-000002000000}">
      <text>
        <r>
          <rPr>
            <b/>
            <sz val="9"/>
            <color indexed="81"/>
            <rFont val="宋体"/>
            <family val="3"/>
            <charset val="134"/>
          </rPr>
          <t>kachio:</t>
        </r>
        <r>
          <rPr>
            <sz val="9"/>
            <color indexed="81"/>
            <rFont val="宋体"/>
            <family val="3"/>
            <charset val="134"/>
          </rPr>
          <t xml:space="preserve">
总新增固定资产</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kachio</author>
  </authors>
  <commentList>
    <comment ref="H3" authorId="0" shapeId="0" xr:uid="{00000000-0006-0000-1A00-000001000000}">
      <text>
        <r>
          <rPr>
            <b/>
            <sz val="9"/>
            <color indexed="81"/>
            <rFont val="宋体"/>
            <family val="3"/>
            <charset val="134"/>
          </rPr>
          <t>kachio:</t>
        </r>
        <r>
          <rPr>
            <sz val="9"/>
            <color indexed="81"/>
            <rFont val="宋体"/>
            <family val="3"/>
            <charset val="134"/>
          </rPr>
          <t xml:space="preserve">
2016年数据</t>
        </r>
      </text>
    </comment>
    <comment ref="C38" authorId="0" shapeId="0" xr:uid="{00000000-0006-0000-1A00-000002000000}">
      <text>
        <r>
          <rPr>
            <b/>
            <sz val="9"/>
            <color indexed="81"/>
            <rFont val="宋体"/>
            <family val="3"/>
            <charset val="134"/>
          </rPr>
          <t>kachio:</t>
        </r>
        <r>
          <rPr>
            <sz val="9"/>
            <color indexed="81"/>
            <rFont val="宋体"/>
            <family val="3"/>
            <charset val="134"/>
          </rPr>
          <t xml:space="preserve">
2016年数据</t>
        </r>
      </text>
    </comment>
    <comment ref="D38" authorId="0" shapeId="0" xr:uid="{00000000-0006-0000-1A00-000003000000}">
      <text>
        <r>
          <rPr>
            <b/>
            <sz val="9"/>
            <color indexed="81"/>
            <rFont val="宋体"/>
            <family val="3"/>
            <charset val="134"/>
          </rPr>
          <t>kachio:</t>
        </r>
        <r>
          <rPr>
            <sz val="9"/>
            <color indexed="81"/>
            <rFont val="宋体"/>
            <family val="3"/>
            <charset val="134"/>
          </rPr>
          <t xml:space="preserve">
2016年数据</t>
        </r>
      </text>
    </comment>
    <comment ref="E38" authorId="0" shapeId="0" xr:uid="{00000000-0006-0000-1A00-000004000000}">
      <text>
        <r>
          <rPr>
            <b/>
            <sz val="9"/>
            <color indexed="81"/>
            <rFont val="宋体"/>
            <family val="3"/>
            <charset val="134"/>
          </rPr>
          <t>kachio:</t>
        </r>
        <r>
          <rPr>
            <sz val="9"/>
            <color indexed="81"/>
            <rFont val="宋体"/>
            <family val="3"/>
            <charset val="134"/>
          </rPr>
          <t xml:space="preserve">
2016年数据</t>
        </r>
      </text>
    </comment>
    <comment ref="F38" authorId="0" shapeId="0" xr:uid="{00000000-0006-0000-1A00-000005000000}">
      <text>
        <r>
          <rPr>
            <b/>
            <sz val="9"/>
            <color indexed="81"/>
            <rFont val="宋体"/>
            <family val="3"/>
            <charset val="134"/>
          </rPr>
          <t>kachio:</t>
        </r>
        <r>
          <rPr>
            <sz val="9"/>
            <color indexed="81"/>
            <rFont val="宋体"/>
            <family val="3"/>
            <charset val="134"/>
          </rPr>
          <t xml:space="preserve">
2016年数据</t>
        </r>
      </text>
    </comment>
    <comment ref="G38" authorId="0" shapeId="0" xr:uid="{00000000-0006-0000-1A00-000006000000}">
      <text>
        <r>
          <rPr>
            <b/>
            <sz val="9"/>
            <color indexed="81"/>
            <rFont val="宋体"/>
            <family val="3"/>
            <charset val="134"/>
          </rPr>
          <t>kachio:</t>
        </r>
        <r>
          <rPr>
            <sz val="9"/>
            <color indexed="81"/>
            <rFont val="宋体"/>
            <family val="3"/>
            <charset val="134"/>
          </rPr>
          <t xml:space="preserve">
2016年数据</t>
        </r>
      </text>
    </comment>
    <comment ref="H38" authorId="0" shapeId="0" xr:uid="{00000000-0006-0000-1A00-000007000000}">
      <text>
        <r>
          <rPr>
            <b/>
            <sz val="9"/>
            <color indexed="81"/>
            <rFont val="宋体"/>
            <family val="3"/>
            <charset val="134"/>
          </rPr>
          <t>kachio:</t>
        </r>
        <r>
          <rPr>
            <sz val="9"/>
            <color indexed="81"/>
            <rFont val="宋体"/>
            <family val="3"/>
            <charset val="134"/>
          </rPr>
          <t xml:space="preserve">
2016年数据</t>
        </r>
      </text>
    </comment>
    <comment ref="I38" authorId="0" shapeId="0" xr:uid="{00000000-0006-0000-1A00-000008000000}">
      <text>
        <r>
          <rPr>
            <b/>
            <sz val="9"/>
            <color indexed="81"/>
            <rFont val="宋体"/>
            <family val="3"/>
            <charset val="134"/>
          </rPr>
          <t>kachio:</t>
        </r>
        <r>
          <rPr>
            <sz val="9"/>
            <color indexed="81"/>
            <rFont val="宋体"/>
            <family val="3"/>
            <charset val="134"/>
          </rPr>
          <t xml:space="preserve">
2016年数据</t>
        </r>
      </text>
    </comment>
    <comment ref="C73" authorId="0" shapeId="0" xr:uid="{00000000-0006-0000-1A00-000009000000}">
      <text>
        <r>
          <rPr>
            <b/>
            <sz val="9"/>
            <color indexed="81"/>
            <rFont val="宋体"/>
            <family val="3"/>
            <charset val="134"/>
          </rPr>
          <t>kachio:</t>
        </r>
        <r>
          <rPr>
            <sz val="9"/>
            <color indexed="81"/>
            <rFont val="宋体"/>
            <family val="3"/>
            <charset val="134"/>
          </rPr>
          <t xml:space="preserve">
2016年数据</t>
        </r>
      </text>
    </comment>
    <comment ref="D73" authorId="0" shapeId="0" xr:uid="{00000000-0006-0000-1A00-00000A000000}">
      <text>
        <r>
          <rPr>
            <b/>
            <sz val="9"/>
            <color indexed="81"/>
            <rFont val="宋体"/>
            <family val="3"/>
            <charset val="134"/>
          </rPr>
          <t>kachio:</t>
        </r>
        <r>
          <rPr>
            <sz val="9"/>
            <color indexed="81"/>
            <rFont val="宋体"/>
            <family val="3"/>
            <charset val="134"/>
          </rPr>
          <t xml:space="preserve">
2016年数据</t>
        </r>
      </text>
    </comment>
    <comment ref="E73" authorId="0" shapeId="0" xr:uid="{00000000-0006-0000-1A00-00000B000000}">
      <text>
        <r>
          <rPr>
            <b/>
            <sz val="9"/>
            <color indexed="81"/>
            <rFont val="宋体"/>
            <family val="3"/>
            <charset val="134"/>
          </rPr>
          <t>kachio:</t>
        </r>
        <r>
          <rPr>
            <sz val="9"/>
            <color indexed="81"/>
            <rFont val="宋体"/>
            <family val="3"/>
            <charset val="134"/>
          </rPr>
          <t xml:space="preserve">
2016年数据</t>
        </r>
      </text>
    </comment>
    <comment ref="F73" authorId="0" shapeId="0" xr:uid="{00000000-0006-0000-1A00-00000C000000}">
      <text>
        <r>
          <rPr>
            <b/>
            <sz val="9"/>
            <color indexed="81"/>
            <rFont val="宋体"/>
            <family val="3"/>
            <charset val="134"/>
          </rPr>
          <t>kachio:</t>
        </r>
        <r>
          <rPr>
            <sz val="9"/>
            <color indexed="81"/>
            <rFont val="宋体"/>
            <family val="3"/>
            <charset val="134"/>
          </rPr>
          <t xml:space="preserve">
2016年数据</t>
        </r>
      </text>
    </comment>
    <comment ref="G73" authorId="0" shapeId="0" xr:uid="{00000000-0006-0000-1A00-00000D000000}">
      <text>
        <r>
          <rPr>
            <b/>
            <sz val="9"/>
            <color indexed="81"/>
            <rFont val="宋体"/>
            <family val="3"/>
            <charset val="134"/>
          </rPr>
          <t>kachio:</t>
        </r>
        <r>
          <rPr>
            <sz val="9"/>
            <color indexed="81"/>
            <rFont val="宋体"/>
            <family val="3"/>
            <charset val="134"/>
          </rPr>
          <t xml:space="preserve">
2016年数据</t>
        </r>
      </text>
    </comment>
    <comment ref="H73" authorId="0" shapeId="0" xr:uid="{00000000-0006-0000-1A00-00000E000000}">
      <text>
        <r>
          <rPr>
            <b/>
            <sz val="9"/>
            <color indexed="81"/>
            <rFont val="宋体"/>
            <family val="3"/>
            <charset val="134"/>
          </rPr>
          <t>kachio:</t>
        </r>
        <r>
          <rPr>
            <sz val="9"/>
            <color indexed="81"/>
            <rFont val="宋体"/>
            <family val="3"/>
            <charset val="134"/>
          </rPr>
          <t xml:space="preserve">
2016年数据</t>
        </r>
      </text>
    </comment>
    <comment ref="I73" authorId="0" shapeId="0" xr:uid="{00000000-0006-0000-1A00-00000F000000}">
      <text>
        <r>
          <rPr>
            <b/>
            <sz val="9"/>
            <color indexed="81"/>
            <rFont val="宋体"/>
            <family val="3"/>
            <charset val="134"/>
          </rPr>
          <t>kachio:</t>
        </r>
        <r>
          <rPr>
            <sz val="9"/>
            <color indexed="81"/>
            <rFont val="宋体"/>
            <family val="3"/>
            <charset val="134"/>
          </rPr>
          <t xml:space="preserve">
2016年数据</t>
        </r>
      </text>
    </comment>
    <comment ref="C108" authorId="0" shapeId="0" xr:uid="{00000000-0006-0000-1A00-000010000000}">
      <text>
        <r>
          <rPr>
            <b/>
            <sz val="9"/>
            <color indexed="81"/>
            <rFont val="宋体"/>
            <family val="3"/>
            <charset val="134"/>
          </rPr>
          <t>kachio:</t>
        </r>
        <r>
          <rPr>
            <sz val="9"/>
            <color indexed="81"/>
            <rFont val="宋体"/>
            <family val="3"/>
            <charset val="134"/>
          </rPr>
          <t xml:space="preserve">
2016年数据</t>
        </r>
      </text>
    </comment>
    <comment ref="D108" authorId="0" shapeId="0" xr:uid="{00000000-0006-0000-1A00-000011000000}">
      <text>
        <r>
          <rPr>
            <b/>
            <sz val="9"/>
            <color indexed="81"/>
            <rFont val="宋体"/>
            <family val="3"/>
            <charset val="134"/>
          </rPr>
          <t>kachio:</t>
        </r>
        <r>
          <rPr>
            <sz val="9"/>
            <color indexed="81"/>
            <rFont val="宋体"/>
            <family val="3"/>
            <charset val="134"/>
          </rPr>
          <t xml:space="preserve">
2016年数据</t>
        </r>
      </text>
    </comment>
    <comment ref="E108" authorId="0" shapeId="0" xr:uid="{00000000-0006-0000-1A00-000012000000}">
      <text>
        <r>
          <rPr>
            <b/>
            <sz val="9"/>
            <color indexed="81"/>
            <rFont val="宋体"/>
            <family val="3"/>
            <charset val="134"/>
          </rPr>
          <t>kachio:</t>
        </r>
        <r>
          <rPr>
            <sz val="9"/>
            <color indexed="81"/>
            <rFont val="宋体"/>
            <family val="3"/>
            <charset val="134"/>
          </rPr>
          <t xml:space="preserve">
2016年数据</t>
        </r>
      </text>
    </comment>
    <comment ref="F108" authorId="0" shapeId="0" xr:uid="{00000000-0006-0000-1A00-000013000000}">
      <text>
        <r>
          <rPr>
            <b/>
            <sz val="9"/>
            <color indexed="81"/>
            <rFont val="宋体"/>
            <family val="3"/>
            <charset val="134"/>
          </rPr>
          <t>kachio:</t>
        </r>
        <r>
          <rPr>
            <sz val="9"/>
            <color indexed="81"/>
            <rFont val="宋体"/>
            <family val="3"/>
            <charset val="134"/>
          </rPr>
          <t xml:space="preserve">
2016年数据</t>
        </r>
      </text>
    </comment>
    <comment ref="G108" authorId="0" shapeId="0" xr:uid="{00000000-0006-0000-1A00-000014000000}">
      <text>
        <r>
          <rPr>
            <b/>
            <sz val="9"/>
            <color indexed="81"/>
            <rFont val="宋体"/>
            <family val="3"/>
            <charset val="134"/>
          </rPr>
          <t>kachio:</t>
        </r>
        <r>
          <rPr>
            <sz val="9"/>
            <color indexed="81"/>
            <rFont val="宋体"/>
            <family val="3"/>
            <charset val="134"/>
          </rPr>
          <t xml:space="preserve">
2016年数据</t>
        </r>
      </text>
    </comment>
    <comment ref="H108" authorId="0" shapeId="0" xr:uid="{00000000-0006-0000-1A00-000015000000}">
      <text>
        <r>
          <rPr>
            <b/>
            <sz val="9"/>
            <color indexed="81"/>
            <rFont val="宋体"/>
            <family val="3"/>
            <charset val="134"/>
          </rPr>
          <t>kachio:</t>
        </r>
        <r>
          <rPr>
            <sz val="9"/>
            <color indexed="81"/>
            <rFont val="宋体"/>
            <family val="3"/>
            <charset val="134"/>
          </rPr>
          <t xml:space="preserve">
2016年数据</t>
        </r>
      </text>
    </comment>
    <comment ref="I108" authorId="0" shapeId="0" xr:uid="{00000000-0006-0000-1A00-000016000000}">
      <text>
        <r>
          <rPr>
            <b/>
            <sz val="9"/>
            <color indexed="81"/>
            <rFont val="宋体"/>
            <family val="3"/>
            <charset val="134"/>
          </rPr>
          <t>kachio:</t>
        </r>
        <r>
          <rPr>
            <sz val="9"/>
            <color indexed="81"/>
            <rFont val="宋体"/>
            <family val="3"/>
            <charset val="134"/>
          </rPr>
          <t xml:space="preserve">
2016年数据</t>
        </r>
      </text>
    </comment>
    <comment ref="C143" authorId="0" shapeId="0" xr:uid="{00000000-0006-0000-1A00-000017000000}">
      <text>
        <r>
          <rPr>
            <b/>
            <sz val="9"/>
            <color indexed="81"/>
            <rFont val="宋体"/>
            <family val="3"/>
            <charset val="134"/>
          </rPr>
          <t>kachio:</t>
        </r>
        <r>
          <rPr>
            <sz val="9"/>
            <color indexed="81"/>
            <rFont val="宋体"/>
            <family val="3"/>
            <charset val="134"/>
          </rPr>
          <t xml:space="preserve">
2016年数据</t>
        </r>
      </text>
    </comment>
    <comment ref="D143" authorId="0" shapeId="0" xr:uid="{00000000-0006-0000-1A00-000018000000}">
      <text>
        <r>
          <rPr>
            <b/>
            <sz val="9"/>
            <color indexed="81"/>
            <rFont val="宋体"/>
            <family val="3"/>
            <charset val="134"/>
          </rPr>
          <t>kachio:</t>
        </r>
        <r>
          <rPr>
            <sz val="9"/>
            <color indexed="81"/>
            <rFont val="宋体"/>
            <family val="3"/>
            <charset val="134"/>
          </rPr>
          <t xml:space="preserve">
2016年数据</t>
        </r>
      </text>
    </comment>
    <comment ref="E143" authorId="0" shapeId="0" xr:uid="{00000000-0006-0000-1A00-000019000000}">
      <text>
        <r>
          <rPr>
            <b/>
            <sz val="9"/>
            <color indexed="81"/>
            <rFont val="宋体"/>
            <family val="3"/>
            <charset val="134"/>
          </rPr>
          <t>kachio:</t>
        </r>
        <r>
          <rPr>
            <sz val="9"/>
            <color indexed="81"/>
            <rFont val="宋体"/>
            <family val="3"/>
            <charset val="134"/>
          </rPr>
          <t xml:space="preserve">
2016年数据</t>
        </r>
      </text>
    </comment>
    <comment ref="F143" authorId="0" shapeId="0" xr:uid="{00000000-0006-0000-1A00-00001A000000}">
      <text>
        <r>
          <rPr>
            <b/>
            <sz val="9"/>
            <color indexed="81"/>
            <rFont val="宋体"/>
            <family val="3"/>
            <charset val="134"/>
          </rPr>
          <t>kachio:</t>
        </r>
        <r>
          <rPr>
            <sz val="9"/>
            <color indexed="81"/>
            <rFont val="宋体"/>
            <family val="3"/>
            <charset val="134"/>
          </rPr>
          <t xml:space="preserve">
2016年数据</t>
        </r>
      </text>
    </comment>
    <comment ref="G143" authorId="0" shapeId="0" xr:uid="{00000000-0006-0000-1A00-00001B000000}">
      <text>
        <r>
          <rPr>
            <b/>
            <sz val="9"/>
            <color indexed="81"/>
            <rFont val="宋体"/>
            <family val="3"/>
            <charset val="134"/>
          </rPr>
          <t>kachio:</t>
        </r>
        <r>
          <rPr>
            <sz val="9"/>
            <color indexed="81"/>
            <rFont val="宋体"/>
            <family val="3"/>
            <charset val="134"/>
          </rPr>
          <t xml:space="preserve">
2016年数据</t>
        </r>
      </text>
    </comment>
    <comment ref="H143" authorId="0" shapeId="0" xr:uid="{00000000-0006-0000-1A00-00001C000000}">
      <text>
        <r>
          <rPr>
            <b/>
            <sz val="9"/>
            <color indexed="81"/>
            <rFont val="宋体"/>
            <family val="3"/>
            <charset val="134"/>
          </rPr>
          <t>kachio:</t>
        </r>
        <r>
          <rPr>
            <sz val="9"/>
            <color indexed="81"/>
            <rFont val="宋体"/>
            <family val="3"/>
            <charset val="134"/>
          </rPr>
          <t xml:space="preserve">
2016年数据</t>
        </r>
      </text>
    </comment>
    <comment ref="I143" authorId="0" shapeId="0" xr:uid="{00000000-0006-0000-1A00-00001D000000}">
      <text>
        <r>
          <rPr>
            <b/>
            <sz val="9"/>
            <color indexed="81"/>
            <rFont val="宋体"/>
            <family val="3"/>
            <charset val="134"/>
          </rPr>
          <t>kachio:</t>
        </r>
        <r>
          <rPr>
            <sz val="9"/>
            <color indexed="81"/>
            <rFont val="宋体"/>
            <family val="3"/>
            <charset val="134"/>
          </rPr>
          <t xml:space="preserve">
2016年数据</t>
        </r>
      </text>
    </comment>
    <comment ref="C178" authorId="0" shapeId="0" xr:uid="{00000000-0006-0000-1A00-00001E000000}">
      <text>
        <r>
          <rPr>
            <b/>
            <sz val="9"/>
            <color indexed="81"/>
            <rFont val="宋体"/>
            <family val="3"/>
            <charset val="134"/>
          </rPr>
          <t>kachio:</t>
        </r>
        <r>
          <rPr>
            <sz val="9"/>
            <color indexed="81"/>
            <rFont val="宋体"/>
            <family val="3"/>
            <charset val="134"/>
          </rPr>
          <t xml:space="preserve">
2016年数据</t>
        </r>
      </text>
    </comment>
    <comment ref="D178" authorId="0" shapeId="0" xr:uid="{00000000-0006-0000-1A00-00001F000000}">
      <text>
        <r>
          <rPr>
            <b/>
            <sz val="9"/>
            <color indexed="81"/>
            <rFont val="宋体"/>
            <family val="3"/>
            <charset val="134"/>
          </rPr>
          <t>kachio:</t>
        </r>
        <r>
          <rPr>
            <sz val="9"/>
            <color indexed="81"/>
            <rFont val="宋体"/>
            <family val="3"/>
            <charset val="134"/>
          </rPr>
          <t xml:space="preserve">
2016年数据</t>
        </r>
      </text>
    </comment>
    <comment ref="E178" authorId="0" shapeId="0" xr:uid="{00000000-0006-0000-1A00-000020000000}">
      <text>
        <r>
          <rPr>
            <b/>
            <sz val="9"/>
            <color indexed="81"/>
            <rFont val="宋体"/>
            <family val="3"/>
            <charset val="134"/>
          </rPr>
          <t>kachio:</t>
        </r>
        <r>
          <rPr>
            <sz val="9"/>
            <color indexed="81"/>
            <rFont val="宋体"/>
            <family val="3"/>
            <charset val="134"/>
          </rPr>
          <t xml:space="preserve">
2016年数据</t>
        </r>
      </text>
    </comment>
    <comment ref="F178" authorId="0" shapeId="0" xr:uid="{00000000-0006-0000-1A00-000021000000}">
      <text>
        <r>
          <rPr>
            <b/>
            <sz val="9"/>
            <color indexed="81"/>
            <rFont val="宋体"/>
            <family val="3"/>
            <charset val="134"/>
          </rPr>
          <t>kachio:</t>
        </r>
        <r>
          <rPr>
            <sz val="9"/>
            <color indexed="81"/>
            <rFont val="宋体"/>
            <family val="3"/>
            <charset val="134"/>
          </rPr>
          <t xml:space="preserve">
2016年数据</t>
        </r>
      </text>
    </comment>
    <comment ref="G178" authorId="0" shapeId="0" xr:uid="{00000000-0006-0000-1A00-000022000000}">
      <text>
        <r>
          <rPr>
            <b/>
            <sz val="9"/>
            <color indexed="81"/>
            <rFont val="宋体"/>
            <family val="3"/>
            <charset val="134"/>
          </rPr>
          <t>kachio:</t>
        </r>
        <r>
          <rPr>
            <sz val="9"/>
            <color indexed="81"/>
            <rFont val="宋体"/>
            <family val="3"/>
            <charset val="134"/>
          </rPr>
          <t xml:space="preserve">
2016年数据</t>
        </r>
      </text>
    </comment>
    <comment ref="H178" authorId="0" shapeId="0" xr:uid="{00000000-0006-0000-1A00-000023000000}">
      <text>
        <r>
          <rPr>
            <b/>
            <sz val="9"/>
            <color indexed="81"/>
            <rFont val="宋体"/>
            <family val="3"/>
            <charset val="134"/>
          </rPr>
          <t>kachio:</t>
        </r>
        <r>
          <rPr>
            <sz val="9"/>
            <color indexed="81"/>
            <rFont val="宋体"/>
            <family val="3"/>
            <charset val="134"/>
          </rPr>
          <t xml:space="preserve">
2016年数据</t>
        </r>
      </text>
    </comment>
    <comment ref="I178" authorId="0" shapeId="0" xr:uid="{00000000-0006-0000-1A00-000024000000}">
      <text>
        <r>
          <rPr>
            <b/>
            <sz val="9"/>
            <color indexed="81"/>
            <rFont val="宋体"/>
            <family val="3"/>
            <charset val="134"/>
          </rPr>
          <t>kachio:</t>
        </r>
        <r>
          <rPr>
            <sz val="9"/>
            <color indexed="81"/>
            <rFont val="宋体"/>
            <family val="3"/>
            <charset val="134"/>
          </rPr>
          <t xml:space="preserve">
2016年数据</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kachio</author>
  </authors>
  <commentList>
    <comment ref="C45" authorId="0" shapeId="0" xr:uid="{00000000-0006-0000-1C00-000001000000}">
      <text>
        <r>
          <rPr>
            <b/>
            <sz val="9"/>
            <color indexed="81"/>
            <rFont val="宋体"/>
            <family val="3"/>
            <charset val="134"/>
          </rPr>
          <t>kachio:</t>
        </r>
        <r>
          <rPr>
            <sz val="9"/>
            <color indexed="81"/>
            <rFont val="宋体"/>
            <family val="3"/>
            <charset val="134"/>
          </rPr>
          <t xml:space="preserve">
五省平均</t>
        </r>
      </text>
    </comment>
    <comment ref="C54" authorId="0" shapeId="0" xr:uid="{00000000-0006-0000-1C00-000002000000}">
      <text>
        <r>
          <rPr>
            <b/>
            <sz val="9"/>
            <color indexed="81"/>
            <rFont val="宋体"/>
            <family val="3"/>
            <charset val="134"/>
          </rPr>
          <t>kachio:</t>
        </r>
        <r>
          <rPr>
            <sz val="9"/>
            <color indexed="81"/>
            <rFont val="宋体"/>
            <family val="3"/>
            <charset val="134"/>
          </rPr>
          <t xml:space="preserve">
总投资*一般资产比重</t>
        </r>
      </text>
    </comment>
    <comment ref="C59" authorId="0" shapeId="0" xr:uid="{00000000-0006-0000-1C00-000003000000}">
      <text>
        <r>
          <rPr>
            <b/>
            <sz val="9"/>
            <color indexed="81"/>
            <rFont val="宋体"/>
            <family val="3"/>
            <charset val="134"/>
          </rPr>
          <t>kachio:</t>
        </r>
        <r>
          <rPr>
            <sz val="9"/>
            <color indexed="81"/>
            <rFont val="宋体"/>
            <family val="3"/>
            <charset val="134"/>
          </rPr>
          <t xml:space="preserve">
总投资*政策性资产比重</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C25" authorId="0" shapeId="0" xr:uid="{00000000-0006-0000-2000-000001000000}">
      <text>
        <r>
          <rPr>
            <sz val="9"/>
            <rFont val="宋体"/>
            <family val="3"/>
            <charset val="134"/>
          </rPr>
          <t xml:space="preserve">曹:已计提完折旧固定资产加回来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kachio</author>
  </authors>
  <commentList>
    <comment ref="B26" authorId="0" shapeId="0" xr:uid="{00000000-0006-0000-2600-000001000000}">
      <text>
        <r>
          <rPr>
            <b/>
            <sz val="9"/>
            <color indexed="81"/>
            <rFont val="宋体"/>
            <family val="3"/>
            <charset val="134"/>
          </rPr>
          <t>kachio:</t>
        </r>
        <r>
          <rPr>
            <sz val="9"/>
            <color indexed="81"/>
            <rFont val="宋体"/>
            <family val="3"/>
            <charset val="134"/>
          </rPr>
          <t xml:space="preserve">
《成本费用情况表》</t>
        </r>
      </text>
    </comment>
    <comment ref="B27" authorId="0" shapeId="0" xr:uid="{00000000-0006-0000-2600-000002000000}">
      <text>
        <r>
          <rPr>
            <b/>
            <sz val="9"/>
            <color indexed="81"/>
            <rFont val="宋体"/>
            <family val="3"/>
            <charset val="134"/>
          </rPr>
          <t>kachio:</t>
        </r>
        <r>
          <rPr>
            <sz val="9"/>
            <color indexed="81"/>
            <rFont val="宋体"/>
            <family val="3"/>
            <charset val="134"/>
          </rPr>
          <t xml:space="preserve">
《成本费用管理情况表》</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C25" authorId="0" shapeId="0" xr:uid="{00000000-0006-0000-2B00-000001000000}">
      <text>
        <r>
          <rPr>
            <sz val="9"/>
            <rFont val="宋体"/>
            <family val="3"/>
            <charset val="134"/>
          </rPr>
          <t xml:space="preserve">曹:已计提完折旧固定资产加回来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数据模型" type="5" refreshedVersion="5" minRefreshableVersion="5" background="1">
    <dbPr connection="Data Model Connection" command="Model" commandType="1"/>
    <olapPr sendLocale="1" rowDrillCount="1000" serverFill="0" serverNumberFormat="0" serverFont="0" serverFontColor="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<sst xmlns="http://schemas.openxmlformats.org/spreadsheetml/2006/main" count="5816" uniqueCount="2442">
  <si>
    <t>封面</t>
    <phoneticPr fontId="20" type="noConversion"/>
  </si>
  <si>
    <t>黑色</t>
    <phoneticPr fontId="28" type="noConversion"/>
  </si>
  <si>
    <t>自动计算</t>
    <phoneticPr fontId="28" type="noConversion"/>
  </si>
  <si>
    <t>蓝色</t>
    <phoneticPr fontId="28" type="noConversion"/>
  </si>
  <si>
    <t>研究开发费</t>
  </si>
  <si>
    <t>项目</t>
    <phoneticPr fontId="20" type="noConversion"/>
  </si>
  <si>
    <t>货币资金</t>
  </si>
  <si>
    <t>应收账款和票据</t>
  </si>
  <si>
    <t>存货</t>
  </si>
  <si>
    <t>其他应收款</t>
  </si>
  <si>
    <t>预付账款</t>
  </si>
  <si>
    <t>固定资产净额</t>
  </si>
  <si>
    <t>在建工程</t>
  </si>
  <si>
    <t>无形资产</t>
  </si>
  <si>
    <t>短期借款</t>
  </si>
  <si>
    <t>应付账款和应付票据</t>
  </si>
  <si>
    <t>预收账款</t>
  </si>
  <si>
    <t>应付利息</t>
  </si>
  <si>
    <t>长期借款</t>
  </si>
  <si>
    <t>应付债券</t>
  </si>
  <si>
    <t>长期应付款</t>
  </si>
  <si>
    <t>少数股东权益</t>
  </si>
  <si>
    <t>固定资产原值</t>
  </si>
  <si>
    <t>固定资产减值准备</t>
  </si>
  <si>
    <t>固定资产净值</t>
  </si>
  <si>
    <t>固定资产投资</t>
  </si>
  <si>
    <t>固定资产累计折旧</t>
  </si>
  <si>
    <t>长期应收款</t>
  </si>
  <si>
    <t>其他应付款</t>
  </si>
  <si>
    <t>资产负债表</t>
  </si>
  <si>
    <t>历史值</t>
    <phoneticPr fontId="20" type="noConversion"/>
  </si>
  <si>
    <t>预测值</t>
  </si>
  <si>
    <t>预测值</t>
    <phoneticPr fontId="20" type="noConversion"/>
  </si>
  <si>
    <t>历史值</t>
    <phoneticPr fontId="20" type="noConversion"/>
  </si>
  <si>
    <t>一、业务预算假设</t>
    <phoneticPr fontId="20" type="noConversion"/>
  </si>
  <si>
    <t>历史值</t>
    <phoneticPr fontId="20" type="noConversion"/>
  </si>
  <si>
    <t>历史值</t>
    <phoneticPr fontId="20" type="noConversion"/>
  </si>
  <si>
    <t>新增无形资产</t>
  </si>
  <si>
    <t>手工输入</t>
    <phoneticPr fontId="28" type="noConversion"/>
  </si>
  <si>
    <t>基本信息</t>
    <phoneticPr fontId="28" type="noConversion"/>
  </si>
  <si>
    <t>文本颜色</t>
    <phoneticPr fontId="20" type="noConversion"/>
  </si>
  <si>
    <t>预测对象</t>
    <phoneticPr fontId="28" type="noConversion"/>
  </si>
  <si>
    <t>模型架构</t>
    <phoneticPr fontId="28" type="noConversion"/>
  </si>
  <si>
    <t>预算年度</t>
    <phoneticPr fontId="20" type="noConversion"/>
  </si>
  <si>
    <t>二、营业总成本</t>
  </si>
  <si>
    <t>三、营业利润（亏损以“－”号填列）</t>
  </si>
  <si>
    <t>四、利润总额（亏损总额以“－”号填列）</t>
  </si>
  <si>
    <t>五、净利润（净亏损以“－”号填列）</t>
  </si>
  <si>
    <t>六、其他综合收益</t>
  </si>
  <si>
    <t>七、综合收益总额</t>
  </si>
  <si>
    <t>八、每股收益：</t>
  </si>
  <si>
    <t>其中：营业收入</t>
  </si>
  <si>
    <t>其中：主营业务收入</t>
  </si>
  <si>
    <t>其他业务收入</t>
  </si>
  <si>
    <t>利息收入</t>
  </si>
  <si>
    <t>其中：营业成本</t>
  </si>
  <si>
    <t>其中：主营业务成本</t>
  </si>
  <si>
    <t>其他业务成本</t>
  </si>
  <si>
    <t>利息支出</t>
  </si>
  <si>
    <t>其中：主营业务税金及附加</t>
  </si>
  <si>
    <t>销售费用</t>
  </si>
  <si>
    <t>管理费用</t>
  </si>
  <si>
    <t>财务费用</t>
  </si>
  <si>
    <t>资产减值损失</t>
  </si>
  <si>
    <t>其他</t>
  </si>
  <si>
    <t>其中：对联营企业和合营企业的投资收益</t>
  </si>
  <si>
    <t>减：所得税费用</t>
  </si>
  <si>
    <t>归属于母公司所有者的净利润</t>
  </si>
  <si>
    <t>少数股东损益</t>
  </si>
  <si>
    <t>归属于母公司所有者的综合收益总额</t>
  </si>
  <si>
    <t>归属于少数股东的综合收益总额</t>
  </si>
  <si>
    <t>基本每股收益</t>
  </si>
  <si>
    <t>稀释每股收益</t>
  </si>
  <si>
    <t>流动资产：</t>
  </si>
  <si>
    <t>非流动资产合计</t>
  </si>
  <si>
    <t>流动负债：</t>
  </si>
  <si>
    <t>流动负债合计</t>
  </si>
  <si>
    <t>非流动负债：</t>
  </si>
  <si>
    <t>非流动负债合计</t>
  </si>
  <si>
    <t>所有者权益（或股东权益）：</t>
  </si>
  <si>
    <t>归属于母公司所有者权益合计</t>
  </si>
  <si>
    <t>所有者权益合计</t>
  </si>
  <si>
    <t>负债和股东权益总计</t>
  </si>
  <si>
    <t>线损率</t>
  </si>
  <si>
    <t>可再生能源电价附加收入</t>
  </si>
  <si>
    <t>工资年增长率</t>
  </si>
  <si>
    <t>营业税金及附加税率</t>
  </si>
  <si>
    <t>长期股权投资及可供出售金融资产投资收益率</t>
  </si>
  <si>
    <t>营业外收入</t>
  </si>
  <si>
    <t>营业外支出</t>
  </si>
  <si>
    <t>所得税率</t>
  </si>
  <si>
    <t>应缴税费占毛利的比例</t>
  </si>
  <si>
    <t>其他非流动资产</t>
  </si>
  <si>
    <t>应付职工薪酬</t>
  </si>
  <si>
    <t>其他流动负债</t>
  </si>
  <si>
    <t>专项应付款</t>
  </si>
  <si>
    <t>其他非流动负债</t>
  </si>
  <si>
    <t>法定公积金计提比例</t>
  </si>
  <si>
    <t>国有资本收益上缴比例</t>
  </si>
  <si>
    <t>长期股权投资</t>
  </si>
  <si>
    <t>国家资本金补贴</t>
  </si>
  <si>
    <t>最低现金余额</t>
  </si>
  <si>
    <t>残值率</t>
  </si>
  <si>
    <t>存贷款利率</t>
  </si>
  <si>
    <t>短期借款基准利率</t>
  </si>
  <si>
    <t>优惠幅度</t>
  </si>
  <si>
    <t>长期借款基准利率</t>
  </si>
  <si>
    <t>债券票面利率</t>
  </si>
  <si>
    <t>活期存款利率</t>
  </si>
  <si>
    <t>新增融资中短期借款的%</t>
  </si>
  <si>
    <t>新增融资中长期借款的%</t>
  </si>
  <si>
    <t>新增融资中企业债券的%</t>
  </si>
  <si>
    <t>（一）基本建设类</t>
  </si>
  <si>
    <t>1.电网基建</t>
  </si>
  <si>
    <t>2.产业基建</t>
  </si>
  <si>
    <t>3.小型基建</t>
  </si>
  <si>
    <t>（二）技改零购类</t>
  </si>
  <si>
    <t>1.生产技改</t>
  </si>
  <si>
    <t>2.产业技改</t>
  </si>
  <si>
    <t>3.非生产技改</t>
  </si>
  <si>
    <t>4.零星购置</t>
  </si>
  <si>
    <t>5.营销（资本性）</t>
  </si>
  <si>
    <t>6.信息化（资本性）</t>
  </si>
  <si>
    <t>生产大修</t>
  </si>
  <si>
    <t>非生产大修</t>
  </si>
  <si>
    <t>产业大修</t>
  </si>
  <si>
    <t>营销成本性</t>
  </si>
  <si>
    <t>信息化成本性</t>
  </si>
  <si>
    <t>管理咨询费</t>
  </si>
  <si>
    <t>教育培训费</t>
  </si>
  <si>
    <t>其中：特高压电网</t>
    <phoneticPr fontId="20" type="noConversion"/>
  </si>
  <si>
    <r>
      <rPr>
        <sz val="11"/>
        <color theme="0"/>
        <rFont val="宋体"/>
        <family val="2"/>
        <charset val="134"/>
        <scheme val="minor"/>
      </rPr>
      <t>其中：</t>
    </r>
    <r>
      <rPr>
        <sz val="11"/>
        <rFont val="宋体"/>
        <family val="2"/>
        <charset val="134"/>
        <scheme val="minor"/>
      </rPr>
      <t>农网升级改造</t>
    </r>
    <phoneticPr fontId="20" type="noConversion"/>
  </si>
  <si>
    <t>可供出售金融资产</t>
  </si>
  <si>
    <t>减：固定资产减值准备</t>
  </si>
  <si>
    <t>开发者说明</t>
    <phoneticPr fontId="20" type="noConversion"/>
  </si>
  <si>
    <t>次年</t>
    <phoneticPr fontId="20" type="noConversion"/>
  </si>
  <si>
    <t>在建工程转固率</t>
    <phoneticPr fontId="20" type="noConversion"/>
  </si>
  <si>
    <t>期初金额</t>
  </si>
  <si>
    <t>利息费用</t>
  </si>
  <si>
    <t>划转到一年以内到期科目</t>
  </si>
  <si>
    <t>融资</t>
  </si>
  <si>
    <t>长期借款期末金额</t>
  </si>
  <si>
    <t>其中一年以内部分</t>
  </si>
  <si>
    <t>现金及活期存款</t>
  </si>
  <si>
    <t>现金缺口</t>
  </si>
  <si>
    <t>资本化利息支出</t>
  </si>
  <si>
    <t>应交税费</t>
  </si>
  <si>
    <t>一年内到期的非流动负债</t>
  </si>
  <si>
    <t>短期借款</t>
    <phoneticPr fontId="20" type="noConversion"/>
  </si>
  <si>
    <t>短期借款期末金额</t>
    <phoneticPr fontId="20" type="noConversion"/>
  </si>
  <si>
    <t>一、贷款利率</t>
    <phoneticPr fontId="20" type="noConversion"/>
  </si>
  <si>
    <t>——优惠幅度</t>
    <phoneticPr fontId="20" type="noConversion"/>
  </si>
  <si>
    <t>三、债务融资结构</t>
    <phoneticPr fontId="20" type="noConversion"/>
  </si>
  <si>
    <t>二、利息资本化比率</t>
    <phoneticPr fontId="20" type="noConversion"/>
  </si>
  <si>
    <t>非电收入</t>
  </si>
  <si>
    <t>农维费中列支的人工成本</t>
  </si>
  <si>
    <t>外部劳务费（除农电工外）</t>
  </si>
  <si>
    <t>期初金额</t>
    <phoneticPr fontId="20" type="noConversion"/>
  </si>
  <si>
    <t>应付债券期末金额</t>
    <phoneticPr fontId="20" type="noConversion"/>
  </si>
  <si>
    <t>货币资金余额</t>
    <phoneticPr fontId="20" type="noConversion"/>
  </si>
  <si>
    <t>预付款项</t>
  </si>
  <si>
    <t>其他流动资产</t>
  </si>
  <si>
    <t>预测模式：实际收入+实际成本</t>
    <phoneticPr fontId="20" type="noConversion"/>
  </si>
  <si>
    <t>开发者说明</t>
    <phoneticPr fontId="20" type="noConversion"/>
  </si>
  <si>
    <t>测算模式</t>
    <phoneticPr fontId="28" type="noConversion"/>
  </si>
  <si>
    <t>——年增长率</t>
    <phoneticPr fontId="20" type="noConversion"/>
  </si>
  <si>
    <t>——年增长率</t>
    <phoneticPr fontId="20" type="noConversion"/>
  </si>
  <si>
    <t>——年增长率</t>
    <phoneticPr fontId="20" type="noConversion"/>
  </si>
  <si>
    <t>工资（不含农维费）</t>
    <phoneticPr fontId="20" type="noConversion"/>
  </si>
  <si>
    <t>职工福利费（不含农维费）</t>
    <phoneticPr fontId="20" type="noConversion"/>
  </si>
  <si>
    <t>七险一金（不含农维费）</t>
    <phoneticPr fontId="20" type="noConversion"/>
  </si>
  <si>
    <t>——年增长率</t>
    <phoneticPr fontId="20" type="noConversion"/>
  </si>
  <si>
    <t>二、成本</t>
    <phoneticPr fontId="20" type="noConversion"/>
  </si>
  <si>
    <t>资本公积</t>
  </si>
  <si>
    <t>盈余公积</t>
  </si>
  <si>
    <t>未分配利润</t>
  </si>
  <si>
    <t>净利润</t>
  </si>
  <si>
    <t>应收账款周转率</t>
    <phoneticPr fontId="20" type="noConversion"/>
  </si>
  <si>
    <t>当年</t>
    <phoneticPr fontId="20" type="noConversion"/>
  </si>
  <si>
    <t>预测期</t>
    <phoneticPr fontId="20" type="noConversion"/>
  </si>
  <si>
    <t>流动资产合计</t>
    <phoneticPr fontId="20" type="noConversion"/>
  </si>
  <si>
    <t>应付账款和应付票据</t>
    <phoneticPr fontId="20" type="noConversion"/>
  </si>
  <si>
    <t>借款利息</t>
  </si>
  <si>
    <t>折旧</t>
  </si>
  <si>
    <t>摊销</t>
  </si>
  <si>
    <t>营运资本变动</t>
  </si>
  <si>
    <t>长期股权投资的非现金投资收益</t>
  </si>
  <si>
    <t>经营性现金流</t>
  </si>
  <si>
    <t>投资活动现金流</t>
  </si>
  <si>
    <t>处置固定资产</t>
  </si>
  <si>
    <t>无形资产采购</t>
  </si>
  <si>
    <t>筹资活动现金流</t>
  </si>
  <si>
    <t>支付借款利息</t>
  </si>
  <si>
    <t>支付国有资本收益</t>
  </si>
  <si>
    <t>期初现金余额</t>
  </si>
  <si>
    <t>期末现金余额</t>
  </si>
  <si>
    <t>一、经营活动产生的现金流量：</t>
  </si>
  <si>
    <t>经营活动现金流入小计</t>
  </si>
  <si>
    <t>经营活动现金流出小计</t>
  </si>
  <si>
    <t>二、投资活动产生的现金流量：</t>
  </si>
  <si>
    <t>投资活动现金流入小计</t>
  </si>
  <si>
    <t>投资活动现金流出小计</t>
  </si>
  <si>
    <t>三、筹资活动产生的现金流量：</t>
  </si>
  <si>
    <t>筹资活动现金流入小计</t>
  </si>
  <si>
    <t>四、汇率变动对现金及现金等价物的影响</t>
  </si>
  <si>
    <t>五、现金及现金等价物净增加额</t>
  </si>
  <si>
    <t>收到原保险合同保费取得的现金</t>
  </si>
  <si>
    <t>销售商品、提供劳务收到的现金</t>
  </si>
  <si>
    <t>客户存款和同业存放款项净增加额</t>
  </si>
  <si>
    <t>向中央银行借款净增加额</t>
  </si>
  <si>
    <t>向其他金融机构拆入资金净增加额</t>
  </si>
  <si>
    <t>收到再保险业务现金净额</t>
  </si>
  <si>
    <t>保户储金及投资款净增加额</t>
  </si>
  <si>
    <t>处置以公允价值计量且其变动计入当期损益的金融资产净增加额</t>
  </si>
  <si>
    <t>收取利息、手续费及佣金的现金</t>
  </si>
  <si>
    <t>拆入资金净增加额</t>
  </si>
  <si>
    <t>回购业务资金净增加额</t>
  </si>
  <si>
    <t>收到的税费返还</t>
  </si>
  <si>
    <t>收到的其他与经营活动有关的现金</t>
  </si>
  <si>
    <t>购买商品、接受劳务支付的现金</t>
  </si>
  <si>
    <t>客户贷款及垫款净增加额</t>
  </si>
  <si>
    <t>存放中央银行和同业款项净增加额</t>
  </si>
  <si>
    <t>支付原保险合同赔付款项的现金</t>
  </si>
  <si>
    <t>支付利息、手续费及佣金的现金</t>
  </si>
  <si>
    <t>支付保单红利的现金</t>
  </si>
  <si>
    <t>支付给职工以及为职工支付的现金</t>
  </si>
  <si>
    <t>支付的各项税费</t>
  </si>
  <si>
    <t>支付的其他与经营活动有关的现金</t>
  </si>
  <si>
    <t>经营活动产生的现金流量净额</t>
  </si>
  <si>
    <t>收回投资收到的现金</t>
  </si>
  <si>
    <t>取得投资收益收到的现金</t>
  </si>
  <si>
    <t>处置固定资产、无形资产和其他长期资产而收回的现金净额</t>
  </si>
  <si>
    <t>处置子公司及其他营业单位收回的现金净额</t>
  </si>
  <si>
    <t>收到的其他与投资活动有关的现金</t>
  </si>
  <si>
    <t>其中：收到与用户工程有关的现金</t>
  </si>
  <si>
    <t>购建固定资产、无形资产和其他长期资产支付的现金</t>
  </si>
  <si>
    <t>其中：购建用户工程所支付的现金</t>
  </si>
  <si>
    <t>投资支付的现金</t>
  </si>
  <si>
    <t>质押贷款净增加额</t>
  </si>
  <si>
    <t>取得子公司及其他营业单位支付的现金净额</t>
  </si>
  <si>
    <t>支付的其他与投资活动有关的现金</t>
  </si>
  <si>
    <t>投资活动产生的现金流量净额</t>
  </si>
  <si>
    <t>吸收投资收到的现金</t>
  </si>
  <si>
    <t>其中：子公司吸收少数股东投资收到的现金</t>
  </si>
  <si>
    <t>取得借款收到的现金</t>
  </si>
  <si>
    <t>发行债券收到的现金</t>
  </si>
  <si>
    <t>收到其他与筹资活动有关的现金</t>
  </si>
  <si>
    <t>偿还债务支付的现金</t>
  </si>
  <si>
    <t>分配股利、利润或偿付利息支付的现金</t>
  </si>
  <si>
    <t>其中：子公司支付给少数股东的股利、利润</t>
  </si>
  <si>
    <t>支付的其他与筹资活动有关的现金</t>
  </si>
  <si>
    <t>筹资活动产生的现金流量净额</t>
  </si>
  <si>
    <t>加：期初现金及现金等价物余额</t>
  </si>
  <si>
    <t>一、经营活动现金流</t>
    <phoneticPr fontId="20" type="noConversion"/>
  </si>
  <si>
    <t>SUM(above)</t>
    <phoneticPr fontId="20" type="noConversion"/>
  </si>
  <si>
    <t>（三）现金流量表</t>
    <phoneticPr fontId="20" type="noConversion"/>
  </si>
  <si>
    <t>二、投资及折旧</t>
    <phoneticPr fontId="20" type="noConversion"/>
  </si>
  <si>
    <t>说明</t>
    <phoneticPr fontId="20" type="noConversion"/>
  </si>
  <si>
    <t>循环开关</t>
    <phoneticPr fontId="28" type="noConversion"/>
  </si>
  <si>
    <t>债券名称</t>
  </si>
  <si>
    <t>发行日</t>
    <phoneticPr fontId="28" type="noConversion"/>
  </si>
  <si>
    <t>年限</t>
    <phoneticPr fontId="28" type="noConversion"/>
  </si>
  <si>
    <t>到期日</t>
    <phoneticPr fontId="28" type="noConversion"/>
  </si>
  <si>
    <t>年化利率</t>
    <phoneticPr fontId="28" type="noConversion"/>
  </si>
  <si>
    <t>利息</t>
    <phoneticPr fontId="20" type="noConversion"/>
  </si>
  <si>
    <t>金额</t>
  </si>
  <si>
    <t>其中一年以内部分</t>
    <phoneticPr fontId="20" type="noConversion"/>
  </si>
  <si>
    <t>到期年</t>
    <phoneticPr fontId="20" type="noConversion"/>
  </si>
  <si>
    <t>发行年</t>
    <phoneticPr fontId="20" type="noConversion"/>
  </si>
  <si>
    <t>二、投资活动现金流</t>
    <phoneticPr fontId="20" type="noConversion"/>
  </si>
  <si>
    <t>固定资产减值准备变动</t>
    <phoneticPr fontId="20" type="noConversion"/>
  </si>
  <si>
    <t>三、筹资活动现金流</t>
    <phoneticPr fontId="20" type="noConversion"/>
  </si>
  <si>
    <t>短期借款变动</t>
    <phoneticPr fontId="20" type="noConversion"/>
  </si>
  <si>
    <t>应付利息变动</t>
    <phoneticPr fontId="20" type="noConversion"/>
  </si>
  <si>
    <t>长期借款变动</t>
    <phoneticPr fontId="20" type="noConversion"/>
  </si>
  <si>
    <t>四、外汇折算差额</t>
    <phoneticPr fontId="20" type="noConversion"/>
  </si>
  <si>
    <t>五、总现金流</t>
    <phoneticPr fontId="20" type="noConversion"/>
  </si>
  <si>
    <t>其他流动资产</t>
    <phoneticPr fontId="20" type="noConversion"/>
  </si>
  <si>
    <t>三、筹资假设参数</t>
    <phoneticPr fontId="20" type="noConversion"/>
  </si>
  <si>
    <t>（一）存贷款利率</t>
    <phoneticPr fontId="20" type="noConversion"/>
  </si>
  <si>
    <t>（二）利息资本化比率</t>
    <phoneticPr fontId="20" type="noConversion"/>
  </si>
  <si>
    <t>（三）债务融资结构</t>
    <phoneticPr fontId="20" type="noConversion"/>
  </si>
  <si>
    <t>七险一金（不含农维费）</t>
  </si>
  <si>
    <t>一、总收入</t>
    <phoneticPr fontId="20" type="noConversion"/>
  </si>
  <si>
    <t>二、总成本</t>
    <phoneticPr fontId="20" type="noConversion"/>
  </si>
  <si>
    <t>工资（不含农维费）</t>
    <phoneticPr fontId="20" type="noConversion"/>
  </si>
  <si>
    <t>职工福利费（不含农维费）</t>
    <phoneticPr fontId="20" type="noConversion"/>
  </si>
  <si>
    <t>（一）电力企业收入</t>
    <phoneticPr fontId="20" type="noConversion"/>
  </si>
  <si>
    <t>一年到期非流动负债（上年）</t>
    <phoneticPr fontId="20" type="noConversion"/>
  </si>
  <si>
    <t>国家资本金补贴</t>
    <phoneticPr fontId="20" type="noConversion"/>
  </si>
  <si>
    <t>小计</t>
    <phoneticPr fontId="20" type="noConversion"/>
  </si>
  <si>
    <t>减：最低现金余额</t>
    <phoneticPr fontId="20" type="noConversion"/>
  </si>
  <si>
    <t>现金需求</t>
    <phoneticPr fontId="20" type="noConversion"/>
  </si>
  <si>
    <t>现金缺口</t>
    <phoneticPr fontId="20" type="noConversion"/>
  </si>
  <si>
    <t>期初现金余额</t>
    <phoneticPr fontId="20" type="noConversion"/>
  </si>
  <si>
    <t>其中：固定资产投资</t>
    <phoneticPr fontId="20" type="noConversion"/>
  </si>
  <si>
    <t>二、股权投资</t>
    <phoneticPr fontId="20" type="noConversion"/>
  </si>
  <si>
    <t>三、成本性投入</t>
    <phoneticPr fontId="20" type="noConversion"/>
  </si>
  <si>
    <t>一、营业收入净额</t>
  </si>
  <si>
    <t>项目（单位：亿元）</t>
    <phoneticPr fontId="20" type="noConversion"/>
  </si>
  <si>
    <t>历史值</t>
    <phoneticPr fontId="71" type="noConversion"/>
  </si>
  <si>
    <t>项目（单位：亿元）</t>
    <phoneticPr fontId="71" type="noConversion"/>
  </si>
  <si>
    <t>开发者备注</t>
    <phoneticPr fontId="71" type="noConversion"/>
  </si>
  <si>
    <t>无形资产摊销</t>
    <phoneticPr fontId="71" type="noConversion"/>
  </si>
  <si>
    <t>无形资产</t>
    <phoneticPr fontId="71" type="noConversion"/>
  </si>
  <si>
    <t>三、折旧及摊销汇总</t>
    <phoneticPr fontId="71" type="noConversion"/>
  </si>
  <si>
    <t>退役率</t>
    <phoneticPr fontId="20" type="noConversion"/>
  </si>
  <si>
    <t>固定资产投资现金支出比例</t>
    <phoneticPr fontId="20" type="noConversion"/>
  </si>
  <si>
    <t>接受用户工程资产转资本公积</t>
    <phoneticPr fontId="20" type="noConversion"/>
  </si>
  <si>
    <t>2.无形资产及摊销</t>
    <phoneticPr fontId="20" type="noConversion"/>
  </si>
  <si>
    <t>1.固定资产及折旧</t>
    <phoneticPr fontId="20" type="noConversion"/>
  </si>
  <si>
    <t>基期无形资产摊销期限（年）</t>
    <phoneticPr fontId="20" type="noConversion"/>
  </si>
  <si>
    <t>新增无形资产摊销期限（年）</t>
    <phoneticPr fontId="20" type="noConversion"/>
  </si>
  <si>
    <t>固定资产投资转固率</t>
    <phoneticPr fontId="20" type="noConversion"/>
  </si>
  <si>
    <t>项目（单位：亿元）</t>
    <phoneticPr fontId="20" type="noConversion"/>
  </si>
  <si>
    <t>流动资产合计</t>
  </si>
  <si>
    <t>资产总计</t>
  </si>
  <si>
    <t>预收款项</t>
  </si>
  <si>
    <t>负债合计</t>
  </si>
  <si>
    <t>实收资本</t>
  </si>
  <si>
    <t>负债和所有者权益总计</t>
  </si>
  <si>
    <t>△已赚保费</t>
    <phoneticPr fontId="20" type="noConversion"/>
  </si>
  <si>
    <t>△手续费及佣金收入</t>
    <phoneticPr fontId="20" type="noConversion"/>
  </si>
  <si>
    <t>△利息收入</t>
    <phoneticPr fontId="20" type="noConversion"/>
  </si>
  <si>
    <t>△利息支出</t>
    <phoneticPr fontId="20" type="noConversion"/>
  </si>
  <si>
    <t>△手续费及佣金支出</t>
    <phoneticPr fontId="20" type="noConversion"/>
  </si>
  <si>
    <t>△退保金</t>
    <phoneticPr fontId="20" type="noConversion"/>
  </si>
  <si>
    <t>△赔付支出净额</t>
    <phoneticPr fontId="20" type="noConversion"/>
  </si>
  <si>
    <t>△提取保险合同准备金净额</t>
    <phoneticPr fontId="20" type="noConversion"/>
  </si>
  <si>
    <t>△保单红利支出</t>
    <phoneticPr fontId="20" type="noConversion"/>
  </si>
  <si>
    <t>△分保费用</t>
    <phoneticPr fontId="20" type="noConversion"/>
  </si>
  <si>
    <t>货币资金</t>
    <phoneticPr fontId="20" type="noConversion"/>
  </si>
  <si>
    <t>项目(单位：亿元)</t>
    <phoneticPr fontId="20" type="noConversion"/>
  </si>
  <si>
    <t>折旧费用（全口径）</t>
    <phoneticPr fontId="71" type="noConversion"/>
  </si>
  <si>
    <t>销售费用</t>
    <phoneticPr fontId="20" type="noConversion"/>
  </si>
  <si>
    <t>应收账款与票据</t>
    <phoneticPr fontId="20" type="noConversion"/>
  </si>
  <si>
    <t>应收账款与票据</t>
    <phoneticPr fontId="20" type="noConversion"/>
  </si>
  <si>
    <t>开发者备注</t>
    <phoneticPr fontId="20" type="noConversion"/>
  </si>
  <si>
    <t>固定资产原值</t>
    <phoneticPr fontId="20" type="noConversion"/>
  </si>
  <si>
    <t>应付账款和应付票据</t>
    <phoneticPr fontId="20" type="noConversion"/>
  </si>
  <si>
    <t>预收款项</t>
    <phoneticPr fontId="20" type="noConversion"/>
  </si>
  <si>
    <t>财务费用</t>
    <phoneticPr fontId="20" type="noConversion"/>
  </si>
  <si>
    <t>其他非流动负债</t>
    <phoneticPr fontId="20" type="noConversion"/>
  </si>
  <si>
    <t>实收资本</t>
    <phoneticPr fontId="20" type="noConversion"/>
  </si>
  <si>
    <t>资本公积</t>
    <phoneticPr fontId="20" type="noConversion"/>
  </si>
  <si>
    <t>资产减值损失</t>
    <phoneticPr fontId="20" type="noConversion"/>
  </si>
  <si>
    <t>加：公允价值变动收益</t>
    <phoneticPr fontId="20" type="noConversion"/>
  </si>
  <si>
    <t>加：公允价值变动收益</t>
    <phoneticPr fontId="20" type="noConversion"/>
  </si>
  <si>
    <t>加：公允价值变动收益</t>
    <phoneticPr fontId="20" type="noConversion"/>
  </si>
  <si>
    <t>少数股东损益</t>
    <phoneticPr fontId="20" type="noConversion"/>
  </si>
  <si>
    <t>投资收益</t>
    <phoneticPr fontId="20" type="noConversion"/>
  </si>
  <si>
    <t>税金及附加</t>
    <phoneticPr fontId="20" type="noConversion"/>
  </si>
  <si>
    <t>税金及附加</t>
    <phoneticPr fontId="20" type="noConversion"/>
  </si>
  <si>
    <t>一、营业收入净额</t>
    <phoneticPr fontId="20" type="noConversion"/>
  </si>
  <si>
    <t>项目（单位：亿元）</t>
    <phoneticPr fontId="20" type="noConversion"/>
  </si>
  <si>
    <t>应缴税费</t>
  </si>
  <si>
    <t>营运资本</t>
  </si>
  <si>
    <t>&lt;测算营运资本变动&gt;</t>
    <phoneticPr fontId="20" type="noConversion"/>
  </si>
  <si>
    <t>上期归属母公司利润*(1-法定公积金计提比例)*上缴比例</t>
    <phoneticPr fontId="20" type="noConversion"/>
  </si>
  <si>
    <t>项目(单位：亿元)</t>
    <phoneticPr fontId="20" type="noConversion"/>
  </si>
  <si>
    <t>本期偿还</t>
    <phoneticPr fontId="20" type="noConversion"/>
  </si>
  <si>
    <t>手续费及其他</t>
  </si>
  <si>
    <t>短期借款-本期偿还</t>
  </si>
  <si>
    <t>短期借款（本期偿还）</t>
  </si>
  <si>
    <t>1.实际收入+实际成本</t>
  </si>
  <si>
    <t>单位：亿元</t>
    <phoneticPr fontId="20" type="noConversion"/>
  </si>
  <si>
    <t>项目（单位：亿元）</t>
    <phoneticPr fontId="20" type="noConversion"/>
  </si>
  <si>
    <t>一、电网收入成本假设</t>
    <phoneticPr fontId="20" type="noConversion"/>
  </si>
  <si>
    <t>售电均价（元/兆瓦时，不含税）</t>
    <phoneticPr fontId="20" type="noConversion"/>
  </si>
  <si>
    <t>购电均价（元/兆瓦时，不含税）</t>
    <phoneticPr fontId="20" type="noConversion"/>
  </si>
  <si>
    <t>输配电价（元/兆瓦时，不含税）</t>
    <phoneticPr fontId="20" type="noConversion"/>
  </si>
  <si>
    <t>——增长率</t>
    <phoneticPr fontId="20" type="noConversion"/>
  </si>
  <si>
    <t>（三）资产负债</t>
    <phoneticPr fontId="20" type="noConversion"/>
  </si>
  <si>
    <t>（一）运营数据</t>
    <phoneticPr fontId="20" type="noConversion"/>
  </si>
  <si>
    <t>（二）损益项目</t>
    <phoneticPr fontId="20" type="noConversion"/>
  </si>
  <si>
    <t>期间费用项目</t>
    <phoneticPr fontId="20" type="noConversion"/>
  </si>
  <si>
    <t>固定资产投资</t>
    <phoneticPr fontId="20" type="noConversion"/>
  </si>
  <si>
    <t>&lt;引用数据（测算用）&gt;</t>
    <phoneticPr fontId="20" type="noConversion"/>
  </si>
  <si>
    <t>长期借款-提前还款</t>
    <phoneticPr fontId="20" type="noConversion"/>
  </si>
  <si>
    <t>固定资产减少</t>
    <phoneticPr fontId="20" type="noConversion"/>
  </si>
  <si>
    <t>项目(单位：亿元)</t>
    <phoneticPr fontId="20" type="noConversion"/>
  </si>
  <si>
    <t>长期借款划转到一年内到期部分</t>
    <phoneticPr fontId="20" type="noConversion"/>
  </si>
  <si>
    <t>项目（单位：亿元）</t>
    <phoneticPr fontId="20" type="noConversion"/>
  </si>
  <si>
    <t>一、收入</t>
    <phoneticPr fontId="20" type="noConversion"/>
  </si>
  <si>
    <t>1.流动资产</t>
    <phoneticPr fontId="20" type="noConversion"/>
  </si>
  <si>
    <t>2.非流动资产</t>
    <phoneticPr fontId="20" type="noConversion"/>
  </si>
  <si>
    <t>1.流动负债</t>
    <phoneticPr fontId="20" type="noConversion"/>
  </si>
  <si>
    <t>2.非流动负债</t>
    <phoneticPr fontId="20" type="noConversion"/>
  </si>
  <si>
    <t>资产总计</t>
    <phoneticPr fontId="20" type="noConversion"/>
  </si>
  <si>
    <t>一、固定资产</t>
    <phoneticPr fontId="20" type="noConversion"/>
  </si>
  <si>
    <t>二、负债</t>
    <phoneticPr fontId="20" type="noConversion"/>
  </si>
  <si>
    <t>三、所有者权益</t>
    <phoneticPr fontId="20" type="noConversion"/>
  </si>
  <si>
    <t>营业外收入</t>
    <phoneticPr fontId="20" type="noConversion"/>
  </si>
  <si>
    <t>营业外支出</t>
    <phoneticPr fontId="20" type="noConversion"/>
  </si>
  <si>
    <t>资产类</t>
    <phoneticPr fontId="20" type="noConversion"/>
  </si>
  <si>
    <t>其他应收款</t>
    <phoneticPr fontId="20" type="noConversion"/>
  </si>
  <si>
    <t>其他应收款</t>
    <phoneticPr fontId="20" type="noConversion"/>
  </si>
  <si>
    <t>权益类</t>
    <phoneticPr fontId="20" type="noConversion"/>
  </si>
  <si>
    <t>负债类</t>
    <phoneticPr fontId="20" type="noConversion"/>
  </si>
  <si>
    <t>长期应付款</t>
    <phoneticPr fontId="20" type="noConversion"/>
  </si>
  <si>
    <t>归属于母公司所有者的净利润</t>
    <phoneticPr fontId="20" type="noConversion"/>
  </si>
  <si>
    <t>[链接：现金流量表]期末现金余额</t>
    <phoneticPr fontId="20" type="noConversion"/>
  </si>
  <si>
    <t>其他</t>
    <phoneticPr fontId="20" type="noConversion"/>
  </si>
  <si>
    <t>其他</t>
    <phoneticPr fontId="20" type="noConversion"/>
  </si>
  <si>
    <t>营业外收入</t>
    <phoneticPr fontId="20" type="noConversion"/>
  </si>
  <si>
    <t>营业外支出</t>
    <phoneticPr fontId="20" type="noConversion"/>
  </si>
  <si>
    <t>其他</t>
    <phoneticPr fontId="20" type="noConversion"/>
  </si>
  <si>
    <t>（四）筹资计划</t>
    <phoneticPr fontId="20" type="noConversion"/>
  </si>
  <si>
    <t>存量</t>
    <phoneticPr fontId="20" type="noConversion"/>
  </si>
  <si>
    <t>H.O.L.M.E.S</t>
    <phoneticPr fontId="20" type="noConversion"/>
  </si>
  <si>
    <t>日期</t>
    <phoneticPr fontId="20" type="noConversion"/>
  </si>
  <si>
    <t>细节</t>
    <phoneticPr fontId="20" type="noConversion"/>
  </si>
  <si>
    <t>[链接:假设]最低现金余额</t>
    <phoneticPr fontId="20" type="noConversion"/>
  </si>
  <si>
    <t>[计算]上期+少数股东权益</t>
    <phoneticPr fontId="20" type="noConversion"/>
  </si>
  <si>
    <t>－</t>
  </si>
  <si>
    <t>敏感性分析</t>
    <phoneticPr fontId="71" type="noConversion"/>
  </si>
  <si>
    <t>调整</t>
    <phoneticPr fontId="71" type="noConversion"/>
  </si>
  <si>
    <t>测算结果（单位：亿元）</t>
    <phoneticPr fontId="71" type="noConversion"/>
  </si>
  <si>
    <t>历史值</t>
    <phoneticPr fontId="71" type="noConversion"/>
  </si>
  <si>
    <t>预测值</t>
    <phoneticPr fontId="71" type="noConversion"/>
  </si>
  <si>
    <t>利润总额</t>
  </si>
  <si>
    <t>每年电网投资</t>
    <phoneticPr fontId="20" type="noConversion"/>
  </si>
  <si>
    <t>实际折旧率（%）</t>
    <phoneticPr fontId="20" type="noConversion"/>
  </si>
  <si>
    <t>新增资产定价折旧率（%）</t>
    <phoneticPr fontId="20" type="noConversion"/>
  </si>
  <si>
    <t>新增监管运维费率（%）</t>
    <phoneticPr fontId="20" type="noConversion"/>
  </si>
  <si>
    <t>监管回报率（%）</t>
    <phoneticPr fontId="20" type="noConversion"/>
  </si>
  <si>
    <t>资产负债率</t>
  </si>
  <si>
    <t>基准数据（单位：亿元）</t>
    <phoneticPr fontId="71" type="noConversion"/>
  </si>
  <si>
    <t>（一）电力企业收入</t>
    <phoneticPr fontId="20" type="noConversion"/>
  </si>
  <si>
    <t>——增长率</t>
    <phoneticPr fontId="20" type="noConversion"/>
  </si>
  <si>
    <t>售电量增幅（%）</t>
    <phoneticPr fontId="20" type="noConversion"/>
  </si>
  <si>
    <t>电网盈利模式变化（%）</t>
    <phoneticPr fontId="20" type="noConversion"/>
  </si>
  <si>
    <t>对利润影响</t>
    <phoneticPr fontId="20" type="noConversion"/>
  </si>
  <si>
    <t>发电成本</t>
    <phoneticPr fontId="20" type="noConversion"/>
  </si>
  <si>
    <t>新增</t>
    <phoneticPr fontId="20" type="noConversion"/>
  </si>
  <si>
    <t>预测模式：准许收入+实际成本</t>
    <phoneticPr fontId="20" type="noConversion"/>
  </si>
  <si>
    <t>预测模式：准许收入+准许成本</t>
    <phoneticPr fontId="20" type="noConversion"/>
  </si>
  <si>
    <t>对应版本</t>
    <phoneticPr fontId="20" type="noConversion"/>
  </si>
  <si>
    <t>模型定型</t>
    <phoneticPr fontId="20" type="noConversion"/>
  </si>
  <si>
    <t>1.总述</t>
    <phoneticPr fontId="20" type="noConversion"/>
  </si>
  <si>
    <t>D1</t>
    <phoneticPr fontId="20" type="noConversion"/>
  </si>
  <si>
    <t>D2</t>
    <phoneticPr fontId="20" type="noConversion"/>
  </si>
  <si>
    <t>A</t>
    <phoneticPr fontId="20" type="noConversion"/>
  </si>
  <si>
    <t>操作/对象</t>
    <phoneticPr fontId="20" type="noConversion"/>
  </si>
  <si>
    <t>修改记录</t>
    <phoneticPr fontId="20" type="noConversion"/>
  </si>
  <si>
    <t>项目</t>
  </si>
  <si>
    <t>电网</t>
  </si>
  <si>
    <t>电网主业</t>
  </si>
  <si>
    <t>电网主业间抵销</t>
  </si>
  <si>
    <t>电网所属支撑单位（法人企业）</t>
  </si>
  <si>
    <t>电网所属发电子企业</t>
  </si>
  <si>
    <t>电网所属境外子企业</t>
  </si>
  <si>
    <t>电网内板块间抵销</t>
  </si>
  <si>
    <t>小计</t>
  </si>
  <si>
    <t>施工</t>
  </si>
  <si>
    <t>设计</t>
  </si>
  <si>
    <t>监理</t>
  </si>
  <si>
    <t>招标</t>
  </si>
  <si>
    <t>支撑单位板块间抵销</t>
  </si>
  <si>
    <t>１３</t>
  </si>
  <si>
    <t>３</t>
  </si>
  <si>
    <t>１２</t>
  </si>
  <si>
    <t>一、营业总收入</t>
  </si>
  <si>
    <t>　1.营业收入</t>
  </si>
  <si>
    <t>　　　　其中:主营业务收入</t>
  </si>
  <si>
    <t>　　　　　　减：农网还贷资金</t>
  </si>
  <si>
    <t>　　　　　　　　重大水利工程建设基金</t>
  </si>
  <si>
    <t>　　　　　　　　水库移民后期扶持基金</t>
  </si>
  <si>
    <t>　　　　　　　　可再生能源发展基金</t>
  </si>
  <si>
    <t>　　　　　　　　差别电价收入（惩罚性电价收入）</t>
  </si>
  <si>
    <t>　　　　　　　　城市公用事业附加</t>
  </si>
  <si>
    <t>　　　　　　　　其他</t>
  </si>
  <si>
    <t>　　　　　主营业务收入净额</t>
  </si>
  <si>
    <t>　　　　　　　其中：售电收入净额</t>
  </si>
  <si>
    <t>　　　　　　　　　　农网还贷资金返还收入</t>
  </si>
  <si>
    <t>　　　　　　　　　　农村电网维护费收入</t>
  </si>
  <si>
    <t>　　　　　　　　　　可再生能源电价附加收入</t>
  </si>
  <si>
    <t>　　　　　　　其他业务收入</t>
  </si>
  <si>
    <t>　2.△利息收入</t>
  </si>
  <si>
    <t>　3.△已赚保费</t>
  </si>
  <si>
    <t>　4.△手续费及佣金收入</t>
  </si>
  <si>
    <t>　　减：营业成本</t>
  </si>
  <si>
    <t>　　　　其中：主营业务成本</t>
  </si>
  <si>
    <t>　　　　　   　　其中：农村电网维护费</t>
  </si>
  <si>
    <t>　　　　　　　其他业务成本</t>
  </si>
  <si>
    <t>　△利息支出</t>
  </si>
  <si>
    <t>　△手续费及佣金支出</t>
  </si>
  <si>
    <t>　△退保金</t>
  </si>
  <si>
    <t>　△赔付支出净额</t>
  </si>
  <si>
    <t>　△提取保险合同准备金净额</t>
  </si>
  <si>
    <t>　△保单红利支出</t>
  </si>
  <si>
    <t>　△分保费用</t>
  </si>
  <si>
    <t>　　营业税金及附加</t>
  </si>
  <si>
    <t>　　　　其中：主营业务税金及附加</t>
  </si>
  <si>
    <t>　　销售费用（营业费用）</t>
  </si>
  <si>
    <t>　　管理费用</t>
  </si>
  <si>
    <t>　　财务费用</t>
  </si>
  <si>
    <t>　　　　其中：利息支出</t>
  </si>
  <si>
    <t>　　资产减值损失</t>
  </si>
  <si>
    <t>　　其他</t>
  </si>
  <si>
    <t>　　加：营业外收入</t>
  </si>
  <si>
    <t>　　减：营业外支出</t>
  </si>
  <si>
    <t>　　减：所得税费用</t>
  </si>
  <si>
    <t>　　归属于母公司所有者的净利润</t>
  </si>
  <si>
    <t>　　少数股东损益</t>
  </si>
  <si>
    <t>　　归属于母公司所有者的综合收益总额</t>
  </si>
  <si>
    <t>　　归属于少数股东的综合收益总额</t>
  </si>
  <si>
    <t>八、现金流量</t>
  </si>
  <si>
    <t xml:space="preserve">    1.销售商品、提供劳务收到的现金</t>
  </si>
  <si>
    <t xml:space="preserve">    2.购入商品、接受劳务所支付的现金</t>
  </si>
  <si>
    <t>九、补充信息：</t>
  </si>
  <si>
    <t xml:space="preserve">    1．折旧费用</t>
  </si>
  <si>
    <t xml:space="preserve">    2．无形资产及长期待摊费用摊销</t>
  </si>
  <si>
    <t>农维费中列支的人工成本</t>
    <phoneticPr fontId="20" type="noConversion"/>
  </si>
  <si>
    <t>电力企业收入</t>
    <phoneticPr fontId="20" type="noConversion"/>
  </si>
  <si>
    <t>五、关键指标测算</t>
    <phoneticPr fontId="20" type="noConversion"/>
  </si>
  <si>
    <t>材料费、修理费占固定资产原值比例</t>
  </si>
  <si>
    <t>其他成本费用占固定资产原值比例</t>
    <phoneticPr fontId="20" type="noConversion"/>
  </si>
  <si>
    <t>发电成本</t>
    <phoneticPr fontId="20" type="noConversion"/>
  </si>
  <si>
    <t>折旧费（输配电成本口径）</t>
    <phoneticPr fontId="20" type="noConversion"/>
  </si>
  <si>
    <t>人工成本（输配电成本口径）</t>
    <phoneticPr fontId="20" type="noConversion"/>
  </si>
  <si>
    <t>材料费、修理费（输配电成本口径，不含农维费）</t>
    <phoneticPr fontId="20" type="noConversion"/>
  </si>
  <si>
    <t>可再生能源电价附加成本</t>
    <phoneticPr fontId="20" type="noConversion"/>
  </si>
  <si>
    <t>购入电力费</t>
    <phoneticPr fontId="20" type="noConversion"/>
  </si>
  <si>
    <t>发电成本</t>
    <phoneticPr fontId="20" type="noConversion"/>
  </si>
  <si>
    <t>折旧费（输配电成本口径）</t>
    <phoneticPr fontId="20" type="noConversion"/>
  </si>
  <si>
    <t>可再生能源电价附加成本</t>
    <phoneticPr fontId="20" type="noConversion"/>
  </si>
  <si>
    <t>购入电力费</t>
    <phoneticPr fontId="20" type="noConversion"/>
  </si>
  <si>
    <t>——营业收入</t>
    <phoneticPr fontId="20" type="noConversion"/>
  </si>
  <si>
    <t>——营业收入</t>
    <phoneticPr fontId="20" type="noConversion"/>
  </si>
  <si>
    <t>——营业税金及附加</t>
    <phoneticPr fontId="20" type="noConversion"/>
  </si>
  <si>
    <t>2.其他成本费用相关</t>
    <phoneticPr fontId="20" type="noConversion"/>
  </si>
  <si>
    <t>1.材料费、修理费相关</t>
    <phoneticPr fontId="20" type="noConversion"/>
  </si>
  <si>
    <t>——销售费用</t>
    <phoneticPr fontId="20" type="noConversion"/>
  </si>
  <si>
    <t>销售费用增长率</t>
    <phoneticPr fontId="20" type="noConversion"/>
  </si>
  <si>
    <t>销售费用增长率</t>
    <phoneticPr fontId="20" type="noConversion"/>
  </si>
  <si>
    <t>——管理费用</t>
    <phoneticPr fontId="20" type="noConversion"/>
  </si>
  <si>
    <t>管理费用增长率</t>
    <phoneticPr fontId="20" type="noConversion"/>
  </si>
  <si>
    <t>管理费用增长率</t>
    <phoneticPr fontId="20" type="noConversion"/>
  </si>
  <si>
    <t>营业税金及附加相关</t>
    <phoneticPr fontId="20" type="noConversion"/>
  </si>
  <si>
    <t>销售费用相关</t>
    <phoneticPr fontId="20" type="noConversion"/>
  </si>
  <si>
    <t>管理费用相关</t>
    <phoneticPr fontId="20" type="noConversion"/>
  </si>
  <si>
    <t>——所得税</t>
    <phoneticPr fontId="20" type="noConversion"/>
  </si>
  <si>
    <t>——利润总额</t>
    <phoneticPr fontId="20" type="noConversion"/>
  </si>
  <si>
    <t>所得税率相关</t>
    <phoneticPr fontId="20" type="noConversion"/>
  </si>
  <si>
    <t>所得税率</t>
    <phoneticPr fontId="20" type="noConversion"/>
  </si>
  <si>
    <t>少数股东损益相关</t>
    <phoneticPr fontId="20" type="noConversion"/>
  </si>
  <si>
    <t>——少数股东权益</t>
    <phoneticPr fontId="20" type="noConversion"/>
  </si>
  <si>
    <t>——净利润</t>
    <phoneticPr fontId="20" type="noConversion"/>
  </si>
  <si>
    <t>少数股东损益占比</t>
    <phoneticPr fontId="20" type="noConversion"/>
  </si>
  <si>
    <t>少数股东损益占比</t>
    <phoneticPr fontId="20" type="noConversion"/>
  </si>
  <si>
    <t>（一）成本项目</t>
    <phoneticPr fontId="20" type="noConversion"/>
  </si>
  <si>
    <t>（二）期间费用项目</t>
    <phoneticPr fontId="20" type="noConversion"/>
  </si>
  <si>
    <t>（二）资产项目</t>
    <phoneticPr fontId="20" type="noConversion"/>
  </si>
  <si>
    <t>应收账款周转率</t>
  </si>
  <si>
    <t>存货相关</t>
    <phoneticPr fontId="20" type="noConversion"/>
  </si>
  <si>
    <t>预付账款占固定资产投资的比例</t>
    <phoneticPr fontId="20" type="noConversion"/>
  </si>
  <si>
    <t>预付账款相关</t>
    <phoneticPr fontId="20" type="noConversion"/>
  </si>
  <si>
    <t>——固定资产投资（现金支出）</t>
    <phoneticPr fontId="20" type="noConversion"/>
  </si>
  <si>
    <t>应付账款相关</t>
    <phoneticPr fontId="20" type="noConversion"/>
  </si>
  <si>
    <t>应付账款占成本的比例</t>
  </si>
  <si>
    <t>应付账款占成本的比例</t>
    <phoneticPr fontId="20" type="noConversion"/>
  </si>
  <si>
    <t>购入电力费</t>
    <phoneticPr fontId="20" type="noConversion"/>
  </si>
  <si>
    <t>可再生能源电价附加成本</t>
    <phoneticPr fontId="20" type="noConversion"/>
  </si>
  <si>
    <t>发电成本</t>
    <phoneticPr fontId="20" type="noConversion"/>
  </si>
  <si>
    <t>——电力成本</t>
    <phoneticPr fontId="20" type="noConversion"/>
  </si>
  <si>
    <t>预收款项占营业收入的比例</t>
  </si>
  <si>
    <t>预收款项占营业收入的比例</t>
    <phoneticPr fontId="20" type="noConversion"/>
  </si>
  <si>
    <t>预收款项相关</t>
    <phoneticPr fontId="20" type="noConversion"/>
  </si>
  <si>
    <t>应付利息相关</t>
    <phoneticPr fontId="20" type="noConversion"/>
  </si>
  <si>
    <t>——财务费用</t>
    <phoneticPr fontId="20" type="noConversion"/>
  </si>
  <si>
    <t>应付利息占财务费用的比例</t>
  </si>
  <si>
    <t>应付利息占财务费用的比例</t>
    <phoneticPr fontId="20" type="noConversion"/>
  </si>
  <si>
    <t>应缴税费相关</t>
    <phoneticPr fontId="20" type="noConversion"/>
  </si>
  <si>
    <t>——毛利</t>
    <phoneticPr fontId="20" type="noConversion"/>
  </si>
  <si>
    <t>三、收入增长率测算</t>
    <phoneticPr fontId="20" type="noConversion"/>
  </si>
  <si>
    <t>四、成本增长率测算</t>
    <phoneticPr fontId="20" type="noConversion"/>
  </si>
  <si>
    <t>A</t>
    <phoneticPr fontId="20" type="noConversion"/>
  </si>
  <si>
    <t>&lt;关键参数底稿&gt;</t>
    <phoneticPr fontId="20" type="noConversion"/>
  </si>
  <si>
    <t>&lt;GUN ALL&gt;</t>
    <phoneticPr fontId="20" type="noConversion"/>
  </si>
  <si>
    <t>D3</t>
    <phoneticPr fontId="20" type="noConversion"/>
  </si>
  <si>
    <t>&lt;成本费用管理情况表&gt;</t>
    <phoneticPr fontId="20" type="noConversion"/>
  </si>
  <si>
    <t>收入成本项目</t>
    <phoneticPr fontId="20" type="noConversion"/>
  </si>
  <si>
    <t>其中：营业成本</t>
    <phoneticPr fontId="20" type="noConversion"/>
  </si>
  <si>
    <t>可再生能源电价附加收入</t>
    <phoneticPr fontId="20" type="noConversion"/>
  </si>
  <si>
    <t>人工成本</t>
    <phoneticPr fontId="20" type="noConversion"/>
  </si>
  <si>
    <t>职工福利费增长率</t>
    <phoneticPr fontId="20" type="noConversion"/>
  </si>
  <si>
    <t>七险一金增长率</t>
  </si>
  <si>
    <t>七险一金增长率</t>
    <phoneticPr fontId="20" type="noConversion"/>
  </si>
  <si>
    <t>农维费中列支的人工成本增长率</t>
  </si>
  <si>
    <t>农维费中列支的人工成本增长率</t>
    <phoneticPr fontId="20" type="noConversion"/>
  </si>
  <si>
    <t>外部劳务费增长率</t>
  </si>
  <si>
    <t>外部劳务费增长率</t>
    <phoneticPr fontId="20" type="noConversion"/>
  </si>
  <si>
    <t>——增长率</t>
    <phoneticPr fontId="20" type="noConversion"/>
  </si>
  <si>
    <t>[A]为过去两年历史数据平均</t>
    <phoneticPr fontId="20" type="noConversion"/>
  </si>
  <si>
    <t>[A]为过去两年历史数据平均</t>
    <phoneticPr fontId="20" type="noConversion"/>
  </si>
  <si>
    <t>[A]为过去三年历史数据平均</t>
    <phoneticPr fontId="20" type="noConversion"/>
  </si>
  <si>
    <t>[M]假设不增长</t>
    <phoneticPr fontId="20" type="noConversion"/>
  </si>
  <si>
    <t>[M]假设不增长</t>
    <phoneticPr fontId="20" type="noConversion"/>
  </si>
  <si>
    <t>[M]手动输入；[A]自动运算</t>
    <phoneticPr fontId="20" type="noConversion"/>
  </si>
  <si>
    <t>假设说明</t>
    <phoneticPr fontId="20" type="noConversion"/>
  </si>
  <si>
    <t>[M]手工输入</t>
    <phoneticPr fontId="20" type="noConversion"/>
  </si>
  <si>
    <t>[A]与上年持平</t>
    <phoneticPr fontId="20" type="noConversion"/>
  </si>
  <si>
    <t>投资收益率</t>
    <phoneticPr fontId="20" type="noConversion"/>
  </si>
  <si>
    <t>——投资收益</t>
    <phoneticPr fontId="20" type="noConversion"/>
  </si>
  <si>
    <t>[A]上期*(1+收益率)</t>
    <phoneticPr fontId="20" type="noConversion"/>
  </si>
  <si>
    <t>平衡检查</t>
    <phoneticPr fontId="20" type="noConversion"/>
  </si>
  <si>
    <t>资产负债率</t>
    <phoneticPr fontId="20" type="noConversion"/>
  </si>
  <si>
    <t>&lt;准许收入&gt;</t>
    <phoneticPr fontId="20" type="noConversion"/>
  </si>
  <si>
    <t>D</t>
    <phoneticPr fontId="20" type="noConversion"/>
  </si>
  <si>
    <t>A</t>
    <phoneticPr fontId="20" type="noConversion"/>
  </si>
  <si>
    <t>&lt;准许收入假设&gt;</t>
    <phoneticPr fontId="20" type="noConversion"/>
  </si>
  <si>
    <t>D7</t>
    <phoneticPr fontId="20" type="noConversion"/>
  </si>
  <si>
    <t>R</t>
    <phoneticPr fontId="20" type="noConversion"/>
  </si>
  <si>
    <t>&lt;实际收入&gt;</t>
    <phoneticPr fontId="20" type="noConversion"/>
  </si>
  <si>
    <t>准许总收入</t>
    <phoneticPr fontId="20" type="noConversion"/>
  </si>
  <si>
    <t>准许总成本</t>
    <phoneticPr fontId="20" type="noConversion"/>
  </si>
  <si>
    <t>核准固定资产投资</t>
    <phoneticPr fontId="20" type="noConversion"/>
  </si>
  <si>
    <t>核准输配电价</t>
    <phoneticPr fontId="20" type="noConversion"/>
  </si>
  <si>
    <t>新增，用于填报准许收入相关数据</t>
    <phoneticPr fontId="20" type="noConversion"/>
  </si>
  <si>
    <t>配合&lt;准许收入假设&gt;的数据，对取数关系进行修改</t>
    <phoneticPr fontId="20" type="noConversion"/>
  </si>
  <si>
    <t>High-Optional, Logical, Multi-Evaluating Supervisor</t>
    <phoneticPr fontId="20" type="noConversion"/>
  </si>
  <si>
    <t>1.修改记录</t>
    <phoneticPr fontId="20" type="noConversion"/>
  </si>
  <si>
    <t>R</t>
    <phoneticPr fontId="20" type="noConversion"/>
  </si>
  <si>
    <t>&lt;假设&gt;</t>
    <phoneticPr fontId="20" type="noConversion"/>
  </si>
  <si>
    <t>删除准许收入测算相关参数</t>
    <phoneticPr fontId="20" type="noConversion"/>
  </si>
  <si>
    <t>D7</t>
    <phoneticPr fontId="20" type="noConversion"/>
  </si>
  <si>
    <t>差异（单位：亿元）</t>
    <phoneticPr fontId="71" type="noConversion"/>
  </si>
  <si>
    <t>&lt;封面&gt;</t>
    <phoneticPr fontId="20" type="noConversion"/>
  </si>
  <si>
    <t>调整模型结构</t>
    <phoneticPr fontId="20" type="noConversion"/>
  </si>
  <si>
    <t>D7</t>
    <phoneticPr fontId="20" type="noConversion"/>
  </si>
  <si>
    <t>网间售电收入</t>
    <phoneticPr fontId="20" type="noConversion"/>
  </si>
  <si>
    <t>折旧费（全口径）</t>
    <phoneticPr fontId="20" type="noConversion"/>
  </si>
  <si>
    <t>成本抵消</t>
    <phoneticPr fontId="20" type="noConversion"/>
  </si>
  <si>
    <t>D</t>
    <phoneticPr fontId="20" type="noConversion"/>
  </si>
  <si>
    <t>&lt;16分部&gt;</t>
    <phoneticPr fontId="20" type="noConversion"/>
  </si>
  <si>
    <t>&lt;16分部&gt;</t>
    <phoneticPr fontId="20" type="noConversion"/>
  </si>
  <si>
    <t>删除分部表，整合至&lt;业务分布情况&gt;表</t>
    <phoneticPr fontId="20" type="noConversion"/>
  </si>
  <si>
    <t>&lt;业务分部情况&gt;</t>
    <phoneticPr fontId="20" type="noConversion"/>
  </si>
  <si>
    <t>新增&lt;业务分部情况&gt;</t>
    <phoneticPr fontId="20" type="noConversion"/>
  </si>
  <si>
    <t>R</t>
    <phoneticPr fontId="20" type="noConversion"/>
  </si>
  <si>
    <t>&lt;关键参数底稿&gt;</t>
    <phoneticPr fontId="20" type="noConversion"/>
  </si>
  <si>
    <t>R</t>
    <phoneticPr fontId="20" type="noConversion"/>
  </si>
  <si>
    <t>&lt;假设&gt;</t>
    <phoneticPr fontId="20" type="noConversion"/>
  </si>
  <si>
    <t>D8</t>
  </si>
  <si>
    <t>D8</t>
    <phoneticPr fontId="20" type="noConversion"/>
  </si>
  <si>
    <t>R</t>
    <phoneticPr fontId="20" type="noConversion"/>
  </si>
  <si>
    <t>D9</t>
    <phoneticPr fontId="20" type="noConversion"/>
  </si>
  <si>
    <t>输配电折旧相关</t>
    <phoneticPr fontId="20" type="noConversion"/>
  </si>
  <si>
    <t>——归属输配电折旧</t>
    <phoneticPr fontId="20" type="noConversion"/>
  </si>
  <si>
    <t>——全口径折旧</t>
    <phoneticPr fontId="20" type="noConversion"/>
  </si>
  <si>
    <t>输配电折旧费用占全口径的比例</t>
    <phoneticPr fontId="20" type="noConversion"/>
  </si>
  <si>
    <t>手续费及其他</t>
    <phoneticPr fontId="20" type="noConversion"/>
  </si>
  <si>
    <t>每增加1%，减少**亿元</t>
    <phoneticPr fontId="20" type="noConversion"/>
  </si>
  <si>
    <t>每增加1%，减少**亿元</t>
    <phoneticPr fontId="20" type="noConversion"/>
  </si>
  <si>
    <t>R</t>
    <phoneticPr fontId="20" type="noConversion"/>
  </si>
  <si>
    <t>&lt;敏感性分析&gt;</t>
    <phoneticPr fontId="20" type="noConversion"/>
  </si>
  <si>
    <t>敏感性分析变动参数逻辑变更</t>
    <phoneticPr fontId="20" type="noConversion"/>
  </si>
  <si>
    <t>D10</t>
    <phoneticPr fontId="20" type="noConversion"/>
  </si>
  <si>
    <t>在&lt;债务&gt;、&lt;现金缺口测算&gt;、&lt;现金流量表&gt;引入循环开关的逻辑</t>
    <phoneticPr fontId="20" type="noConversion"/>
  </si>
  <si>
    <t>删除产业、金融的测算逻辑，仅保留非电单位</t>
    <phoneticPr fontId="20" type="noConversion"/>
  </si>
  <si>
    <t>省公司准许收入相关数据改为直接填报，原有测算模块删除</t>
    <phoneticPr fontId="20" type="noConversion"/>
  </si>
  <si>
    <t>作为&lt;关键参数底稿&gt;的数据源，提供成本费用信息</t>
    <phoneticPr fontId="20" type="noConversion"/>
  </si>
  <si>
    <t>作为&lt;关键参数底稿&gt;的数据源，按企业业务性质进行分类汇总</t>
    <phoneticPr fontId="20" type="noConversion"/>
  </si>
  <si>
    <t>新增&lt;关键参数底稿&gt;表格，用于测算假设参数中关键历史数据</t>
    <phoneticPr fontId="20" type="noConversion"/>
  </si>
  <si>
    <t>R</t>
    <phoneticPr fontId="20" type="noConversion"/>
  </si>
  <si>
    <t>&lt;GUN ALL&gt;</t>
    <phoneticPr fontId="20" type="noConversion"/>
  </si>
  <si>
    <t>&lt;GUN ALL&gt;</t>
    <phoneticPr fontId="20" type="noConversion"/>
  </si>
  <si>
    <t>☑循环开关默认为“on”，如果模型出错，请先设为“off”再设定为“on”。</t>
    <phoneticPr fontId="20" type="noConversion"/>
  </si>
  <si>
    <t>（一）电力成本</t>
    <phoneticPr fontId="20" type="noConversion"/>
  </si>
  <si>
    <t>网间售电收入</t>
    <phoneticPr fontId="20" type="noConversion"/>
  </si>
  <si>
    <t>融资</t>
    <phoneticPr fontId="20" type="noConversion"/>
  </si>
  <si>
    <t>[公式]现金缺口*短期借款比例</t>
    <phoneticPr fontId="20" type="noConversion"/>
  </si>
  <si>
    <t>[公式]平均期末金额*利率*(1-优惠比例)</t>
    <phoneticPr fontId="20" type="noConversion"/>
  </si>
  <si>
    <t>[公式]现金缺口*长期借款比例</t>
    <phoneticPr fontId="20" type="noConversion"/>
  </si>
  <si>
    <t>[公式]现金缺口*应付债券比例</t>
    <phoneticPr fontId="20" type="noConversion"/>
  </si>
  <si>
    <t>[公式](上年累计+本年融资/2)*债券利率+LTD.利息支出</t>
    <phoneticPr fontId="20" type="noConversion"/>
  </si>
  <si>
    <t>[链接:ASM]长期借款划转到一年内到期部分</t>
    <phoneticPr fontId="20" type="noConversion"/>
  </si>
  <si>
    <t>[链接:ASM]长期借款-本期偿还</t>
    <phoneticPr fontId="20" type="noConversion"/>
  </si>
  <si>
    <t>[链接:ASM]短期借款-本期偿还</t>
    <phoneticPr fontId="20" type="noConversion"/>
  </si>
  <si>
    <t>输入表：经营假设参数表（ASM）</t>
    <phoneticPr fontId="20" type="noConversion"/>
  </si>
  <si>
    <t>输入表：长期债务表（LTD）</t>
    <phoneticPr fontId="20" type="noConversion"/>
  </si>
  <si>
    <t>输入表：发展投入表（DEV）</t>
    <phoneticPr fontId="20" type="noConversion"/>
  </si>
  <si>
    <t>中间表：关键参数底稿(IDX)</t>
    <phoneticPr fontId="20" type="noConversion"/>
  </si>
  <si>
    <t>输入表：准许收入假设(PIC)</t>
    <phoneticPr fontId="20" type="noConversion"/>
  </si>
  <si>
    <t>过程表：实际收入(InC)</t>
    <phoneticPr fontId="20" type="noConversion"/>
  </si>
  <si>
    <t>过程表：固定资产（FXA）</t>
    <phoneticPr fontId="71" type="noConversion"/>
  </si>
  <si>
    <t>过程表：固定资产表（DBT）</t>
    <phoneticPr fontId="20" type="noConversion"/>
  </si>
  <si>
    <t>明细表：现金缺口测算（CCA）</t>
    <phoneticPr fontId="20" type="noConversion"/>
  </si>
  <si>
    <t>输出：资产负债表（BLS）</t>
    <phoneticPr fontId="20" type="noConversion"/>
  </si>
  <si>
    <t>输出：利润表（ICS）</t>
    <phoneticPr fontId="20" type="noConversion"/>
  </si>
  <si>
    <t>输出：现金流量表（CF）</t>
    <phoneticPr fontId="20" type="noConversion"/>
  </si>
  <si>
    <t>输入表：历史利润表（H.ICS）</t>
    <phoneticPr fontId="20" type="noConversion"/>
  </si>
  <si>
    <t>输入表：历史资产负债表(H.BLS)</t>
    <phoneticPr fontId="20" type="noConversion"/>
  </si>
  <si>
    <t>[链接:LTD]一年内到期部分</t>
    <phoneticPr fontId="20" type="noConversion"/>
  </si>
  <si>
    <t>[链接:ASM]</t>
  </si>
  <si>
    <t>[链接:ASM]</t>
    <phoneticPr fontId="20" type="noConversion"/>
  </si>
  <si>
    <t>省公司经营目标预测模型（HOLMES）是一种多参数输入、多场景模拟、多结果输出的公司经营仿真模型，借助假设参数与公式直接的钩稽关系进行模拟运算，实现对财务报表数据的预测。当您需要对模型进行维护和二次开发的时候，请参考本手册。</t>
    <phoneticPr fontId="20" type="noConversion"/>
  </si>
  <si>
    <t>[链接:BLS]现金</t>
    <phoneticPr fontId="20" type="noConversion"/>
  </si>
  <si>
    <t>[公式]利息费用-利息收入+手续费及其他</t>
    <phoneticPr fontId="20" type="noConversion"/>
  </si>
  <si>
    <t>[公式]利息费用汇总</t>
    <phoneticPr fontId="20" type="noConversion"/>
  </si>
  <si>
    <t>[公式]利息支出*(1-ASM.利息资本化比率)</t>
    <phoneticPr fontId="20" type="noConversion"/>
  </si>
  <si>
    <t>[公式]利息支出*ASM.利息资本化比率</t>
    <phoneticPr fontId="20" type="noConversion"/>
  </si>
  <si>
    <t>[公式]BLS.现金*ASM.活期存款利率</t>
    <phoneticPr fontId="20" type="noConversion"/>
  </si>
  <si>
    <t>二、无形资产及摊销</t>
    <phoneticPr fontId="71" type="noConversion"/>
  </si>
  <si>
    <t>（一）电力成本</t>
    <phoneticPr fontId="20" type="noConversion"/>
  </si>
  <si>
    <t>（一）电力成本</t>
    <phoneticPr fontId="20" type="noConversion"/>
  </si>
  <si>
    <t>R</t>
    <phoneticPr fontId="20" type="noConversion"/>
  </si>
  <si>
    <t>&lt;实际收入&gt;</t>
    <phoneticPr fontId="20" type="noConversion"/>
  </si>
  <si>
    <t>更改准许收入逻辑。准许收入和成本为全口径，非电市场化部分单列。</t>
    <phoneticPr fontId="20" type="noConversion"/>
  </si>
  <si>
    <t>更改准许收入逻辑，不考虑非电市场化部分的收入与成本。</t>
    <phoneticPr fontId="20" type="noConversion"/>
  </si>
  <si>
    <t>D12</t>
    <phoneticPr fontId="20" type="noConversion"/>
  </si>
  <si>
    <t>D11</t>
    <phoneticPr fontId="20" type="noConversion"/>
  </si>
  <si>
    <t>彻底删除产业、金融单位逻辑</t>
    <phoneticPr fontId="20" type="noConversion"/>
  </si>
  <si>
    <t>非流动资产</t>
    <phoneticPr fontId="20" type="noConversion"/>
  </si>
  <si>
    <t>[M]为过去两年历史数据平均</t>
    <phoneticPr fontId="20" type="noConversion"/>
  </si>
  <si>
    <t>[M]手工输入</t>
  </si>
  <si>
    <t>[M]手工输入</t>
    <phoneticPr fontId="20" type="noConversion"/>
  </si>
  <si>
    <t>[M]手工输入</t>
    <phoneticPr fontId="20" type="noConversion"/>
  </si>
  <si>
    <t>[M]假设为10年</t>
    <phoneticPr fontId="20" type="noConversion"/>
  </si>
  <si>
    <t>[M]假设为15年</t>
    <phoneticPr fontId="20" type="noConversion"/>
  </si>
  <si>
    <t>[M]电价处提供</t>
    <phoneticPr fontId="20" type="noConversion"/>
  </si>
  <si>
    <t>[计算]电力企业收入+产业+抵销收入</t>
    <phoneticPr fontId="20" type="noConversion"/>
  </si>
  <si>
    <t>[计算]准许总收入+购入电力费</t>
    <phoneticPr fontId="20" type="noConversion"/>
  </si>
  <si>
    <t>[计算]准许总收入+购入电力费</t>
    <phoneticPr fontId="20" type="noConversion"/>
  </si>
  <si>
    <t>[计算]电力成本+产业成本+成本抵销</t>
    <phoneticPr fontId="20" type="noConversion"/>
  </si>
  <si>
    <t>[计算]准许总成本+购入电力费</t>
    <phoneticPr fontId="20" type="noConversion"/>
  </si>
  <si>
    <t>[计算]等于上一期</t>
    <phoneticPr fontId="20" type="noConversion"/>
  </si>
  <si>
    <t>[可选]</t>
    <phoneticPr fontId="20" type="noConversion"/>
  </si>
  <si>
    <t>[可选]</t>
    <phoneticPr fontId="20" type="noConversion"/>
  </si>
  <si>
    <t>[计算]上期*（1+ASM.增长率）</t>
    <phoneticPr fontId="20" type="noConversion"/>
  </si>
  <si>
    <t>[计算]购电量*购电价</t>
    <phoneticPr fontId="20" type="noConversion"/>
  </si>
  <si>
    <t>[链接:ASM]可再生能源电价附加收入</t>
    <phoneticPr fontId="20" type="noConversion"/>
  </si>
  <si>
    <t>[计算]可再生能源电价附加收入</t>
    <phoneticPr fontId="20" type="noConversion"/>
  </si>
  <si>
    <t>[计算]BLS.平均固定资产原值*ASM.占比</t>
    <phoneticPr fontId="20" type="noConversion"/>
  </si>
  <si>
    <t>[计算]上期*（1+ASM.增长率）</t>
    <phoneticPr fontId="20" type="noConversion"/>
  </si>
  <si>
    <t>[计算]上期*（1+ASM.增长率）</t>
    <phoneticPr fontId="20" type="noConversion"/>
  </si>
  <si>
    <t>[计算]小计-最低现金余额</t>
    <phoneticPr fontId="20" type="noConversion"/>
  </si>
  <si>
    <t>[链接:CF]经营性现金流</t>
    <phoneticPr fontId="20" type="noConversion"/>
  </si>
  <si>
    <t>[链接:CF]投资活动现金流</t>
    <phoneticPr fontId="20" type="noConversion"/>
  </si>
  <si>
    <t>[链接:CF]期初现金余额</t>
    <phoneticPr fontId="20" type="noConversion"/>
  </si>
  <si>
    <t>[链接:BLS]上年一年到期非流动负债</t>
    <phoneticPr fontId="20" type="noConversion"/>
  </si>
  <si>
    <t>[链接:DBT]短期借款（本期偿还）</t>
    <phoneticPr fontId="20" type="noConversion"/>
  </si>
  <si>
    <t>长期借款（本期偿还）</t>
    <phoneticPr fontId="20" type="noConversion"/>
  </si>
  <si>
    <t>[链接:DBT]长期借款（本期偿还）</t>
    <phoneticPr fontId="20" type="noConversion"/>
  </si>
  <si>
    <t>[链接:CF]财务费用</t>
    <phoneticPr fontId="20" type="noConversion"/>
  </si>
  <si>
    <t>[链接:CF]应付利息变动</t>
    <phoneticPr fontId="20" type="noConversion"/>
  </si>
  <si>
    <t>支付国有资本收益</t>
    <phoneticPr fontId="20" type="noConversion"/>
  </si>
  <si>
    <t>[链接:CF]支付国有资本收益</t>
    <phoneticPr fontId="20" type="noConversion"/>
  </si>
  <si>
    <t>[链接:CF]支付国有资本收益</t>
    <phoneticPr fontId="20" type="noConversion"/>
  </si>
  <si>
    <t>[链接:ICS]净利润</t>
    <phoneticPr fontId="20" type="noConversion"/>
  </si>
  <si>
    <t>[链接:ICS]财务费用</t>
    <phoneticPr fontId="20" type="noConversion"/>
  </si>
  <si>
    <t>[链接:FXA]折旧费用</t>
    <phoneticPr fontId="20" type="noConversion"/>
  </si>
  <si>
    <t>[链接:FXA]摊销费用</t>
    <phoneticPr fontId="20" type="noConversion"/>
  </si>
  <si>
    <t>[链接:FXA]固定资产减少</t>
    <phoneticPr fontId="20" type="noConversion"/>
  </si>
  <si>
    <t>[链接:BLS]营运资本变动</t>
    <phoneticPr fontId="20" type="noConversion"/>
  </si>
  <si>
    <t>长期应收款变动</t>
    <phoneticPr fontId="20" type="noConversion"/>
  </si>
  <si>
    <t>其他非流动资产变动</t>
    <phoneticPr fontId="20" type="noConversion"/>
  </si>
  <si>
    <t>长期应付款变动</t>
    <phoneticPr fontId="20" type="noConversion"/>
  </si>
  <si>
    <t>专项应付款变动</t>
    <phoneticPr fontId="20" type="noConversion"/>
  </si>
  <si>
    <t>其他非流动负债变动</t>
    <phoneticPr fontId="20" type="noConversion"/>
  </si>
  <si>
    <t>[链接:BLS]</t>
    <phoneticPr fontId="20" type="noConversion"/>
  </si>
  <si>
    <t>[链接:BLS]</t>
    <phoneticPr fontId="20" type="noConversion"/>
  </si>
  <si>
    <t>[链接:BLS]</t>
    <phoneticPr fontId="20" type="noConversion"/>
  </si>
  <si>
    <t>[链接:ASM]-固定资产投资现金支出</t>
    <phoneticPr fontId="20" type="noConversion"/>
  </si>
  <si>
    <t>[计算]FXA.退役固定资产*ASM.残值率</t>
    <phoneticPr fontId="20" type="noConversion"/>
  </si>
  <si>
    <t>[链接:DEV]长期股权投资</t>
    <phoneticPr fontId="20" type="noConversion"/>
  </si>
  <si>
    <t>[链接:ASM]无形资产投资</t>
    <phoneticPr fontId="20" type="noConversion"/>
  </si>
  <si>
    <t>[链接:DET]短期借款.变动-短期借款.本期偿还</t>
    <phoneticPr fontId="20" type="noConversion"/>
  </si>
  <si>
    <t>[链接:DET]长期借款.变动-长期借款.本期偿还</t>
    <phoneticPr fontId="20" type="noConversion"/>
  </si>
  <si>
    <t>[链接:BLS]上期一年内到期的非流动负债</t>
    <phoneticPr fontId="20" type="noConversion"/>
  </si>
  <si>
    <t>一年内到期的非流动负债变动</t>
    <phoneticPr fontId="20" type="noConversion"/>
  </si>
  <si>
    <t>[链接:ICS]-财务费用</t>
    <phoneticPr fontId="20" type="noConversion"/>
  </si>
  <si>
    <t>[计算]基期*（1+假设.增长率）</t>
    <phoneticPr fontId="20" type="noConversion"/>
  </si>
  <si>
    <t>[计算]平均长期股权投资*收益</t>
    <phoneticPr fontId="20" type="noConversion"/>
  </si>
  <si>
    <t>[链接:InC]一、收入</t>
    <phoneticPr fontId="20" type="noConversion"/>
  </si>
  <si>
    <t>[计算]营业收入*ASM.占比</t>
    <phoneticPr fontId="20" type="noConversion"/>
  </si>
  <si>
    <t>[链接:DBT]财务费用</t>
    <phoneticPr fontId="20" type="noConversion"/>
  </si>
  <si>
    <t>[链接:InC]二、成本</t>
    <phoneticPr fontId="20" type="noConversion"/>
  </si>
  <si>
    <t>[链接:ASM]</t>
    <phoneticPr fontId="20" type="noConversion"/>
  </si>
  <si>
    <t>[计算]利润总额*ASM.所得税率</t>
    <phoneticPr fontId="20" type="noConversion"/>
  </si>
  <si>
    <t>[计算]ASM.应收账款周转率*ICS.营业收入</t>
    <phoneticPr fontId="20" type="noConversion"/>
  </si>
  <si>
    <t>[计算]固定资产投资现金支出*比例</t>
    <phoneticPr fontId="20" type="noConversion"/>
  </si>
  <si>
    <t>[计算]上期*(1+ASM.长期股权投资及可供出售金融资产投资收益率)-CF.长期股权投资</t>
    <phoneticPr fontId="20" type="noConversion"/>
  </si>
  <si>
    <t>[计算]ICS.营业成本*ASM.应付账款占成本的%</t>
    <phoneticPr fontId="20" type="noConversion"/>
  </si>
  <si>
    <t>[计算]ICS.营业收入*ASM.预收款项占营业收入的%</t>
    <phoneticPr fontId="20" type="noConversion"/>
  </si>
  <si>
    <t>[计算]ICS.毛利*ASM.应缴税费占毛利的比例</t>
    <phoneticPr fontId="20" type="noConversion"/>
  </si>
  <si>
    <t>[计算]上期+上期可供出售金融资产*收益率+CF.国家资本金补贴+ASM.接受用户工程资产转资本公积</t>
    <phoneticPr fontId="20" type="noConversion"/>
  </si>
  <si>
    <t>[计算]上期+(ICS.归属于母公司所有者的净利润-CF.支付国家资本金)*15%</t>
    <phoneticPr fontId="20" type="noConversion"/>
  </si>
  <si>
    <t>[计算]上期+(ICS.归属于母公司所有者的净利润-CF.支付国家资本金)*85%</t>
    <phoneticPr fontId="20" type="noConversion"/>
  </si>
  <si>
    <t>微调</t>
    <phoneticPr fontId="20" type="noConversion"/>
  </si>
  <si>
    <t>D13</t>
  </si>
  <si>
    <t>[A]售电量/(1-线损率)</t>
    <phoneticPr fontId="20" type="noConversion"/>
  </si>
  <si>
    <t>[A](输配电价*售电量+购电价*购电量)/售电量</t>
    <phoneticPr fontId="20" type="noConversion"/>
  </si>
  <si>
    <t>输入表：历史现金流量表(H.CF)</t>
    <phoneticPr fontId="20" type="noConversion"/>
  </si>
  <si>
    <t>项目（单位：亿元）</t>
    <phoneticPr fontId="20" type="noConversion"/>
  </si>
  <si>
    <t>筹资活动现金流出小计</t>
    <phoneticPr fontId="20" type="noConversion"/>
  </si>
  <si>
    <t>D</t>
    <phoneticPr fontId="20" type="noConversion"/>
  </si>
  <si>
    <t>&lt;历史现金流量表&gt;</t>
    <phoneticPr fontId="20" type="noConversion"/>
  </si>
  <si>
    <t>隐藏历史现金流量表，此表不参与运算</t>
    <phoneticPr fontId="20" type="noConversion"/>
  </si>
  <si>
    <t>加入写保护</t>
    <phoneticPr fontId="20" type="noConversion"/>
  </si>
  <si>
    <t>[M]手工输入，默认等于基期</t>
    <phoneticPr fontId="20" type="noConversion"/>
  </si>
  <si>
    <t>[M]手工输入，默认等于购电量增长率</t>
    <phoneticPr fontId="20" type="noConversion"/>
  </si>
  <si>
    <t>[链接:ASM]网间售电量*网间售电价</t>
    <phoneticPr fontId="20" type="noConversion"/>
  </si>
  <si>
    <t>R</t>
    <phoneticPr fontId="20" type="noConversion"/>
  </si>
  <si>
    <t>&lt;假设&gt;&lt;实际收入&gt;</t>
    <phoneticPr fontId="20" type="noConversion"/>
  </si>
  <si>
    <t>E1</t>
    <phoneticPr fontId="20" type="noConversion"/>
  </si>
  <si>
    <t>加入"其他业务收入"的测算逻辑</t>
    <phoneticPr fontId="20" type="noConversion"/>
  </si>
  <si>
    <t>公司整体</t>
    <phoneticPr fontId="20" type="noConversion"/>
  </si>
  <si>
    <t>E1</t>
    <phoneticPr fontId="20" type="noConversion"/>
  </si>
  <si>
    <t>改型为公司整体经营目标预测模型，开发代号为"Moonshine"</t>
    <phoneticPr fontId="20" type="noConversion"/>
  </si>
  <si>
    <t>业务分部情况表-收入、成本、利润和现金流量(本年金额)</t>
  </si>
  <si>
    <t>财管01-3</t>
  </si>
  <si>
    <t>编制单位：国家电网公司</t>
  </si>
  <si>
    <t>2016年度</t>
  </si>
  <si>
    <t>单位：元</t>
  </si>
  <si>
    <t>行次</t>
  </si>
  <si>
    <t>金融</t>
  </si>
  <si>
    <t>产业</t>
  </si>
  <si>
    <t>电网、产业、金融三板块间抵消（仅总部填列）</t>
  </si>
  <si>
    <t>合计</t>
  </si>
  <si>
    <t>国际业务</t>
  </si>
  <si>
    <t>电工装备制造</t>
  </si>
  <si>
    <t>能源生产</t>
  </si>
  <si>
    <t>房产物业</t>
  </si>
  <si>
    <t>信息通信</t>
  </si>
  <si>
    <t>科研教培</t>
  </si>
  <si>
    <t>施工、设计、监理、招标</t>
  </si>
  <si>
    <t>产业板块间抵销</t>
  </si>
  <si>
    <t>金融单位</t>
  </si>
  <si>
    <t>产业单位-国际业务</t>
  </si>
  <si>
    <t>产业单位-电工装备制造</t>
  </si>
  <si>
    <t>产业单位-能源生产</t>
  </si>
  <si>
    <t>产业单位-房产物业</t>
  </si>
  <si>
    <t>产业单位-信息通信</t>
  </si>
  <si>
    <t>产业单位-科研教培</t>
  </si>
  <si>
    <t>产业单位-施工、设计、监理、招标</t>
  </si>
  <si>
    <t>产业单位-其他</t>
  </si>
  <si>
    <t>产业单位-小计</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</si>
  <si>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</si>
  <si>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</si>
  <si>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</si>
  <si>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</si>
  <si>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</si>
  <si>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</si>
  <si>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</si>
  <si>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</si>
  <si>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</si>
  <si>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</si>
  <si>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</si>
  <si>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</si>
  <si>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</si>
  <si>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</si>
  <si>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</si>
  <si>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</si>
  <si>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</si>
  <si>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</si>
  <si>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</si>
  <si>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</si>
  <si>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</si>
  <si>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</si>
  <si>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</si>
  <si>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</si>
  <si>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</si>
  <si>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</si>
  <si>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</si>
  <si>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</si>
  <si>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</si>
  <si>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</si>
  <si>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</si>
  <si>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</si>
  <si>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</si>
  <si>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</si>
  <si>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</si>
  <si>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</si>
  <si>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</si>
  <si>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</si>
  <si>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</si>
  <si>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　加：公允价值变动收益（损失以“－”号填列）</t>
  </si>
  <si>
    <t>40</t>
  </si>
  <si>
    <t>　　投资收益（损失以“－”号填列）</t>
  </si>
  <si>
    <t>41</t>
  </si>
  <si>
    <t>　△汇兑收益（损失以“-”号填列）</t>
  </si>
  <si>
    <t>42</t>
  </si>
  <si>
    <t>43</t>
  </si>
  <si>
    <t>44</t>
  </si>
  <si>
    <t>45</t>
  </si>
  <si>
    <t>46</t>
  </si>
  <si>
    <t>47</t>
  </si>
  <si>
    <t>48</t>
  </si>
  <si>
    <t>49</t>
  </si>
  <si>
    <t>50</t>
  </si>
  <si>
    <t>51</t>
  </si>
  <si>
    <t>52</t>
  </si>
  <si>
    <t>53</t>
  </si>
  <si>
    <t>54</t>
  </si>
  <si>
    <t>55</t>
  </si>
  <si>
    <t>56</t>
  </si>
  <si>
    <t>57</t>
  </si>
  <si>
    <t>58</t>
  </si>
  <si>
    <t>59</t>
  </si>
  <si>
    <t>60</t>
  </si>
  <si>
    <t>售电收入</t>
    <phoneticPr fontId="20" type="noConversion"/>
  </si>
  <si>
    <t>售电收入增长率</t>
    <phoneticPr fontId="20" type="noConversion"/>
  </si>
  <si>
    <t>售电收入</t>
    <phoneticPr fontId="20" type="noConversion"/>
  </si>
  <si>
    <t>成本费用管理情况表</t>
  </si>
  <si>
    <t>财管02表</t>
  </si>
  <si>
    <t>成本项目</t>
  </si>
  <si>
    <t>本年金额</t>
  </si>
  <si>
    <t>上年金额</t>
  </si>
  <si>
    <t>增长率</t>
  </si>
  <si>
    <t>发电成本</t>
  </si>
  <si>
    <t>购电成本</t>
  </si>
  <si>
    <t>输配电
直接成本</t>
  </si>
  <si>
    <t>其他生产成本</t>
  </si>
  <si>
    <t>营业费用</t>
  </si>
  <si>
    <t>业务及管理费</t>
  </si>
  <si>
    <t>补充资料：本年结转损益的其他生产成本</t>
  </si>
  <si>
    <t xml:space="preserve">输配电
直接成本_x000D_
_x000D_
</t>
  </si>
  <si>
    <t>其中：农村电网维护费</t>
  </si>
  <si>
    <t>补充资料1</t>
  </si>
  <si>
    <t>补充资料2</t>
  </si>
  <si>
    <t>购入电力费</t>
  </si>
  <si>
    <t>输电费</t>
  </si>
  <si>
    <t>工资</t>
  </si>
  <si>
    <t>折旧费</t>
  </si>
  <si>
    <t>燃料费</t>
  </si>
  <si>
    <t>水费</t>
  </si>
  <si>
    <t>材料费及修理费</t>
  </si>
  <si>
    <t xml:space="preserve">   其中：自营材料费</t>
  </si>
  <si>
    <t xml:space="preserve">         外包材料费</t>
  </si>
  <si>
    <t xml:space="preserve">         外包检修费</t>
  </si>
  <si>
    <t>委托运行维护费</t>
  </si>
  <si>
    <t>社会保险费</t>
  </si>
  <si>
    <t>低值易耗品摊销</t>
  </si>
  <si>
    <t>财产保险费</t>
  </si>
  <si>
    <t>办公费</t>
  </si>
  <si>
    <t>差旅费</t>
  </si>
  <si>
    <t>会议费</t>
  </si>
  <si>
    <t>职工福利费</t>
  </si>
  <si>
    <t>业务招待费</t>
  </si>
  <si>
    <t>公务用车辆使用费</t>
  </si>
  <si>
    <t>生产用车辆使用费</t>
  </si>
  <si>
    <t>劳动保护费</t>
  </si>
  <si>
    <t>劳务派遣费</t>
  </si>
  <si>
    <t>临时用工薪酬</t>
  </si>
  <si>
    <t>物业管理费</t>
  </si>
  <si>
    <t>水电费</t>
  </si>
  <si>
    <t>绿化费</t>
  </si>
  <si>
    <t>业务费</t>
  </si>
  <si>
    <t>电力设施保护费</t>
  </si>
  <si>
    <t>取暖费</t>
  </si>
  <si>
    <t>中介费</t>
  </si>
  <si>
    <t>广告宣传费</t>
  </si>
  <si>
    <t>租赁费</t>
  </si>
  <si>
    <t>出国人员经费</t>
  </si>
  <si>
    <t>国际业务支出</t>
  </si>
  <si>
    <t>客服及商务费用</t>
  </si>
  <si>
    <t>工资附加</t>
  </si>
  <si>
    <t>信息系统运维费</t>
  </si>
  <si>
    <t>安全费</t>
  </si>
  <si>
    <t>团体会费</t>
  </si>
  <si>
    <t>税费</t>
  </si>
  <si>
    <t>地方政府收费</t>
  </si>
  <si>
    <t>长期待摊费用摊销</t>
  </si>
  <si>
    <t>无形资产摊销</t>
  </si>
  <si>
    <t>存货盘亏和毁损</t>
  </si>
  <si>
    <t>辞退福利</t>
  </si>
  <si>
    <t>技术使用费</t>
  </si>
  <si>
    <t>设备检测费</t>
  </si>
  <si>
    <t>党团活动经费</t>
  </si>
  <si>
    <t>清洁卫生费</t>
  </si>
  <si>
    <t>环评费</t>
  </si>
  <si>
    <t>管理用房屋维修费</t>
  </si>
  <si>
    <t>住房公积金</t>
  </si>
  <si>
    <t xml:space="preserve">     合   计</t>
  </si>
  <si>
    <t>其中：可控成本费用</t>
  </si>
  <si>
    <t xml:space="preserve">      外委科研成本</t>
  </si>
  <si>
    <t xml:space="preserve">      教学成本</t>
  </si>
  <si>
    <t>折旧费（输配电口径）</t>
    <phoneticPr fontId="20" type="noConversion"/>
  </si>
  <si>
    <t>取数工具</t>
    <phoneticPr fontId="20" type="noConversion"/>
  </si>
  <si>
    <t>材料费、修理费（含农维费）</t>
    <phoneticPr fontId="20" type="noConversion"/>
  </si>
  <si>
    <t>工资（不含农维费）</t>
    <phoneticPr fontId="20" type="noConversion"/>
  </si>
  <si>
    <t>发电成本</t>
    <phoneticPr fontId="20" type="noConversion"/>
  </si>
  <si>
    <t>输配电直接成本：社会保险费（不含农维费）+住房公积金（不含农维费）</t>
    <phoneticPr fontId="20" type="noConversion"/>
  </si>
  <si>
    <t>取数备注</t>
    <phoneticPr fontId="20" type="noConversion"/>
  </si>
  <si>
    <t>购电成本</t>
    <phoneticPr fontId="20" type="noConversion"/>
  </si>
  <si>
    <t>输配电直接成本</t>
    <phoneticPr fontId="20" type="noConversion"/>
  </si>
  <si>
    <t>农维费</t>
    <phoneticPr fontId="20" type="noConversion"/>
  </si>
  <si>
    <t>职工福利费（不含农维费）</t>
    <phoneticPr fontId="20" type="noConversion"/>
  </si>
  <si>
    <t>七险一金（不含农维费）</t>
    <phoneticPr fontId="20" type="noConversion"/>
  </si>
  <si>
    <t>外部劳务费（不含农维费）</t>
    <phoneticPr fontId="20" type="noConversion"/>
  </si>
  <si>
    <t>输配电直接成本：劳务派遣（不含农维费）+临时用工（不含农维费）</t>
  </si>
  <si>
    <t>产业成本</t>
    <phoneticPr fontId="20" type="noConversion"/>
  </si>
  <si>
    <t>非电成本</t>
    <phoneticPr fontId="20" type="noConversion"/>
  </si>
  <si>
    <t>金融成本</t>
    <phoneticPr fontId="20" type="noConversion"/>
  </si>
  <si>
    <t>（一）电力企业收入</t>
  </si>
  <si>
    <t>售电收入</t>
  </si>
  <si>
    <t>（二）产业</t>
  </si>
  <si>
    <t>产业板块</t>
  </si>
  <si>
    <t>（三）金融</t>
  </si>
  <si>
    <t>（四）抵消收入</t>
  </si>
  <si>
    <t>收入</t>
    <phoneticPr fontId="20" type="noConversion"/>
  </si>
  <si>
    <t>成本</t>
    <phoneticPr fontId="20" type="noConversion"/>
  </si>
  <si>
    <t>取数工具</t>
    <phoneticPr fontId="20" type="noConversion"/>
  </si>
  <si>
    <t>取数说明</t>
    <phoneticPr fontId="20" type="noConversion"/>
  </si>
  <si>
    <t>取值</t>
    <phoneticPr fontId="20" type="noConversion"/>
  </si>
  <si>
    <t>&lt;收入参数引用&gt;</t>
    <phoneticPr fontId="20" type="noConversion"/>
  </si>
  <si>
    <t>[M]外部数据</t>
    <phoneticPr fontId="20" type="noConversion"/>
  </si>
  <si>
    <t>[M]外部数据</t>
    <phoneticPr fontId="20" type="noConversion"/>
  </si>
  <si>
    <t>*</t>
    <phoneticPr fontId="20" type="noConversion"/>
  </si>
  <si>
    <t>*</t>
    <phoneticPr fontId="20" type="noConversion"/>
  </si>
  <si>
    <t>收入（报表）</t>
    <phoneticPr fontId="20" type="noConversion"/>
  </si>
  <si>
    <t>必须</t>
    <phoneticPr fontId="20" type="noConversion"/>
  </si>
  <si>
    <t>毛利</t>
    <phoneticPr fontId="20" type="noConversion"/>
  </si>
  <si>
    <t>[链接:ASM]售电量*输配电价+购入电力费</t>
    <phoneticPr fontId="20" type="noConversion"/>
  </si>
  <si>
    <t>售电均价（元/兆瓦时，不含税）</t>
  </si>
  <si>
    <t>购电均价（元/兆瓦时，不含税）</t>
  </si>
  <si>
    <t>输配电价（元/兆瓦时，不含税）</t>
  </si>
  <si>
    <t>营业收入净额：电网主业+电网主业抵销+发电子企业-可再生能源电价收入(无抵销)</t>
    <phoneticPr fontId="20" type="noConversion"/>
  </si>
  <si>
    <t>营业总收入：电网主业+电网主业间抵销+电网发电子企业+电网境外子企业</t>
    <phoneticPr fontId="20" type="noConversion"/>
  </si>
  <si>
    <t>倒计</t>
    <phoneticPr fontId="20" type="noConversion"/>
  </si>
  <si>
    <t>营业总收入：产业小计</t>
    <phoneticPr fontId="20" type="noConversion"/>
  </si>
  <si>
    <t>营业总收入：金融</t>
    <phoneticPr fontId="20" type="noConversion"/>
  </si>
  <si>
    <t>营业总收入：电网板块内抵销+电网、金融、产业三板块间抵销</t>
    <phoneticPr fontId="20" type="noConversion"/>
  </si>
  <si>
    <t>营业总收入：</t>
    <phoneticPr fontId="20" type="noConversion"/>
  </si>
  <si>
    <t>可再生能源电价收入：小计</t>
    <phoneticPr fontId="20" type="noConversion"/>
  </si>
  <si>
    <t>最终取值</t>
    <phoneticPr fontId="20" type="noConversion"/>
  </si>
  <si>
    <t>材料费、修理费</t>
    <phoneticPr fontId="20" type="noConversion"/>
  </si>
  <si>
    <t>材料费、修理费</t>
    <phoneticPr fontId="20" type="noConversion"/>
  </si>
  <si>
    <t>*</t>
    <phoneticPr fontId="20" type="noConversion"/>
  </si>
  <si>
    <t>*</t>
    <phoneticPr fontId="20" type="noConversion"/>
  </si>
  <si>
    <t>*</t>
    <phoneticPr fontId="20" type="noConversion"/>
  </si>
  <si>
    <t>#</t>
    <phoneticPr fontId="20" type="noConversion"/>
  </si>
  <si>
    <t>#</t>
    <phoneticPr fontId="20" type="noConversion"/>
  </si>
  <si>
    <t>?</t>
    <phoneticPr fontId="20" type="noConversion"/>
  </si>
  <si>
    <t>#</t>
    <phoneticPr fontId="20" type="noConversion"/>
  </si>
  <si>
    <t>?</t>
    <phoneticPr fontId="20" type="noConversion"/>
  </si>
  <si>
    <t>电力企业成本</t>
    <phoneticPr fontId="20" type="noConversion"/>
  </si>
  <si>
    <t>营业成本：非电（施工+设计+…+板块抵销）</t>
    <phoneticPr fontId="20" type="noConversion"/>
  </si>
  <si>
    <t>产业小计：营业成本</t>
    <phoneticPr fontId="20" type="noConversion"/>
  </si>
  <si>
    <t>营业成本</t>
    <phoneticPr fontId="20" type="noConversion"/>
  </si>
  <si>
    <t>总成本（不含期间费用）</t>
    <phoneticPr fontId="20" type="noConversion"/>
  </si>
  <si>
    <t>营业成本：电网板块内抵销+三大板块间抵销+[利息支出……分保费用]抵销</t>
    <phoneticPr fontId="20" type="noConversion"/>
  </si>
  <si>
    <t>营业总成本（合计）-营业税金（合计）-销售费用（合计）-管理费用（合计）-财务费用（合计）-资产减值损失（合计）</t>
    <phoneticPr fontId="20" type="noConversion"/>
  </si>
  <si>
    <t>☑请开启Excel的迭代运算功能，设置迭代1000次，精度0.001。</t>
    <phoneticPr fontId="20" type="noConversion"/>
  </si>
  <si>
    <t>固定资产原值</t>
    <phoneticPr fontId="20" type="noConversion"/>
  </si>
  <si>
    <t>固定资产投资</t>
    <phoneticPr fontId="20" type="noConversion"/>
  </si>
  <si>
    <t>在建工程</t>
    <phoneticPr fontId="20" type="noConversion"/>
  </si>
  <si>
    <t>转入固定资产</t>
    <phoneticPr fontId="20" type="noConversion"/>
  </si>
  <si>
    <t>上年在建工程转资</t>
    <phoneticPr fontId="20" type="noConversion"/>
  </si>
  <si>
    <t>本年固定资产投资转资</t>
    <phoneticPr fontId="20" type="noConversion"/>
  </si>
  <si>
    <t>资本化利息</t>
    <phoneticPr fontId="20" type="noConversion"/>
  </si>
  <si>
    <t>固定资产减少</t>
    <phoneticPr fontId="20" type="noConversion"/>
  </si>
  <si>
    <t>固定资产累计折旧</t>
    <phoneticPr fontId="20" type="noConversion"/>
  </si>
  <si>
    <t>折旧费用</t>
    <phoneticPr fontId="20" type="noConversion"/>
  </si>
  <si>
    <t>固定资产减值准备</t>
    <phoneticPr fontId="20" type="noConversion"/>
  </si>
  <si>
    <t>固定资产净值</t>
    <phoneticPr fontId="20" type="noConversion"/>
  </si>
  <si>
    <t>[1][链接:]固定资产投资</t>
    <phoneticPr fontId="20" type="noConversion"/>
  </si>
  <si>
    <t>[2][链接]资本化利息支出</t>
    <phoneticPr fontId="20" type="noConversion"/>
  </si>
  <si>
    <t>接收用户资产</t>
    <phoneticPr fontId="20" type="noConversion"/>
  </si>
  <si>
    <t>[3][链接]接收用户资产</t>
    <phoneticPr fontId="20" type="noConversion"/>
  </si>
  <si>
    <t>[5][公式]本期固定资产投资*固定资产投资转固率</t>
    <phoneticPr fontId="20" type="noConversion"/>
  </si>
  <si>
    <t>[6][公式]SUM()</t>
    <phoneticPr fontId="20" type="noConversion"/>
  </si>
  <si>
    <t>[7][公式]上期+固定资产投资-转入固定资产（不含接收用户资产！）</t>
    <phoneticPr fontId="20" type="noConversion"/>
  </si>
  <si>
    <t>[8][公式]上年存量固定资产原值*退役率</t>
    <phoneticPr fontId="20" type="noConversion"/>
  </si>
  <si>
    <t>[9][公式]上期+本期转入固定资产-固定资产减少</t>
    <phoneticPr fontId="20" type="noConversion"/>
  </si>
  <si>
    <t>[10][公式]上期*(今年固定资产原值/上年固定资产原值)*1.1</t>
    <phoneticPr fontId="20" type="noConversion"/>
  </si>
  <si>
    <t>[11][公式](平均固定资产原值-平均已提足折旧固定资产）*折旧率</t>
    <phoneticPr fontId="20" type="noConversion"/>
  </si>
  <si>
    <t>[12][公式]上期-固定资产减少*(1-残值率)+折旧费用</t>
    <phoneticPr fontId="20" type="noConversion"/>
  </si>
  <si>
    <t>[13][链接]固定资产减值准备</t>
    <phoneticPr fontId="20" type="noConversion"/>
  </si>
  <si>
    <t>[14][公式]固定资产原值-累计折旧-减值准备</t>
    <phoneticPr fontId="20" type="noConversion"/>
  </si>
  <si>
    <t>[4][公式][n年]上期在建工程*在建工程转固率；[n+1年]第n年固定资产投资*第n年次年转固率</t>
    <phoneticPr fontId="20" type="noConversion"/>
  </si>
  <si>
    <t>逾龄资产原值</t>
    <phoneticPr fontId="20" type="noConversion"/>
  </si>
  <si>
    <t>实际固定资产投资</t>
    <phoneticPr fontId="20" type="noConversion"/>
  </si>
  <si>
    <t>*</t>
    <phoneticPr fontId="20" type="noConversion"/>
  </si>
  <si>
    <t>　加：公允价值变动收益（损失以“”号填列）</t>
  </si>
  <si>
    <t>　　投资收益（损失以“”号填列）</t>
  </si>
  <si>
    <t>三、营业利润（亏损以“”号填列）</t>
  </si>
  <si>
    <t>四、利润总额（亏损总额以“”号填列）</t>
  </si>
  <si>
    <t>五、净利润（净亏损以“”号填列）</t>
  </si>
  <si>
    <t>2017年度</t>
    <phoneticPr fontId="20" type="noConversion"/>
  </si>
  <si>
    <t>2002年电网建设企业债</t>
  </si>
  <si>
    <t>2003年企业债</t>
  </si>
  <si>
    <t>2005年企业债</t>
  </si>
  <si>
    <t>2006年企业债</t>
  </si>
  <si>
    <t>2007年企业债</t>
  </si>
  <si>
    <t>2008年1期企业债</t>
  </si>
  <si>
    <t>2008年2期企业债</t>
  </si>
  <si>
    <t>2009年1期企业债</t>
  </si>
  <si>
    <t>2009年2期企业债</t>
  </si>
  <si>
    <t>2010年1期企业债</t>
  </si>
  <si>
    <t>2010年2期企业债</t>
  </si>
  <si>
    <t>2011年企业债</t>
  </si>
  <si>
    <t>2012年1期企业债</t>
  </si>
  <si>
    <t>2012年2期企业债</t>
  </si>
  <si>
    <t>2013年1期企业债</t>
  </si>
  <si>
    <t>2013年2期企业债</t>
  </si>
  <si>
    <t>2014年1期企业债</t>
  </si>
  <si>
    <t>2014年第2期企业债</t>
  </si>
  <si>
    <t>2015年第1期企业债</t>
  </si>
  <si>
    <t>2015年第2期企业债</t>
  </si>
  <si>
    <t>2015年第3期企业债</t>
  </si>
  <si>
    <t>2016年第1期绿色债</t>
  </si>
  <si>
    <t>2016年第1期公司债</t>
  </si>
  <si>
    <t>企业债</t>
    <phoneticPr fontId="20" type="noConversion"/>
  </si>
  <si>
    <t>09年1期</t>
  </si>
  <si>
    <t>09年2期</t>
  </si>
  <si>
    <t>09年3期</t>
  </si>
  <si>
    <t>11年1期</t>
  </si>
  <si>
    <t>11年2期</t>
  </si>
  <si>
    <t>12年1期</t>
  </si>
  <si>
    <t>12年2期</t>
  </si>
  <si>
    <t>12年3期</t>
  </si>
  <si>
    <t>12年4期</t>
  </si>
  <si>
    <t>13年1期</t>
  </si>
  <si>
    <t>13年2期</t>
  </si>
  <si>
    <t>14年1期</t>
  </si>
  <si>
    <t>14年2期</t>
  </si>
  <si>
    <t>15年1期</t>
  </si>
  <si>
    <t>（平高）12年1期</t>
  </si>
  <si>
    <t>（鲁能）09年1期</t>
  </si>
  <si>
    <t>（鲁能）09年2期</t>
  </si>
  <si>
    <t>国能生物</t>
  </si>
  <si>
    <t>（南瑞）15年1期</t>
  </si>
  <si>
    <t>平高集团</t>
  </si>
  <si>
    <t>许继集团</t>
  </si>
  <si>
    <t>英大租赁（纳入合并报表时带入）</t>
  </si>
  <si>
    <t>节能绿色中票</t>
  </si>
  <si>
    <t>中期债券</t>
    <phoneticPr fontId="20" type="noConversion"/>
  </si>
  <si>
    <t>国家电网海外投资 2013/5/1</t>
  </si>
  <si>
    <t>国家电网海外投资 2014/4/1</t>
  </si>
  <si>
    <t>国家电网国际发展有限公司 2015/1/1</t>
  </si>
  <si>
    <t>国家电网海外投资 2016/5/1</t>
  </si>
  <si>
    <t>国家电网海外投资 2017/5/1</t>
  </si>
  <si>
    <t>属性</t>
    <phoneticPr fontId="20" type="noConversion"/>
  </si>
  <si>
    <t>成本(营业成本)</t>
    <phoneticPr fontId="20" type="noConversion"/>
  </si>
  <si>
    <t>公司债：许继2009年</t>
  </si>
  <si>
    <t>公司债：许继2011</t>
  </si>
  <si>
    <t>次级债：英大证券2015年10亿</t>
  </si>
  <si>
    <t>公司债：平高2015年  5.5亿</t>
  </si>
  <si>
    <t>公司债：鲁能2015年  30亿</t>
  </si>
  <si>
    <t>公司债：鲁能2016年  40亿</t>
  </si>
  <si>
    <t>公司债：鲁能2016年  10亿</t>
  </si>
  <si>
    <t>次级债：英大证券2017年5.5亿</t>
  </si>
  <si>
    <t>公司债：南瑞2016年  5亿</t>
    <phoneticPr fontId="20" type="noConversion"/>
  </si>
  <si>
    <t>金融债：电财2007</t>
    <phoneticPr fontId="20" type="noConversion"/>
  </si>
  <si>
    <t xml:space="preserve"> </t>
    <phoneticPr fontId="20" type="noConversion"/>
  </si>
  <si>
    <t>[M]延用6.4%的假设</t>
    <phoneticPr fontId="20" type="noConversion"/>
  </si>
  <si>
    <t>——发电成本增速</t>
    <phoneticPr fontId="20" type="noConversion"/>
  </si>
  <si>
    <t>售电量（亿千瓦时）</t>
    <phoneticPr fontId="20" type="noConversion"/>
  </si>
  <si>
    <t>售电量（亿千瓦时）</t>
    <phoneticPr fontId="20" type="noConversion"/>
  </si>
  <si>
    <t>项目</t>
    <phoneticPr fontId="20" type="noConversion"/>
  </si>
  <si>
    <t>电量电价信息</t>
    <phoneticPr fontId="20" type="noConversion"/>
  </si>
  <si>
    <t>购售电比</t>
    <phoneticPr fontId="20" type="noConversion"/>
  </si>
  <si>
    <t>购电量（亿千瓦时,不含发电）</t>
    <phoneticPr fontId="20" type="noConversion"/>
  </si>
  <si>
    <t>内部电厂上网电量</t>
    <phoneticPr fontId="20" type="noConversion"/>
  </si>
  <si>
    <t>平均折旧率</t>
    <phoneticPr fontId="20" type="noConversion"/>
  </si>
  <si>
    <t>——固定资产原值</t>
    <phoneticPr fontId="20" type="noConversion"/>
  </si>
  <si>
    <t>——折旧费用</t>
    <phoneticPr fontId="20" type="noConversion"/>
  </si>
  <si>
    <t>折旧率相关</t>
    <phoneticPr fontId="20" type="noConversion"/>
  </si>
  <si>
    <t>其他收益</t>
    <phoneticPr fontId="20" type="noConversion"/>
  </si>
  <si>
    <t>△汇兑收益（损失以“-”号填列）</t>
    <phoneticPr fontId="20" type="noConversion"/>
  </si>
  <si>
    <t>投资收益</t>
    <phoneticPr fontId="20" type="noConversion"/>
  </si>
  <si>
    <t>其他收益</t>
    <phoneticPr fontId="20" type="noConversion"/>
  </si>
  <si>
    <t xml:space="preserve">  其他收益</t>
    <phoneticPr fontId="20" type="noConversion"/>
  </si>
  <si>
    <t>61</t>
  </si>
  <si>
    <t>[M]假设为0.5%</t>
    <phoneticPr fontId="20" type="noConversion"/>
  </si>
  <si>
    <t>——逾期资产原值</t>
    <phoneticPr fontId="20" type="noConversion"/>
  </si>
  <si>
    <t>(快报数)</t>
    <phoneticPr fontId="20" type="noConversion"/>
  </si>
  <si>
    <t>（快报数）</t>
    <phoneticPr fontId="20" type="noConversion"/>
  </si>
  <si>
    <t>一、固定资产及折旧</t>
    <phoneticPr fontId="71" type="noConversion"/>
  </si>
  <si>
    <t>——固定资产原值（平均）</t>
    <phoneticPr fontId="20" type="noConversion"/>
  </si>
  <si>
    <t>——固定资产原值（平均）</t>
    <phoneticPr fontId="20" type="noConversion"/>
  </si>
  <si>
    <t>长期股权投资及可供出售金融资产投资收益率</t>
    <phoneticPr fontId="20" type="noConversion"/>
  </si>
  <si>
    <t>——可供出售金融资产+长期股权 （平均）</t>
    <phoneticPr fontId="20" type="noConversion"/>
  </si>
  <si>
    <t>——营业收入净额</t>
    <phoneticPr fontId="20" type="noConversion"/>
  </si>
  <si>
    <t>——存货（平均）</t>
    <phoneticPr fontId="20" type="noConversion"/>
  </si>
  <si>
    <t>——预付账款（平均）</t>
    <phoneticPr fontId="20" type="noConversion"/>
  </si>
  <si>
    <t>——应付账款(平均)</t>
    <phoneticPr fontId="20" type="noConversion"/>
  </si>
  <si>
    <t>——应付利息（平均）</t>
    <phoneticPr fontId="20" type="noConversion"/>
  </si>
  <si>
    <t>快报数</t>
    <phoneticPr fontId="20" type="noConversion"/>
  </si>
  <si>
    <t>实际数</t>
    <phoneticPr fontId="20" type="noConversion"/>
  </si>
  <si>
    <t>[M]假设为与上年持平</t>
    <phoneticPr fontId="20" type="noConversion"/>
  </si>
  <si>
    <t>其他成本费用（电力成本减去折旧、材料费修理费、人工等）</t>
    <phoneticPr fontId="20" type="noConversion"/>
  </si>
  <si>
    <t>&lt;- ??</t>
    <phoneticPr fontId="20" type="noConversion"/>
  </si>
  <si>
    <t>售电量（亿千瓦时）</t>
    <phoneticPr fontId="20" type="noConversion"/>
  </si>
  <si>
    <t>——增长率</t>
    <phoneticPr fontId="20" type="noConversion"/>
  </si>
  <si>
    <t>输配电价</t>
    <phoneticPr fontId="20" type="noConversion"/>
  </si>
  <si>
    <t>材料费修理费占比（%）</t>
    <phoneticPr fontId="20" type="noConversion"/>
  </si>
  <si>
    <t>固定资产投资</t>
    <phoneticPr fontId="20" type="noConversion"/>
  </si>
  <si>
    <t>实际输配电价(元/千千瓦时）</t>
    <phoneticPr fontId="20" type="noConversion"/>
  </si>
  <si>
    <t>外币债</t>
    <phoneticPr fontId="20" type="noConversion"/>
  </si>
  <si>
    <t>企业债：鲁能 2006</t>
    <phoneticPr fontId="20" type="noConversion"/>
  </si>
  <si>
    <t>企业债：鲁能2008</t>
    <phoneticPr fontId="20" type="noConversion"/>
  </si>
  <si>
    <t>金融债：电财2014</t>
    <phoneticPr fontId="20" type="noConversion"/>
  </si>
  <si>
    <t>金融债：电财2014</t>
    <phoneticPr fontId="20" type="noConversion"/>
  </si>
  <si>
    <t>金融债：电财2009</t>
    <phoneticPr fontId="20" type="noConversion"/>
  </si>
  <si>
    <t>其他成本费用（电力成本减去折旧、材料费修理费、人工等）</t>
    <phoneticPr fontId="20" type="noConversion"/>
  </si>
  <si>
    <t>[M]手工输入，增长较收入慢</t>
    <phoneticPr fontId="20" type="noConversion"/>
  </si>
  <si>
    <t>[A]</t>
    <phoneticPr fontId="20" type="noConversion"/>
  </si>
  <si>
    <t>其他电力业务收入（高可靠等）</t>
    <phoneticPr fontId="20" type="noConversion"/>
  </si>
  <si>
    <t>[M.临时]分部表售电收入与电量电价售电收入的差额</t>
    <phoneticPr fontId="20" type="noConversion"/>
  </si>
  <si>
    <t>营业收入</t>
    <phoneticPr fontId="20" type="noConversion"/>
  </si>
  <si>
    <t>资产总额</t>
    <phoneticPr fontId="20" type="noConversion"/>
  </si>
  <si>
    <t>利润总额</t>
    <phoneticPr fontId="20" type="noConversion"/>
  </si>
  <si>
    <t>净资产收益率</t>
  </si>
  <si>
    <t>带息负债</t>
    <phoneticPr fontId="20" type="noConversion"/>
  </si>
  <si>
    <t>净利润</t>
    <phoneticPr fontId="20" type="noConversion"/>
  </si>
  <si>
    <t>电量年均增速假设情景</t>
  </si>
  <si>
    <t>利润及投资不变</t>
  </si>
  <si>
    <t>2020年输配电价水平</t>
  </si>
  <si>
    <t>输配电价提价需求</t>
  </si>
  <si>
    <t>电价及投资不变</t>
  </si>
  <si>
    <t>2020年当年利润</t>
  </si>
  <si>
    <t>利润及电价不变</t>
  </si>
  <si>
    <t>投资能力下降</t>
  </si>
  <si>
    <t>——</t>
    <phoneticPr fontId="20" type="noConversion"/>
  </si>
  <si>
    <t>每增加0.1元，增加**亿元</t>
    <phoneticPr fontId="20" type="noConversion"/>
  </si>
  <si>
    <t>无形资产摊销（全口径）</t>
    <phoneticPr fontId="20" type="noConversion"/>
  </si>
  <si>
    <t>调整额</t>
    <phoneticPr fontId="71" type="noConversion"/>
  </si>
  <si>
    <t>每增加1百分点，增加**亿元</t>
    <phoneticPr fontId="20" type="noConversion"/>
  </si>
  <si>
    <t xml:space="preserve">2018-2020年累计利润 </t>
    <phoneticPr fontId="20" type="noConversion"/>
  </si>
  <si>
    <t xml:space="preserve">2018-2020年总投资能力 </t>
    <phoneticPr fontId="20" type="noConversion"/>
  </si>
  <si>
    <t>每增加1万，减少**亿元</t>
    <phoneticPr fontId="20" type="noConversion"/>
  </si>
  <si>
    <t>&lt;GUN ALL&gt;</t>
    <phoneticPr fontId="20" type="noConversion"/>
  </si>
  <si>
    <t>F1</t>
    <phoneticPr fontId="20" type="noConversion"/>
  </si>
  <si>
    <t>大量细节调整，定型</t>
    <phoneticPr fontId="20" type="noConversion"/>
  </si>
  <si>
    <t>R</t>
    <phoneticPr fontId="20" type="noConversion"/>
  </si>
  <si>
    <t>&lt;固定资产&gt;</t>
    <phoneticPr fontId="20" type="noConversion"/>
  </si>
  <si>
    <t>删除固定资产（SAP模式），重新使用Legacy模式</t>
    <phoneticPr fontId="20" type="noConversion"/>
  </si>
  <si>
    <t>E8</t>
    <phoneticPr fontId="20" type="noConversion"/>
  </si>
  <si>
    <t>A</t>
    <phoneticPr fontId="20" type="noConversion"/>
  </si>
  <si>
    <t>A</t>
    <phoneticPr fontId="20" type="noConversion"/>
  </si>
  <si>
    <t>&lt;17分部&gt;&lt;17成本&gt;</t>
    <phoneticPr fontId="20" type="noConversion"/>
  </si>
  <si>
    <t>新增&lt;17分部&gt;、&lt;17成本&gt;表，数据为2017年快报数</t>
    <phoneticPr fontId="20" type="noConversion"/>
  </si>
  <si>
    <t>E7</t>
    <phoneticPr fontId="20" type="noConversion"/>
  </si>
  <si>
    <t>&lt;十三五报表&gt;</t>
    <phoneticPr fontId="20" type="noConversion"/>
  </si>
  <si>
    <t>新增&lt;十三五报表&gt;，用于十三五修编相关数据的取数</t>
    <phoneticPr fontId="20" type="noConversion"/>
  </si>
  <si>
    <t>E9</t>
    <phoneticPr fontId="20" type="noConversion"/>
  </si>
  <si>
    <t>&lt;敏感性分析&gt;</t>
    <phoneticPr fontId="20" type="noConversion"/>
  </si>
  <si>
    <t>固定资产投资以1万步长调整；售电量增长率、折旧率、修理费率以1百分点调整</t>
    <phoneticPr fontId="20" type="noConversion"/>
  </si>
  <si>
    <t>E10</t>
    <phoneticPr fontId="20" type="noConversion"/>
  </si>
  <si>
    <t>&lt;Codename: Moonshine, Ausf. F &gt;</t>
    <phoneticPr fontId="20" type="noConversion"/>
  </si>
  <si>
    <t>☑对下一预算年度预测前，请先录入基础数据，再调整预算年度。</t>
    <phoneticPr fontId="20" type="noConversion"/>
  </si>
  <si>
    <t>&lt;假设&gt;</t>
    <phoneticPr fontId="20" type="noConversion"/>
  </si>
  <si>
    <t>&lt;GUN ALL&gt;</t>
    <phoneticPr fontId="20" type="noConversion"/>
  </si>
  <si>
    <t>常规迭代</t>
    <phoneticPr fontId="20" type="noConversion"/>
  </si>
  <si>
    <t>E2-E6</t>
    <phoneticPr fontId="20" type="noConversion"/>
  </si>
  <si>
    <t>E11</t>
    <phoneticPr fontId="20" type="noConversion"/>
  </si>
  <si>
    <t>[!]</t>
    <phoneticPr fontId="20" type="noConversion"/>
  </si>
  <si>
    <t>A = Add, R = Revised, D = Delete, C = Custom Change, [!] = Critical Change</t>
    <phoneticPr fontId="20" type="noConversion"/>
  </si>
  <si>
    <t>实际售电量(亿千瓦时)</t>
    <phoneticPr fontId="20" type="noConversion"/>
  </si>
  <si>
    <t>2017年&lt;分部&gt;表的售电收入与电量电价计算的存在约300亿的差异，此差异为高可靠等其他电网收入，为考虑这部分的收入，在预测售电收入时单独预测该类业务的收入</t>
    <phoneticPr fontId="20" type="noConversion"/>
  </si>
  <si>
    <t>调整前</t>
  </si>
  <si>
    <t>调整后</t>
    <phoneticPr fontId="20" type="noConversion"/>
  </si>
  <si>
    <t>C</t>
    <phoneticPr fontId="20" type="noConversion"/>
  </si>
  <si>
    <t>&lt;假设&gt;</t>
    <phoneticPr fontId="20" type="noConversion"/>
  </si>
  <si>
    <t>根据资金处反馈意见，将18、19、20年最低现金存量由1100调减至800</t>
    <phoneticPr fontId="20" type="noConversion"/>
  </si>
  <si>
    <t>F2</t>
    <phoneticPr fontId="20" type="noConversion"/>
  </si>
  <si>
    <t>[M]手工输入</t>
    <phoneticPr fontId="20" type="noConversion"/>
  </si>
  <si>
    <t>由于[31]的调整，调整其他成本费用比例，18年2.6128%-&gt;2.6234%，19年2.59%-&gt;2.6105%，20年2.56%-&gt;2.581%</t>
    <phoneticPr fontId="20" type="noConversion"/>
  </si>
  <si>
    <t>C</t>
    <phoneticPr fontId="20" type="noConversion"/>
  </si>
  <si>
    <t>流动资产部分</t>
    <phoneticPr fontId="20" type="noConversion"/>
  </si>
  <si>
    <t>流动负债部分</t>
    <phoneticPr fontId="20" type="noConversion"/>
  </si>
  <si>
    <t>——变动</t>
    <phoneticPr fontId="20" type="noConversion"/>
  </si>
  <si>
    <t>应收账款相关</t>
    <phoneticPr fontId="20" type="noConversion"/>
  </si>
  <si>
    <t>——应收账款和票据</t>
    <phoneticPr fontId="20" type="noConversion"/>
  </si>
  <si>
    <t>——预收款项</t>
    <phoneticPr fontId="20" type="noConversion"/>
  </si>
  <si>
    <t>固定资产累计折旧</t>
    <phoneticPr fontId="20" type="noConversion"/>
  </si>
  <si>
    <t>——应缴税费</t>
    <phoneticPr fontId="20" type="noConversion"/>
  </si>
  <si>
    <t>F3</t>
    <phoneticPr fontId="20" type="noConversion"/>
  </si>
  <si>
    <t>调整应收账款、预收款项、应交税费的基准测算逻辑，使营运资本变动维持在-300</t>
    <phoneticPr fontId="20" type="noConversion"/>
  </si>
  <si>
    <t>&lt;关键参数测算&gt;</t>
    <phoneticPr fontId="20" type="noConversion"/>
  </si>
  <si>
    <t>C</t>
    <phoneticPr fontId="20" type="noConversion"/>
  </si>
  <si>
    <t>&lt;发展投入&gt;</t>
    <phoneticPr fontId="20" type="noConversion"/>
  </si>
  <si>
    <t>更新发展投入参数</t>
    <phoneticPr fontId="20" type="noConversion"/>
  </si>
  <si>
    <t>十三五期间</t>
    <phoneticPr fontId="20" type="noConversion"/>
  </si>
  <si>
    <t xml:space="preserve">  产业</t>
  </si>
  <si>
    <t xml:space="preserve">  金融</t>
  </si>
  <si>
    <t>18年-20年</t>
    <phoneticPr fontId="20" type="noConversion"/>
  </si>
  <si>
    <t>——</t>
  </si>
  <si>
    <t>C</t>
    <phoneticPr fontId="20" type="noConversion"/>
  </si>
  <si>
    <t>&lt;历史损益表&gt;&lt;历史资产负债&gt;</t>
    <phoneticPr fontId="20" type="noConversion"/>
  </si>
  <si>
    <t>更新2015年数据</t>
    <phoneticPr fontId="20" type="noConversion"/>
  </si>
  <si>
    <t>F5</t>
    <phoneticPr fontId="20" type="noConversion"/>
  </si>
  <si>
    <t>R</t>
    <phoneticPr fontId="20" type="noConversion"/>
  </si>
  <si>
    <t>&lt;十三五报表&gt;</t>
    <phoneticPr fontId="20" type="noConversion"/>
  </si>
  <si>
    <t>资金平衡删除营运资本变动的逻辑，使资金需求往3554凑</t>
    <phoneticPr fontId="20" type="noConversion"/>
  </si>
  <si>
    <t>1、成本监审结果</t>
  </si>
  <si>
    <t>单位：万元</t>
  </si>
  <si>
    <t>项目名称</t>
  </si>
  <si>
    <t>基期</t>
  </si>
  <si>
    <t>备注</t>
  </si>
  <si>
    <t>一、运行维护费</t>
  </si>
  <si>
    <t>材料费</t>
  </si>
  <si>
    <t>按成本监审数据填写。</t>
  </si>
  <si>
    <t>修理费</t>
  </si>
  <si>
    <t>职工薪酬</t>
  </si>
  <si>
    <t>其他费用</t>
  </si>
  <si>
    <t>其中：无形资产摊销</t>
  </si>
  <si>
    <t>其中：农维费</t>
    <phoneticPr fontId="132" type="noConversion"/>
  </si>
  <si>
    <t>农维费占其他费用比</t>
    <phoneticPr fontId="132" type="noConversion"/>
  </si>
  <si>
    <t>二、折旧费</t>
  </si>
  <si>
    <t>一般性资产折旧</t>
    <phoneticPr fontId="132" type="noConversion"/>
  </si>
  <si>
    <t xml:space="preserve">      政策性资产折旧</t>
  </si>
  <si>
    <t>三、有效资产（需与期初资产负债表一致）</t>
    <phoneticPr fontId="132" type="noConversion"/>
  </si>
  <si>
    <t>取《输配电定价成本监审调查表》表12数据，其中不纳入可计提收益的固定资产范围详见解释1。</t>
  </si>
  <si>
    <t>一般性有效资产净值</t>
    <phoneticPr fontId="132" type="noConversion"/>
  </si>
  <si>
    <t>固定资产净值</t>
    <phoneticPr fontId="132" type="noConversion"/>
  </si>
  <si>
    <t>无形资产净值</t>
    <phoneticPr fontId="132" type="noConversion"/>
  </si>
  <si>
    <t>政策性有效资产净值</t>
    <phoneticPr fontId="132" type="noConversion"/>
  </si>
  <si>
    <t>四、应扣除的收入</t>
  </si>
  <si>
    <t>1.高可靠性供电收入</t>
  </si>
  <si>
    <t>2.自备电厂备用容量费</t>
  </si>
  <si>
    <t>3.可再生能源附加收入（对应电网企业投资的接网工程）</t>
  </si>
  <si>
    <t>4.电气化铁路供电配套工程还贷电价加价收入</t>
  </si>
  <si>
    <t>5.“一省多贷”返还收入</t>
  </si>
  <si>
    <t>6.政府补助(不含一次性补助收入)</t>
  </si>
  <si>
    <t>特高压投资对应收入</t>
  </si>
  <si>
    <t>7.省内共用网络服务跨区跨省电力交易取得的输电收入收入</t>
  </si>
  <si>
    <t>8.其他应扣除的收入</t>
  </si>
  <si>
    <t>农维费免税影响</t>
  </si>
  <si>
    <t>五、监管周期前一年营业收入</t>
  </si>
  <si>
    <t>六、营运资金</t>
  </si>
  <si>
    <t>按监管周期前一年度营业收入的10%核定。</t>
  </si>
  <si>
    <t>2、准许收益率计算</t>
  </si>
  <si>
    <t>单位：%</t>
  </si>
  <si>
    <t>加权平均资本收益率</t>
  </si>
  <si>
    <t>无风险收益率</t>
  </si>
  <si>
    <t>本监管周期初始年前一年1月1日-6月30日国家10年期国债平均收益率。</t>
  </si>
  <si>
    <t>权益资本收益率</t>
  </si>
  <si>
    <t>可参考监管周期前三年实际税后净资产收益率核定。</t>
  </si>
  <si>
    <t>加权平均权益资本收益率</t>
    <phoneticPr fontId="132" type="noConversion"/>
  </si>
  <si>
    <t>一般性有效资产权益资本收益率</t>
    <phoneticPr fontId="132" type="noConversion"/>
  </si>
  <si>
    <t>按无风险收益率加不超过4个百分点核定。</t>
  </si>
  <si>
    <t>政策性有效资产权益资本收益率</t>
  </si>
  <si>
    <t>按1%核定。</t>
  </si>
  <si>
    <t>债务资本收益率</t>
  </si>
  <si>
    <t>如电网企业实际借款利率高于同期人民币贷款基准利率，按照基准利率核定；如电网企业实际借款利率低于基准利率，按照实际借款利率加二者差额的50%核定。</t>
  </si>
  <si>
    <t>参照监管周期初始年前3年电网企业实际资产负债率平均值核定。</t>
  </si>
  <si>
    <t>综合折旧率</t>
    <phoneticPr fontId="132" type="noConversion"/>
  </si>
  <si>
    <t>材料费率</t>
    <phoneticPr fontId="132" type="noConversion"/>
  </si>
  <si>
    <t>修理费率</t>
    <phoneticPr fontId="132" type="noConversion"/>
  </si>
  <si>
    <t>其他费用费率</t>
    <phoneticPr fontId="132" type="noConversion"/>
  </si>
  <si>
    <t>省级电网共用网络输配电量增长率</t>
    <phoneticPr fontId="132" type="noConversion"/>
  </si>
  <si>
    <t>3、固定资产变化预测</t>
  </si>
  <si>
    <t>2016年</t>
    <phoneticPr fontId="132" type="noConversion"/>
  </si>
  <si>
    <t>2017年</t>
  </si>
  <si>
    <t>2018年</t>
  </si>
  <si>
    <t>2019年</t>
    <phoneticPr fontId="132" type="noConversion"/>
  </si>
  <si>
    <t>2020年</t>
  </si>
  <si>
    <t>2021年</t>
  </si>
  <si>
    <t>2022年</t>
  </si>
  <si>
    <t>规划新增输配电固定资产投资额（不含税）</t>
    <phoneticPr fontId="132" type="noConversion"/>
  </si>
  <si>
    <t>预计新增用户资产按零考虑</t>
  </si>
  <si>
    <t>规划新增输配电固定资产投资额（联动）</t>
    <phoneticPr fontId="132" type="noConversion"/>
  </si>
  <si>
    <t>预测减少的固定资产原值</t>
  </si>
  <si>
    <t>其中：退役、报废的固定资产和摊销完毕的无形资产</t>
  </si>
  <si>
    <t xml:space="preserve">     已计提完折旧仍在使用的固定资产</t>
  </si>
  <si>
    <t>预测新增政策性投资</t>
  </si>
  <si>
    <t>新增投资计入固定资产比率</t>
  </si>
  <si>
    <t>解释1：不纳入可计提收益的固定资产范围详见《省级电网输配电定价办法》，其中与省内共用网络输配电业务无关的资产包括：承担电网建设相关职能的设计院、工程公司、监理公司等单位资产；宾馆、招待所、培训中心、办事处、医疗单位等资产；发电资产（指电网所属且已单独核定上网电价的电厂，2002年国务院发布的电力体制改革方案中明确由电网保留的内部核算电厂除外）；抽水蓄能电站；与输配电业务无关的对外股权投资；投资性固定资产（如房地产等）；其他需扣除的与省内共用网络输配电业务无关的资产（如电动汽车充换电设施）等。</t>
  </si>
  <si>
    <t>解释2：政策性有效资产认定，自1998年农网改造开始时算起。</t>
  </si>
  <si>
    <t>4、无形资产变化预测</t>
    <phoneticPr fontId="132" type="noConversion"/>
  </si>
  <si>
    <t>无形资产增加额</t>
    <phoneticPr fontId="132" type="noConversion"/>
  </si>
  <si>
    <t>国网公司准许收入和平均输配电价测算表</t>
  </si>
  <si>
    <t>首个监管周期</t>
    <phoneticPr fontId="132" type="noConversion"/>
  </si>
  <si>
    <t>下个监管周期</t>
    <phoneticPr fontId="132" type="noConversion"/>
  </si>
  <si>
    <t>首个监管周期调整</t>
    <phoneticPr fontId="132" type="noConversion"/>
  </si>
  <si>
    <t>一、准许成本</t>
  </si>
  <si>
    <t>（一）基期准许成本</t>
  </si>
  <si>
    <t>1.运行维护费</t>
  </si>
  <si>
    <t>其中，无形资产摊销</t>
  </si>
  <si>
    <t>无形资产摊销是其他费用中的一个项目，此处单独列出是为了计算2017年至2019年有效资产的无形资产净值，使其逐年摊销减少。</t>
  </si>
  <si>
    <t>2.折旧费</t>
  </si>
  <si>
    <t>一般性资产和政策性资产的折旧政策相同，此处分开是为了计算后三年一般性资产和政策性资产的净值，因为两者的收益不同。</t>
  </si>
  <si>
    <t>一般性资产折旧</t>
  </si>
  <si>
    <t>政策性资产折旧</t>
  </si>
  <si>
    <t>（二）预测新增成本</t>
  </si>
  <si>
    <t>1.新增折旧费</t>
  </si>
  <si>
    <t>新增可计提折旧的自有固定资产原值</t>
  </si>
  <si>
    <t>考虑新增固定资产进项税抵扣。</t>
  </si>
  <si>
    <t>新增可计提折旧的政策性固定资产原值</t>
  </si>
  <si>
    <t>新增资产综合折旧率</t>
  </si>
  <si>
    <t>如新增资产实际结构无法确定的，可参照历史资产实际结构确定。（非自动生成，需要填写）</t>
  </si>
  <si>
    <t xml:space="preserve">   2.新增运行维护费</t>
  </si>
  <si>
    <t>材料费(&lt;=1%)</t>
  </si>
  <si>
    <t>新增材料费和修理费分别按不高于预测年度的新增固定资产原值的1%和1.5%确定，不意味一定要按1%和1.5%计算。如各地确定的比例低于此标准，可相应调整此公式的系数，按当地实际比例计算。</t>
  </si>
  <si>
    <t>修理费(&lt;=1.5%）</t>
  </si>
  <si>
    <t>参考国务院国有资产管理部门核定的职工工资总额核定。首个监管周期按零增长。</t>
  </si>
  <si>
    <t>参考不高于电网经营企业监管期初前三年历史费率水平的70%，同时不高于监管周期新增固定资产原值2.5%核定。</t>
  </si>
  <si>
    <t>二、准许收益</t>
  </si>
  <si>
    <t>（一）一般性有效资产准许收益</t>
  </si>
  <si>
    <t>计算准许收益的有效资产采用年初数。</t>
  </si>
  <si>
    <t>无形资产净值</t>
  </si>
  <si>
    <t>营运资金</t>
  </si>
  <si>
    <t>（二）政策性有效资产准许收益</t>
  </si>
  <si>
    <t>政策性有效资产净值</t>
  </si>
  <si>
    <t>三、税金及附加</t>
  </si>
  <si>
    <t>（一）所得税</t>
  </si>
  <si>
    <t>（二）城市维护建设税和教育费附加（7%+5%）</t>
  </si>
  <si>
    <t>相关抵扣进项税为材料费的17%、修理费的3%以及新增固定资产增值税抵扣额之和。</t>
  </si>
  <si>
    <t>四、准许总收入</t>
  </si>
  <si>
    <t>五、应扣除的收入</t>
  </si>
  <si>
    <t>非自动生成，需要填写。</t>
  </si>
  <si>
    <t>八、省级电网平均输配电价（含增值税）</t>
  </si>
  <si>
    <t>九、省级电网平均输配电价（不含增值税）</t>
    <phoneticPr fontId="132" type="noConversion"/>
  </si>
  <si>
    <t>2017-2019年平均输配电价（含增值税）</t>
    <phoneticPr fontId="132" type="noConversion"/>
  </si>
  <si>
    <t>2020-2022年平均输配电价（含增值税）</t>
    <phoneticPr fontId="132" type="noConversion"/>
  </si>
  <si>
    <t>差  价</t>
  </si>
  <si>
    <t>2017-2020年平均输配电价（不含增值税）</t>
    <phoneticPr fontId="20" type="noConversion"/>
  </si>
  <si>
    <t>2020-2023年平均输配电价（含增值税）</t>
  </si>
  <si>
    <t>EBIT利息覆盖率</t>
  </si>
  <si>
    <t>总有息债/总资本</t>
  </si>
  <si>
    <t>总有息债/EBITDA</t>
  </si>
  <si>
    <t>营运现金流/总有息债</t>
  </si>
  <si>
    <t>（除营运资本变动外经营性现金流+利息）/利息</t>
  </si>
  <si>
    <t>年增长率</t>
  </si>
  <si>
    <t>指标</t>
  </si>
  <si>
    <t>EVA</t>
  </si>
  <si>
    <t>营业税金及附加</t>
    <phoneticPr fontId="20" type="noConversion"/>
  </si>
  <si>
    <t>管理费用</t>
    <phoneticPr fontId="20" type="noConversion"/>
  </si>
  <si>
    <t>负债总额</t>
    <phoneticPr fontId="20" type="noConversion"/>
  </si>
  <si>
    <t>经济增加值</t>
    <phoneticPr fontId="20" type="noConversion"/>
  </si>
  <si>
    <t>利息支出（费用化部分）</t>
    <phoneticPr fontId="20" type="noConversion"/>
  </si>
  <si>
    <t>资本成本</t>
    <phoneticPr fontId="20" type="noConversion"/>
  </si>
  <si>
    <t>平均所有者权益</t>
    <phoneticPr fontId="20" type="noConversion"/>
  </si>
  <si>
    <t>平均在建工程</t>
    <phoneticPr fontId="20" type="noConversion"/>
  </si>
  <si>
    <t>加权平均资本成本率</t>
    <phoneticPr fontId="20" type="noConversion"/>
  </si>
  <si>
    <t>股权资本成本率</t>
    <phoneticPr fontId="20" type="noConversion"/>
  </si>
  <si>
    <t>负债/资产</t>
    <phoneticPr fontId="20" type="noConversion"/>
  </si>
  <si>
    <t>净利润+（利息支出+研究开发费用调整项-非经常性收益调整项×50%）×（1-25%）-（平均所有者权益+平均负债合计-平均无息流动负债-平均在建工程）*平均资本成本率</t>
    <phoneticPr fontId="20" type="noConversion"/>
  </si>
  <si>
    <t>规划目标</t>
  </si>
  <si>
    <t>预测期第一年指标值</t>
  </si>
  <si>
    <t>目标上限</t>
  </si>
  <si>
    <t>目标下限</t>
  </si>
  <si>
    <t>最大</t>
  </si>
  <si>
    <t>资产负债率</t>
    <phoneticPr fontId="132" type="noConversion"/>
  </si>
  <si>
    <t>初值</t>
  </si>
  <si>
    <t>决策变量</t>
  </si>
  <si>
    <t>最优解</t>
  </si>
  <si>
    <t>边界上限</t>
  </si>
  <si>
    <t>边界下限</t>
  </si>
  <si>
    <t>单位</t>
  </si>
  <si>
    <t>%</t>
  </si>
  <si>
    <t>+</t>
  </si>
  <si>
    <t>-</t>
  </si>
  <si>
    <t>主营业务收入</t>
    <phoneticPr fontId="20" type="noConversion"/>
  </si>
  <si>
    <t>资产负债率考核目标</t>
    <phoneticPr fontId="20" type="noConversion"/>
  </si>
  <si>
    <t>利润总额考核目标</t>
    <phoneticPr fontId="20" type="noConversion"/>
  </si>
  <si>
    <t>经济增加值考核目标</t>
    <phoneticPr fontId="20" type="noConversion"/>
  </si>
  <si>
    <t>利润总额</t>
    <phoneticPr fontId="20" type="noConversion"/>
  </si>
  <si>
    <t>亿元</t>
    <phoneticPr fontId="20" type="noConversion"/>
  </si>
  <si>
    <t>元/兆瓦时</t>
    <phoneticPr fontId="20" type="noConversion"/>
  </si>
  <si>
    <t>售电量增幅</t>
    <phoneticPr fontId="20" type="noConversion"/>
  </si>
  <si>
    <t>折旧率</t>
    <phoneticPr fontId="20" type="noConversion"/>
  </si>
  <si>
    <t>NO</t>
  </si>
  <si>
    <t>——增长率（输入）</t>
    <phoneticPr fontId="20" type="noConversion"/>
  </si>
  <si>
    <t>输配电价</t>
    <phoneticPr fontId="20" type="noConversion"/>
  </si>
  <si>
    <t>合计</t>
    <phoneticPr fontId="132" type="noConversion"/>
  </si>
  <si>
    <t>投资规模-含税</t>
    <phoneticPr fontId="132" type="noConversion"/>
  </si>
  <si>
    <t>目标上限</t>
    <phoneticPr fontId="132" type="noConversion"/>
  </si>
  <si>
    <t>目标下限</t>
    <phoneticPr fontId="132" type="noConversion"/>
  </si>
  <si>
    <t>EVA</t>
    <phoneticPr fontId="20" type="noConversion"/>
  </si>
  <si>
    <t>默认</t>
    <phoneticPr fontId="20" type="noConversion"/>
  </si>
  <si>
    <t>应用场景设置：（对应的场景改为"YES",其他均为“NO”，点击”→“）</t>
    <phoneticPr fontId="20" type="noConversion"/>
  </si>
  <si>
    <r>
      <rPr>
        <b/>
        <sz val="11"/>
        <color rgb="FFFF0000"/>
        <rFont val="微软雅黑"/>
        <family val="2"/>
        <charset val="134"/>
      </rPr>
      <t>提示：</t>
    </r>
    <r>
      <rPr>
        <sz val="11"/>
        <rFont val="微软雅黑"/>
        <family val="2"/>
        <charset val="134"/>
      </rPr>
      <t>……</t>
    </r>
    <phoneticPr fontId="132" type="noConversion"/>
  </si>
  <si>
    <t>调整</t>
    <phoneticPr fontId="20" type="noConversion"/>
  </si>
  <si>
    <t>收入</t>
  </si>
  <si>
    <t>（一）基础指标</t>
    <phoneticPr fontId="71" type="noConversion"/>
  </si>
  <si>
    <t>总资产收益率</t>
    <phoneticPr fontId="71" type="noConversion"/>
  </si>
  <si>
    <t>总有息债</t>
  </si>
  <si>
    <t>净有息债</t>
  </si>
  <si>
    <t>营运现金流（FFO)</t>
    <phoneticPr fontId="71" type="noConversion"/>
  </si>
  <si>
    <t xml:space="preserve"> =EBITDA - 财务费用 - 所得税费用 - 资本化利息支出</t>
  </si>
  <si>
    <t>留存现金流</t>
    <phoneticPr fontId="71" type="noConversion"/>
  </si>
  <si>
    <t>除营运资本变动外经营性现金流</t>
  </si>
  <si>
    <t>（二）信贷指标</t>
    <phoneticPr fontId="71" type="noConversion"/>
  </si>
  <si>
    <t>总资本＝总有息债＋所有者权益</t>
    <phoneticPr fontId="71" type="noConversion"/>
  </si>
  <si>
    <t>净有息债/净资本</t>
  </si>
  <si>
    <t>净有息债/EBITDA</t>
  </si>
  <si>
    <t>EBITDA利息覆盖率</t>
  </si>
  <si>
    <t>净有息债/营运现金流</t>
  </si>
  <si>
    <t>留存现金流/总有息债</t>
  </si>
  <si>
    <t>除营运资本变动外经营性现金流 / 总有息债</t>
  </si>
  <si>
    <t>自由营运现金流 / 总债务</t>
  </si>
  <si>
    <t>自由营运现金流＝经营活动现金净流量－资本性支出</t>
    <phoneticPr fontId="71" type="noConversion"/>
  </si>
  <si>
    <t>现金/短期借款</t>
  </si>
  <si>
    <t>净利润/平均净资产</t>
  </si>
  <si>
    <t>净利润/平均总资产</t>
  </si>
  <si>
    <t>毛利润</t>
  </si>
  <si>
    <t>毛利润率</t>
  </si>
  <si>
    <t>EBITDA（不包含投资收益）</t>
  </si>
  <si>
    <t>EBITDA率</t>
  </si>
  <si>
    <t>EBIT（不包含投资收益）</t>
  </si>
  <si>
    <t>EBIT率</t>
  </si>
  <si>
    <t>归属股东净利润</t>
  </si>
  <si>
    <t>净利润率</t>
  </si>
  <si>
    <t>一、主要损益表科目</t>
    <phoneticPr fontId="71" type="noConversion"/>
  </si>
  <si>
    <t>二、主要资产负债表科目</t>
    <phoneticPr fontId="71" type="noConversion"/>
  </si>
  <si>
    <t>现金和银行存款</t>
  </si>
  <si>
    <t>总资产</t>
  </si>
  <si>
    <t>短期借款和一年内到期的付息债务</t>
    <phoneticPr fontId="71" type="noConversion"/>
  </si>
  <si>
    <t>长期债券</t>
  </si>
  <si>
    <t>总负债</t>
  </si>
  <si>
    <t>归属股东的权益</t>
  </si>
  <si>
    <t>三、主要现金流量表科目</t>
    <phoneticPr fontId="71" type="noConversion"/>
  </si>
  <si>
    <t>折旧和摊销</t>
  </si>
  <si>
    <t>资本性支出</t>
  </si>
  <si>
    <t>投资性现金流</t>
  </si>
  <si>
    <t>筹资性现金流</t>
  </si>
  <si>
    <t>净现金流</t>
  </si>
  <si>
    <t>四、主要经营指标</t>
    <phoneticPr fontId="71" type="noConversion"/>
  </si>
  <si>
    <t>售电量（百万千瓦时）</t>
  </si>
  <si>
    <t>年增长率（原始数据）</t>
    <phoneticPr fontId="71" type="noConversion"/>
  </si>
  <si>
    <t>年增长率（经调整自备电厂电量）</t>
    <phoneticPr fontId="71" type="noConversion"/>
  </si>
  <si>
    <t>售电均价（元/兆瓦时）</t>
  </si>
  <si>
    <t>售电均价增长（％）</t>
    <phoneticPr fontId="71" type="noConversion"/>
  </si>
  <si>
    <t>购电均价（元/兆瓦时）</t>
  </si>
  <si>
    <t>购电均价增长（％）</t>
    <phoneticPr fontId="71" type="noConversion"/>
  </si>
  <si>
    <t>购售价差（元/兆瓦时）</t>
  </si>
  <si>
    <t>购售价差增长（％）</t>
    <phoneticPr fontId="71" type="noConversion"/>
  </si>
  <si>
    <t>现金</t>
    <phoneticPr fontId="20" type="noConversion"/>
  </si>
  <si>
    <t>输出：国资委考核指标</t>
    <phoneticPr fontId="20" type="noConversion"/>
  </si>
  <si>
    <t>输出：主要评级指标</t>
    <phoneticPr fontId="20" type="noConversion"/>
  </si>
  <si>
    <t>输出：主要经济指标</t>
    <phoneticPr fontId="20" type="noConversion"/>
  </si>
  <si>
    <t xml:space="preserve">         其中：研究与开发费</t>
  </si>
  <si>
    <t xml:space="preserve">               当期确认为无形资产的研究开发支出</t>
  </si>
  <si>
    <t xml:space="preserve">               勘探费用*</t>
  </si>
  <si>
    <t xml:space="preserve">       其中：银行、保险、证券企业平均带息负债</t>
  </si>
  <si>
    <t>税后净营业利润（NOPAT）</t>
    <phoneticPr fontId="20" type="noConversion"/>
  </si>
  <si>
    <t>研究开发费调整项</t>
    <phoneticPr fontId="20" type="noConversion"/>
  </si>
  <si>
    <t>调整后资本</t>
    <phoneticPr fontId="20" type="noConversion"/>
  </si>
  <si>
    <t>债权资本成本率</t>
    <phoneticPr fontId="20" type="noConversion"/>
  </si>
  <si>
    <t xml:space="preserve">            其中:利息支出总额</t>
  </si>
  <si>
    <t>“财务费用”项下的“利息支出”</t>
    <phoneticPr fontId="20" type="noConversion"/>
  </si>
  <si>
    <t>“管理费用”项下的“研究与开发费”和当期确认为无形资产的研究开发支出</t>
    <phoneticPr fontId="20" type="noConversion"/>
  </si>
  <si>
    <t>对于为获取国家战略资源，勘探投入费用较大的企业，经国资委认定后，将其成本费用情况表中的“勘探费用”视同研究开发费用调整项按照一定比例（原则上不超过50%）予以加回</t>
    <phoneticPr fontId="20" type="noConversion"/>
  </si>
  <si>
    <t>平均无息流动负债</t>
    <phoneticPr fontId="20" type="noConversion"/>
  </si>
  <si>
    <t>“应付票据”、“应付账款”、“预收款项”、“应交税费”、“应付利息”、“其他应付款”和“其他流动负债”；对于因承担国家任务等原因造成“专项应付款”、“特种储备基金”余额较大的，可视同无息流动负债扣除</t>
    <phoneticPr fontId="20" type="noConversion"/>
  </si>
  <si>
    <t>符合主业规定的“在建工程”</t>
    <phoneticPr fontId="20" type="noConversion"/>
  </si>
  <si>
    <t>央企5.5%；承担国家政策性任务较重且资产通用性较差的企业，资本成本率定为4.1%；资产负债率在75%以上的工业企业和80%以上的非工业企业，资本成本率上浮0.5个百分点</t>
    <phoneticPr fontId="20" type="noConversion"/>
  </si>
  <si>
    <t>单位：万元</t>
    <phoneticPr fontId="20" type="noConversion"/>
  </si>
  <si>
    <t>省级电网共用网络输配电量</t>
    <phoneticPr fontId="20" type="noConversion"/>
  </si>
  <si>
    <t>六、通过省内输配电价回收的收入（万元）</t>
    <phoneticPr fontId="20" type="noConversion"/>
  </si>
  <si>
    <t>七、省级电网共用网络输配电量（万千瓦时）</t>
    <phoneticPr fontId="132" type="noConversion"/>
  </si>
  <si>
    <t>新增投资与经营预测相同</t>
    <phoneticPr fontId="20" type="noConversion"/>
  </si>
  <si>
    <t>折旧率与经营预测相同</t>
    <phoneticPr fontId="20" type="noConversion"/>
  </si>
  <si>
    <t>新增运维费与经营预测相同</t>
    <phoneticPr fontId="20" type="noConversion"/>
  </si>
  <si>
    <t>核价情况</t>
    <phoneticPr fontId="20" type="noConversion"/>
  </si>
  <si>
    <t>准许收入</t>
    <phoneticPr fontId="20" type="noConversion"/>
  </si>
  <si>
    <t>平均输配电价(含税）</t>
    <phoneticPr fontId="20" type="noConversion"/>
  </si>
  <si>
    <t>平均输配电价(不含税）</t>
    <phoneticPr fontId="20" type="noConversion"/>
  </si>
  <si>
    <t>方案Ⅰ：投资规模、折旧率、新增运维成本与经营预测一致</t>
    <phoneticPr fontId="20" type="noConversion"/>
  </si>
  <si>
    <t>二、基于准许收入调整规则分析</t>
    <phoneticPr fontId="20" type="noConversion"/>
  </si>
  <si>
    <t>（1）投资规模小于核价投资的，核减对应的准许收入的70%</t>
    <phoneticPr fontId="20" type="noConversion"/>
  </si>
  <si>
    <t>核价投资规模</t>
    <phoneticPr fontId="20" type="noConversion"/>
  </si>
  <si>
    <t>实际投资规模</t>
    <phoneticPr fontId="20" type="noConversion"/>
  </si>
  <si>
    <t>核价准许收入</t>
    <phoneticPr fontId="20" type="noConversion"/>
  </si>
  <si>
    <t>实际投资对应准许收入</t>
    <phoneticPr fontId="20" type="noConversion"/>
  </si>
  <si>
    <t>准许收入差额</t>
    <phoneticPr fontId="20" type="noConversion"/>
  </si>
  <si>
    <t>监管周期内若某个年度电网企业预测新增的固定资产与实际差异不超过20%（含20%）时，则当年准许收入和输配电价在本周期不作调整，其差额在下一个监管周期予以调整。若变动差异超过20%，则调整本监管周期内电网企业的准许收入和输配电价。</t>
    <phoneticPr fontId="20" type="noConversion"/>
  </si>
  <si>
    <t>输配电价平衡账户盈亏超过当年输配电准许收入的6%时，相应对执行政府定价电力用户的销售电价进行调整</t>
    <phoneticPr fontId="20" type="noConversion"/>
  </si>
  <si>
    <t>（2）电网企业通过加强管理，提高效率，使其运营成本低于准许成本，节约的成本可在企业与用户之间进行分享。在一个监管周期内，如果电网实际成本低于核定的准许成本，则节约部分的50%留给企业，并在下一监管周期核价时予以适当考虑。</t>
    <phoneticPr fontId="20" type="noConversion"/>
  </si>
  <si>
    <t>核价准许成本</t>
    <phoneticPr fontId="20" type="noConversion"/>
  </si>
  <si>
    <t>实际准许成本</t>
    <phoneticPr fontId="20" type="noConversion"/>
  </si>
  <si>
    <t>准许成本差额</t>
    <phoneticPr fontId="20" type="noConversion"/>
  </si>
  <si>
    <t>平均核减输配电价</t>
    <phoneticPr fontId="20" type="noConversion"/>
  </si>
  <si>
    <t>核减准许收入（万元）</t>
    <phoneticPr fontId="20" type="noConversion"/>
  </si>
  <si>
    <t>电量（万千瓦时）</t>
    <phoneticPr fontId="20" type="noConversion"/>
  </si>
  <si>
    <t>核减电价水平（元/千千瓦时）</t>
    <phoneticPr fontId="20" type="noConversion"/>
  </si>
  <si>
    <t>差额（实际-核价）</t>
    <phoneticPr fontId="20" type="noConversion"/>
  </si>
  <si>
    <t>实际情况——方案Ⅰ</t>
  </si>
  <si>
    <t>（1）基于假设参数水平计算经营效益（单元格B4为NO）</t>
    <phoneticPr fontId="20" type="noConversion"/>
  </si>
  <si>
    <t>折旧率</t>
    <phoneticPr fontId="20" type="noConversion"/>
  </si>
  <si>
    <t>新增运维费</t>
    <phoneticPr fontId="20" type="noConversion"/>
  </si>
  <si>
    <t>投资规模（万元）</t>
    <phoneticPr fontId="20" type="noConversion"/>
  </si>
  <si>
    <t>材料费（万元）</t>
    <phoneticPr fontId="20" type="noConversion"/>
  </si>
  <si>
    <t>修理费（万元）</t>
    <phoneticPr fontId="20" type="noConversion"/>
  </si>
  <si>
    <t>职工薪酬（万元）</t>
    <phoneticPr fontId="20" type="noConversion"/>
  </si>
  <si>
    <t>其他费用（万元）</t>
    <phoneticPr fontId="20" type="noConversion"/>
  </si>
  <si>
    <t>准许收入（万元）</t>
    <phoneticPr fontId="20" type="noConversion"/>
  </si>
  <si>
    <t>平均输配电价（含税）</t>
    <phoneticPr fontId="20" type="noConversion"/>
  </si>
  <si>
    <t>平均输配电价（不含税）</t>
    <phoneticPr fontId="20" type="noConversion"/>
  </si>
  <si>
    <t>2020-2023年平均输配电价（不含增值税）</t>
    <phoneticPr fontId="20" type="noConversion"/>
  </si>
  <si>
    <t>核价数据</t>
    <phoneticPr fontId="20" type="noConversion"/>
  </si>
  <si>
    <t>投资规模调整</t>
    <phoneticPr fontId="20" type="noConversion"/>
  </si>
  <si>
    <t>折旧率调整</t>
    <phoneticPr fontId="20" type="noConversion"/>
  </si>
  <si>
    <t>材料费调整额</t>
  </si>
  <si>
    <t>修理费调整额</t>
  </si>
  <si>
    <t>职工薪酬调整额</t>
  </si>
  <si>
    <t>其他费用调整额</t>
  </si>
  <si>
    <t>实际经营情况下</t>
    <phoneticPr fontId="20" type="noConversion"/>
  </si>
  <si>
    <t>本周期输配电价</t>
    <phoneticPr fontId="20" type="noConversion"/>
  </si>
  <si>
    <t>含税</t>
    <phoneticPr fontId="20" type="noConversion"/>
  </si>
  <si>
    <t>不含税</t>
    <phoneticPr fontId="20" type="noConversion"/>
  </si>
  <si>
    <t>下周期输配电价</t>
    <phoneticPr fontId="20" type="noConversion"/>
  </si>
  <si>
    <t>核价情况</t>
    <phoneticPr fontId="20" type="noConversion"/>
  </si>
  <si>
    <t>差额</t>
    <phoneticPr fontId="20" type="noConversion"/>
  </si>
  <si>
    <t>本周期总准许收入</t>
  </si>
  <si>
    <t>下周期总准许收入</t>
  </si>
  <si>
    <t>用户资产</t>
    <phoneticPr fontId="20" type="noConversion"/>
  </si>
  <si>
    <t>研究开发费</t>
    <phoneticPr fontId="20" type="noConversion"/>
  </si>
  <si>
    <t>经营净现金流</t>
    <phoneticPr fontId="20" type="noConversion"/>
  </si>
  <si>
    <t>亿元</t>
  </si>
  <si>
    <t>变动单位</t>
    <phoneticPr fontId="20" type="noConversion"/>
  </si>
  <si>
    <t>原值</t>
    <phoneticPr fontId="20" type="noConversion"/>
  </si>
  <si>
    <t>变动后值</t>
    <phoneticPr fontId="20" type="noConversion"/>
  </si>
  <si>
    <t>差额</t>
    <phoneticPr fontId="20" type="noConversion"/>
  </si>
  <si>
    <t>测算场景</t>
    <phoneticPr fontId="20" type="noConversion"/>
  </si>
  <si>
    <t>指标原值</t>
    <phoneticPr fontId="20" type="noConversion"/>
  </si>
  <si>
    <t>售电量增长率</t>
    <phoneticPr fontId="20" type="noConversion"/>
  </si>
  <si>
    <t>1对1、多对1分析投资</t>
    <phoneticPr fontId="20" type="noConversion"/>
  </si>
  <si>
    <t>单变量分析</t>
    <phoneticPr fontId="20" type="noConversion"/>
  </si>
  <si>
    <t>分析状态</t>
    <phoneticPr fontId="20" type="noConversion"/>
  </si>
  <si>
    <t>分析指标</t>
    <phoneticPr fontId="20" type="noConversion"/>
  </si>
  <si>
    <t>分析场景</t>
    <phoneticPr fontId="20" type="noConversion"/>
  </si>
  <si>
    <t>1对1分析</t>
    <phoneticPr fontId="20" type="noConversion"/>
  </si>
  <si>
    <t>多对1分析</t>
    <phoneticPr fontId="20" type="noConversion"/>
  </si>
  <si>
    <t>——</t>
    <phoneticPr fontId="20" type="noConversion"/>
  </si>
  <si>
    <t>自变量之间相互关系</t>
    <phoneticPr fontId="20" type="noConversion"/>
  </si>
  <si>
    <t>投资能力？</t>
    <phoneticPr fontId="20" type="noConversion"/>
  </si>
  <si>
    <t>存量带息负债高，增长空间低，投资能力少？</t>
    <phoneticPr fontId="20" type="noConversion"/>
  </si>
  <si>
    <t>——</t>
    <phoneticPr fontId="20" type="noConversion"/>
  </si>
  <si>
    <t>资产负债率</t>
    <phoneticPr fontId="20" type="noConversion"/>
  </si>
  <si>
    <t>利润总额</t>
    <phoneticPr fontId="20" type="noConversion"/>
  </si>
  <si>
    <t>变动</t>
    <phoneticPr fontId="20" type="noConversion"/>
  </si>
  <si>
    <t>EVA</t>
    <phoneticPr fontId="20" type="noConversion"/>
  </si>
  <si>
    <t>加：公允价值变动收益</t>
  </si>
  <si>
    <t>变动幅度</t>
    <phoneticPr fontId="20" type="noConversion"/>
  </si>
  <si>
    <t>变动百分比</t>
    <phoneticPr fontId="20" type="noConversion"/>
  </si>
  <si>
    <t>权益（基于资产负债率）</t>
    <phoneticPr fontId="20" type="noConversion"/>
  </si>
  <si>
    <t>带息负债</t>
  </si>
  <si>
    <t>售电量增长率-2018年</t>
    <phoneticPr fontId="20" type="noConversion"/>
  </si>
  <si>
    <t>输配电价-2018年</t>
    <phoneticPr fontId="20" type="noConversion"/>
  </si>
  <si>
    <t>单位投资增供电量-输入参数</t>
    <phoneticPr fontId="20" type="noConversion"/>
  </si>
  <si>
    <t>X-每年电网投资</t>
    <phoneticPr fontId="20" type="noConversion"/>
  </si>
  <si>
    <t>Y-售电量增长率</t>
    <phoneticPr fontId="20" type="noConversion"/>
  </si>
  <si>
    <t>a-斜率</t>
    <phoneticPr fontId="20" type="noConversion"/>
  </si>
  <si>
    <t>b-截距</t>
    <phoneticPr fontId="20" type="noConversion"/>
  </si>
  <si>
    <t>✔</t>
    <phoneticPr fontId="20" type="noConversion"/>
  </si>
  <si>
    <t>说明：
（1）在所有复选框未选中的情况下，点击原值，纪律各指标初始值；
（2）每次选中单个指标，点击“单变量分析结果存储”，记录单指标变动对各成果指标的影响；
（3）每次选中一组多动因指标，点击“多变量分析结果存储”，依次保存多指标变动对成果指标的影响；</t>
    <phoneticPr fontId="20" type="noConversion"/>
  </si>
  <si>
    <t>带息负债</t>
    <phoneticPr fontId="20" type="noConversion"/>
  </si>
  <si>
    <t>利润总额</t>
    <phoneticPr fontId="20" type="noConversion"/>
  </si>
  <si>
    <t>资产负债率</t>
    <phoneticPr fontId="20" type="noConversion"/>
  </si>
  <si>
    <t>EVA</t>
    <phoneticPr fontId="20" type="noConversion"/>
  </si>
  <si>
    <t>页签，无内容</t>
    <phoneticPr fontId="20" type="noConversion"/>
  </si>
  <si>
    <t>修改记录</t>
  </si>
  <si>
    <t>=&gt;数据输入区</t>
  </si>
  <si>
    <t>假设</t>
  </si>
  <si>
    <t>长期债务表</t>
  </si>
  <si>
    <t>发展投入</t>
  </si>
  <si>
    <t>输配电价测算参数</t>
  </si>
  <si>
    <t>投资与电量关系测算数据</t>
  </si>
  <si>
    <t>敏感性分析</t>
  </si>
  <si>
    <t>核价与实际情况对比分析</t>
  </si>
  <si>
    <t>多场景分析</t>
  </si>
  <si>
    <t>投资能力规划</t>
  </si>
  <si>
    <t>=&gt;结果输出区</t>
  </si>
  <si>
    <t>损益表</t>
  </si>
  <si>
    <t>现金流量表</t>
  </si>
  <si>
    <t>主要评级指标表</t>
  </si>
  <si>
    <t>主要经济指标表</t>
  </si>
  <si>
    <t>国资委考核指标</t>
  </si>
  <si>
    <t>=&gt;测算过程区</t>
  </si>
  <si>
    <t>输配电价测算模型</t>
  </si>
  <si>
    <t>实际情况下输配电价Ⅰ</t>
  </si>
  <si>
    <t>实际情况下输配电价Ⅱ</t>
  </si>
  <si>
    <t>电量电价</t>
  </si>
  <si>
    <t>准许收入假设</t>
  </si>
  <si>
    <t>固定资产</t>
  </si>
  <si>
    <t>债务</t>
  </si>
  <si>
    <t>现金缺口测算</t>
  </si>
  <si>
    <t>实际收入</t>
  </si>
  <si>
    <t>历史利润表</t>
  </si>
  <si>
    <t>历史资产负债表</t>
  </si>
  <si>
    <t>关键参数底稿</t>
  </si>
  <si>
    <t>历史现金流量表</t>
  </si>
  <si>
    <t>历史发展投入</t>
  </si>
  <si>
    <t>17分部</t>
  </si>
  <si>
    <t>17成本</t>
  </si>
  <si>
    <t>16成本</t>
  </si>
  <si>
    <t>=&gt;历史数据区</t>
  </si>
  <si>
    <t>=&gt;明细信息区</t>
  </si>
  <si>
    <t>目录</t>
    <phoneticPr fontId="20" type="noConversion"/>
  </si>
  <si>
    <t>因变量之间</t>
    <phoneticPr fontId="20" type="noConversion"/>
  </si>
  <si>
    <t>弹性系数</t>
    <phoneticPr fontId="20" type="noConversion"/>
  </si>
  <si>
    <t>模型框架</t>
  </si>
  <si>
    <t>动因指标对成果指标影响分析</t>
  </si>
  <si>
    <t>动因指标和成果指标内部影响分析</t>
  </si>
  <si>
    <t>研究开发费(EVA)</t>
    <phoneticPr fontId="20" type="noConversion"/>
  </si>
  <si>
    <t>平均带息负债(待定）</t>
    <phoneticPr fontId="20" type="noConversion"/>
  </si>
  <si>
    <t>单位</t>
    <phoneticPr fontId="20" type="noConversion"/>
  </si>
  <si>
    <t>单位</t>
    <phoneticPr fontId="20" type="noConversion"/>
  </si>
  <si>
    <t>亿元</t>
    <phoneticPr fontId="20" type="noConversion"/>
  </si>
  <si>
    <t>元/千千瓦时</t>
    <phoneticPr fontId="20" type="noConversion"/>
  </si>
  <si>
    <t>减少成本现金支出？</t>
    <phoneticPr fontId="20" type="noConversion"/>
  </si>
  <si>
    <t>标签颜色</t>
    <phoneticPr fontId="20" type="noConversion"/>
  </si>
  <si>
    <t>其他分析功能</t>
    <phoneticPr fontId="28" type="noConversion"/>
  </si>
  <si>
    <t>存货占材料费、修理费和产业成本的比例</t>
    <phoneticPr fontId="20" type="noConversion"/>
  </si>
  <si>
    <t>输配电价区块</t>
    <phoneticPr fontId="28" type="noConversion"/>
  </si>
  <si>
    <t>测算过程表</t>
    <phoneticPr fontId="28" type="noConversion"/>
  </si>
  <si>
    <t>输入数据表</t>
    <phoneticPr fontId="28" type="noConversion"/>
  </si>
  <si>
    <t>输出结果表</t>
    <phoneticPr fontId="28" type="noConversion"/>
  </si>
  <si>
    <t>分析功能区块</t>
    <phoneticPr fontId="28" type="noConversion"/>
  </si>
  <si>
    <t>投资能力测算</t>
    <phoneticPr fontId="28" type="noConversion"/>
  </si>
  <si>
    <t>核心指标关系分析</t>
    <phoneticPr fontId="28" type="noConversion"/>
  </si>
  <si>
    <t>表类型</t>
    <phoneticPr fontId="28" type="noConversion"/>
  </si>
  <si>
    <t>表名称</t>
    <phoneticPr fontId="28" type="noConversion"/>
  </si>
  <si>
    <t>所属区块</t>
    <phoneticPr fontId="28" type="noConversion"/>
  </si>
  <si>
    <t>历史比例</t>
    <phoneticPr fontId="20" type="noConversion"/>
  </si>
  <si>
    <t>（3）微调动因指标分析成果指标变动</t>
    <phoneticPr fontId="20" type="noConversion"/>
  </si>
  <si>
    <t>（3）微调动因指标分析成果指标变动（单元格B4为YES）</t>
    <phoneticPr fontId="20" type="noConversion"/>
  </si>
  <si>
    <t>（4）各动因指标边界测算（单元格B4为YES）</t>
    <phoneticPr fontId="20" type="noConversion"/>
  </si>
  <si>
    <t>（2）基于成果指标目标值倒算动因指标取值水平（单元格B4为YES）</t>
    <phoneticPr fontId="20" type="noConversion"/>
  </si>
  <si>
    <t>（2）基于成果指标目标值倒算动因指标取值水平</t>
    <phoneticPr fontId="20" type="noConversion"/>
  </si>
  <si>
    <t>-</t>
    <phoneticPr fontId="20" type="noConversion"/>
  </si>
  <si>
    <t>+</t>
    <phoneticPr fontId="20" type="noConversion"/>
  </si>
  <si>
    <t>对EVA影响</t>
    <phoneticPr fontId="20" type="noConversion"/>
  </si>
  <si>
    <t>初值</t>
    <phoneticPr fontId="20" type="noConversion"/>
  </si>
  <si>
    <t>对利润总额影响</t>
    <phoneticPr fontId="20" type="noConversion"/>
  </si>
  <si>
    <t>（5）设定电价水平下投资能力规划求解（电价取假设参数里水平）</t>
    <phoneticPr fontId="20" type="noConversion"/>
  </si>
  <si>
    <t>（6）电价、投资能力联动下投资能力规划求解</t>
    <phoneticPr fontId="20" type="noConversion"/>
  </si>
  <si>
    <t>（7）设定电价水平下投资能力规划求解（电价取核定投资下电价水平）（电价的投资与经营预测投资不相关）</t>
    <phoneticPr fontId="20" type="noConversion"/>
  </si>
  <si>
    <t>（8）规划电价下的投资能力规划求解（电价为（2）中规划结果）</t>
    <phoneticPr fontId="20" type="noConversion"/>
  </si>
  <si>
    <t>（4）各动因指标边界测算</t>
    <phoneticPr fontId="20" type="noConversion"/>
  </si>
  <si>
    <t>场景5：设定电价水平下投资能力规划求解（电价取假设参数里水平）</t>
    <phoneticPr fontId="20" type="noConversion"/>
  </si>
  <si>
    <t>场景6：电价、投资能力联动下投资能力规划求解</t>
    <phoneticPr fontId="20" type="noConversion"/>
  </si>
  <si>
    <t>场景7：核定输配电价水平下投资能力规划求解（电价取核定投资下电价水平）（电价的投资与经营预测投资不相关）</t>
    <phoneticPr fontId="20" type="noConversion"/>
  </si>
  <si>
    <t>场景8：规划电价下的投资能力规划求解（电价为场景2中规划结果）</t>
    <phoneticPr fontId="20" type="noConversion"/>
  </si>
  <si>
    <t>现金缺口</t>
    <phoneticPr fontId="20" type="noConversion"/>
  </si>
  <si>
    <t>财务费用</t>
    <phoneticPr fontId="20" type="noConversion"/>
  </si>
  <si>
    <t>债务成本（EVA）</t>
    <phoneticPr fontId="20" type="noConversion"/>
  </si>
  <si>
    <t>净利润</t>
    <phoneticPr fontId="20" type="noConversion"/>
  </si>
  <si>
    <t>转资</t>
    <phoneticPr fontId="20" type="noConversion"/>
  </si>
  <si>
    <t>在建工程</t>
    <phoneticPr fontId="20" type="noConversion"/>
  </si>
  <si>
    <t>EVA</t>
    <phoneticPr fontId="20" type="noConversion"/>
  </si>
  <si>
    <t>过程指标变动</t>
  </si>
  <si>
    <t>过程指标变动</t>
    <phoneticPr fontId="20" type="noConversion"/>
  </si>
  <si>
    <t>检修运维</t>
    <phoneticPr fontId="20" type="noConversion"/>
  </si>
  <si>
    <t>所有者权益</t>
    <phoneticPr fontId="20" type="noConversion"/>
  </si>
  <si>
    <t>资产总额</t>
    <phoneticPr fontId="20" type="noConversion"/>
  </si>
  <si>
    <t>资产负债率</t>
    <phoneticPr fontId="20" type="noConversion"/>
  </si>
  <si>
    <t>折旧</t>
    <phoneticPr fontId="20" type="noConversion"/>
  </si>
  <si>
    <t>利润总额</t>
    <phoneticPr fontId="20" type="noConversion"/>
  </si>
  <si>
    <t>售电量</t>
    <phoneticPr fontId="20" type="noConversion"/>
  </si>
  <si>
    <t>售电收入</t>
    <phoneticPr fontId="20" type="noConversion"/>
  </si>
  <si>
    <t>带息负债</t>
    <phoneticPr fontId="20" type="noConversion"/>
  </si>
  <si>
    <t>用户资产</t>
  </si>
  <si>
    <t>资本公积</t>
    <phoneticPr fontId="20" type="noConversion"/>
  </si>
  <si>
    <t>应收账款</t>
    <phoneticPr fontId="20" type="noConversion"/>
  </si>
  <si>
    <t>经营现金流</t>
    <phoneticPr fontId="20" type="noConversion"/>
  </si>
  <si>
    <t>电网投资</t>
    <phoneticPr fontId="20" type="noConversion"/>
  </si>
  <si>
    <t>变动后</t>
    <phoneticPr fontId="20" type="noConversion"/>
  </si>
  <si>
    <t>存货</t>
    <phoneticPr fontId="20" type="noConversion"/>
  </si>
  <si>
    <t>存货</t>
    <phoneticPr fontId="20" type="noConversion"/>
  </si>
  <si>
    <t>存货占XX比</t>
    <phoneticPr fontId="20" type="noConversion"/>
  </si>
  <si>
    <t>本周期输配电价</t>
    <phoneticPr fontId="20" type="noConversion"/>
  </si>
  <si>
    <t>下周期输配电价</t>
    <phoneticPr fontId="20" type="noConversion"/>
  </si>
  <si>
    <t>1.一对一分析：</t>
    <phoneticPr fontId="20" type="noConversion"/>
  </si>
  <si>
    <t>2.内部联动</t>
    <phoneticPr fontId="20" type="noConversion"/>
  </si>
  <si>
    <t>输配电价</t>
    <phoneticPr fontId="20" type="noConversion"/>
  </si>
  <si>
    <t>3.多对一</t>
    <phoneticPr fontId="20" type="noConversion"/>
  </si>
  <si>
    <t>=&gt;分析测算区</t>
  </si>
  <si>
    <t>变动统计</t>
  </si>
  <si>
    <t>经营目标预测区块</t>
    <phoneticPr fontId="28" type="noConversion"/>
  </si>
  <si>
    <t>经营目标预测</t>
    <phoneticPr fontId="28" type="noConversion"/>
  </si>
  <si>
    <t>输配电价测算</t>
    <phoneticPr fontId="28" type="noConversion"/>
  </si>
  <si>
    <t>固定资产投资</t>
    <phoneticPr fontId="20" type="noConversion"/>
  </si>
  <si>
    <t>核价投资</t>
    <phoneticPr fontId="20" type="noConversion"/>
  </si>
  <si>
    <t>实际经营数据(方案Ⅰ）</t>
    <phoneticPr fontId="20" type="noConversion"/>
  </si>
  <si>
    <t>2020年监管收入</t>
    <phoneticPr fontId="20" type="noConversion"/>
  </si>
  <si>
    <t xml:space="preserve"> </t>
    <phoneticPr fontId="20" type="noConversion"/>
  </si>
  <si>
    <t>基于电量定投资规模</t>
    <phoneticPr fontId="20" type="noConversion"/>
  </si>
  <si>
    <t>投资——电量：农网投资支撑电量增长30%；</t>
    <phoneticPr fontId="20" type="noConversion"/>
  </si>
  <si>
    <t>电量—投资（投资能力）</t>
    <phoneticPr fontId="20" type="noConversion"/>
  </si>
  <si>
    <t>EVA</t>
    <phoneticPr fontId="20" type="noConversion"/>
  </si>
  <si>
    <t>利润总额</t>
    <phoneticPr fontId="20" type="noConversion"/>
  </si>
  <si>
    <t>资产负债率</t>
    <phoneticPr fontId="20" type="noConversion"/>
  </si>
  <si>
    <t>调整后</t>
    <phoneticPr fontId="20" type="noConversion"/>
  </si>
  <si>
    <t>调整前</t>
    <phoneticPr fontId="20" type="noConversion"/>
  </si>
  <si>
    <t>成果指标</t>
    <phoneticPr fontId="20" type="noConversion"/>
  </si>
  <si>
    <t>动因指标</t>
    <phoneticPr fontId="20" type="noConversion"/>
  </si>
  <si>
    <t>固定资产投资</t>
    <phoneticPr fontId="20" type="noConversion"/>
  </si>
  <si>
    <t>输配电价</t>
    <phoneticPr fontId="20" type="noConversion"/>
  </si>
  <si>
    <t>变动</t>
    <phoneticPr fontId="20" type="noConversion"/>
  </si>
  <si>
    <t>与循环借款金额差不多，抵销</t>
    <phoneticPr fontId="20" type="noConversion"/>
  </si>
  <si>
    <t>EVA增加30，资产负债率&lt;=57.7%</t>
    <phoneticPr fontId="20" type="noConversion"/>
  </si>
  <si>
    <r>
      <t>2</t>
    </r>
    <r>
      <rPr>
        <sz val="10"/>
        <color theme="1"/>
        <rFont val="微软雅黑"/>
        <family val="2"/>
        <charset val="134"/>
      </rPr>
      <t>020总准许收入</t>
    </r>
    <phoneticPr fontId="20" type="noConversion"/>
  </si>
  <si>
    <t>2018、2019增加投资</t>
    <phoneticPr fontId="20" type="noConversion"/>
  </si>
  <si>
    <t>变动后</t>
    <phoneticPr fontId="20" type="noConversion"/>
  </si>
  <si>
    <t>目标</t>
    <phoneticPr fontId="20" type="noConversion"/>
  </si>
  <si>
    <t>2020准许收入</t>
    <phoneticPr fontId="20" type="noConversion"/>
  </si>
  <si>
    <t>亿元</t>
    <phoneticPr fontId="20" type="noConversion"/>
  </si>
  <si>
    <t>债务成本</t>
    <phoneticPr fontId="20" type="noConversion"/>
  </si>
  <si>
    <t>变动率</t>
    <phoneticPr fontId="20" type="noConversion"/>
  </si>
  <si>
    <t>在建工程多：</t>
    <phoneticPr fontId="20" type="noConversion"/>
  </si>
  <si>
    <t>带息负债多：</t>
    <phoneticPr fontId="20" type="noConversion"/>
  </si>
  <si>
    <t>利息支出多：</t>
    <phoneticPr fontId="20" type="noConversion"/>
  </si>
  <si>
    <t>利息支出（费用化）多：</t>
    <phoneticPr fontId="20" type="noConversion"/>
  </si>
  <si>
    <t>权益多：</t>
    <phoneticPr fontId="20" type="noConversion"/>
  </si>
  <si>
    <t>弹性系数</t>
    <phoneticPr fontId="20" type="noConversion"/>
  </si>
  <si>
    <t>投资</t>
    <phoneticPr fontId="20" type="noConversion"/>
  </si>
  <si>
    <t>售电量增长</t>
    <phoneticPr fontId="20" type="noConversion"/>
  </si>
  <si>
    <t>1.投资增长1000，利润满足约束，电价或电量</t>
    <phoneticPr fontId="20" type="noConversion"/>
  </si>
  <si>
    <t>2.投资增长1000，EVA满足约束，电价或电量</t>
    <phoneticPr fontId="20" type="noConversion"/>
  </si>
  <si>
    <t>3.投资增长1000，负债率满足约束，电价或电量</t>
    <phoneticPr fontId="20" type="noConversion"/>
  </si>
  <si>
    <t>一、投资增加1000</t>
    <phoneticPr fontId="20" type="noConversion"/>
  </si>
  <si>
    <t>二、售电量增速下降1%</t>
    <phoneticPr fontId="20" type="noConversion"/>
  </si>
  <si>
    <t>1.售电量增速下降1%，利润满足约束，电价或投资</t>
    <phoneticPr fontId="20" type="noConversion"/>
  </si>
  <si>
    <t>电价</t>
    <phoneticPr fontId="20" type="noConversion"/>
  </si>
  <si>
    <t>电量</t>
    <phoneticPr fontId="20" type="noConversion"/>
  </si>
  <si>
    <t>2.投电价下降1，EVA满足约束，投资或电量</t>
    <phoneticPr fontId="20" type="noConversion"/>
  </si>
  <si>
    <t>1.电价下降1，利润满足约束，电量或投资</t>
    <phoneticPr fontId="20" type="noConversion"/>
  </si>
  <si>
    <t>3.电价下降1，负债率满足约束，投资或电量</t>
    <phoneticPr fontId="20" type="noConversion"/>
  </si>
  <si>
    <t>——</t>
    <phoneticPr fontId="20" type="noConversion"/>
  </si>
  <si>
    <t>3.售电量增速下降1%，负债率满足约束，电价或投资</t>
    <phoneticPr fontId="20" type="noConversion"/>
  </si>
  <si>
    <t>2.售电量增速下降1%，EVA满足约束，电价或投资</t>
    <phoneticPr fontId="20" type="noConversion"/>
  </si>
  <si>
    <t>三、电价下降1</t>
    <phoneticPr fontId="20" type="noConversion"/>
  </si>
  <si>
    <t>五、应收账款下降100</t>
    <phoneticPr fontId="20" type="noConversion"/>
  </si>
  <si>
    <t>应收账款</t>
  </si>
  <si>
    <t>四、用户资产减少100</t>
    <phoneticPr fontId="20" type="noConversion"/>
  </si>
  <si>
    <t>2.用户资产减少100，EVA满足约束，投资或电量</t>
    <phoneticPr fontId="20" type="noConversion"/>
  </si>
  <si>
    <t>3.用户资产减少100，，负债率满足约束，投资或电量</t>
    <phoneticPr fontId="20" type="noConversion"/>
  </si>
  <si>
    <t>满足利润不低于955亿元、投资不低于4000亿元、资产负债率不高于57.7%的前提下，通过调整投资、输配电价、售电量的方式，将EVA从48亿元提升到78亿元。</t>
    <phoneticPr fontId="20" type="noConversion"/>
  </si>
  <si>
    <t>满足当期利润不低于955亿元、资产负债率不高于57.7%、下一监管周期监管收入增速不低于5%的前提下，通过调整投资、输配电价、售电量的方式，将EVA从48亿,元提升到78亿元</t>
    <phoneticPr fontId="20" type="noConversion"/>
  </si>
  <si>
    <t>-/+</t>
    <phoneticPr fontId="20" type="noConversion"/>
  </si>
  <si>
    <t>对资产负债率影响(数值）</t>
    <phoneticPr fontId="20" type="noConversion"/>
  </si>
  <si>
    <t>净利润</t>
    <phoneticPr fontId="20" type="noConversion"/>
  </si>
  <si>
    <t>研发费调整项</t>
    <phoneticPr fontId="20" type="noConversion"/>
  </si>
  <si>
    <t>权益资本成本</t>
    <phoneticPr fontId="20" type="noConversion"/>
  </si>
  <si>
    <t>资本化利息</t>
    <phoneticPr fontId="20" type="noConversion"/>
  </si>
  <si>
    <t>在建工程占用的资本成本</t>
    <phoneticPr fontId="20" type="noConversion"/>
  </si>
  <si>
    <t>多出来的还债</t>
    <phoneticPr fontId="20" type="noConversion"/>
  </si>
  <si>
    <t>一、输电线路</t>
  </si>
  <si>
    <t>二、变电设备</t>
  </si>
  <si>
    <t>三、配电线路及设备</t>
  </si>
  <si>
    <t>四、用电计量设备</t>
  </si>
  <si>
    <t>五、通信线路及设备</t>
  </si>
  <si>
    <t>六、自动化控制设备、信息设备及仪器仪表</t>
  </si>
  <si>
    <t>七、发电及供热设备</t>
  </si>
  <si>
    <t>八、水工机械设备</t>
  </si>
  <si>
    <t>九、制造及检修维护设备</t>
  </si>
  <si>
    <t>十、生产管理用工器具</t>
  </si>
  <si>
    <t>十一、运输设备</t>
  </si>
  <si>
    <t>十二、辅助生产用设备及器具</t>
  </si>
  <si>
    <t>十三、房屋</t>
  </si>
  <si>
    <t>十四、建筑物</t>
  </si>
  <si>
    <t>十五、土地</t>
  </si>
  <si>
    <t>2018年</t>
    <phoneticPr fontId="20" type="noConversion"/>
  </si>
  <si>
    <t>1月</t>
    <phoneticPr fontId="20" type="noConversion"/>
  </si>
  <si>
    <t>2月</t>
  </si>
  <si>
    <t>3月</t>
  </si>
  <si>
    <t>4月</t>
  </si>
  <si>
    <t>5月</t>
  </si>
  <si>
    <t>6月</t>
  </si>
  <si>
    <t>7月</t>
  </si>
  <si>
    <t>8月</t>
  </si>
  <si>
    <t>9月</t>
  </si>
  <si>
    <t>10月</t>
  </si>
  <si>
    <t>11月</t>
  </si>
  <si>
    <t>12月</t>
  </si>
  <si>
    <t>项　　目</t>
  </si>
  <si>
    <t>本年折旧率(%)</t>
  </si>
  <si>
    <t>　　其中：800千伏及以上</t>
  </si>
  <si>
    <t>　　　　　500千伏</t>
  </si>
  <si>
    <t>　　　　　220千伏</t>
  </si>
  <si>
    <t>　　　　　110千伏</t>
  </si>
  <si>
    <t>　　　　　110千伏以下</t>
  </si>
  <si>
    <t xml:space="preserve">  其中：配电线路</t>
  </si>
  <si>
    <t>　　　　　10千伏</t>
  </si>
  <si>
    <t>　　　　　10千伏以下</t>
  </si>
  <si>
    <t>　其中：配电设备</t>
  </si>
  <si>
    <t>合    计</t>
  </si>
  <si>
    <t>固定资产原值</t>
    <phoneticPr fontId="20" type="noConversion"/>
  </si>
  <si>
    <t>期初固定资产原值</t>
    <phoneticPr fontId="20" type="noConversion"/>
  </si>
  <si>
    <t>新增固定资产投资比例</t>
    <phoneticPr fontId="20" type="noConversion"/>
  </si>
  <si>
    <t>新增固定资产-投资转资</t>
    <phoneticPr fontId="20" type="noConversion"/>
  </si>
  <si>
    <t>新增固定资产-在建工程转资</t>
    <phoneticPr fontId="20" type="noConversion"/>
  </si>
  <si>
    <t>新增固定资产-接收用户资产</t>
    <phoneticPr fontId="20" type="noConversion"/>
  </si>
  <si>
    <t>新增固定资产-资本化利息</t>
    <phoneticPr fontId="20" type="noConversion"/>
  </si>
  <si>
    <t>新增固定资产-合计</t>
    <phoneticPr fontId="20" type="noConversion"/>
  </si>
  <si>
    <t>期初逾龄资产原值</t>
    <phoneticPr fontId="20" type="noConversion"/>
  </si>
  <si>
    <t>固定资产减少</t>
    <phoneticPr fontId="20" type="noConversion"/>
  </si>
  <si>
    <t>逾龄资产原值</t>
    <phoneticPr fontId="20" type="noConversion"/>
  </si>
  <si>
    <t>本年折旧</t>
    <phoneticPr fontId="20" type="noConversion"/>
  </si>
  <si>
    <t>期初累计折旧</t>
    <phoneticPr fontId="20" type="noConversion"/>
  </si>
  <si>
    <t>累计折旧</t>
    <phoneticPr fontId="20" type="noConversion"/>
  </si>
  <si>
    <t>减值准备</t>
    <phoneticPr fontId="20" type="noConversion"/>
  </si>
  <si>
    <t>固定资产净值</t>
    <phoneticPr fontId="20" type="noConversion"/>
  </si>
  <si>
    <t>期初在建工程</t>
    <phoneticPr fontId="20" type="noConversion"/>
  </si>
  <si>
    <t>期末在建工程</t>
    <phoneticPr fontId="20" type="noConversion"/>
  </si>
  <si>
    <t>固定资产投资</t>
    <phoneticPr fontId="20" type="noConversion"/>
  </si>
  <si>
    <t>残值率</t>
    <phoneticPr fontId="20" type="noConversion"/>
  </si>
  <si>
    <t>平均折旧年限</t>
    <phoneticPr fontId="20" type="noConversion"/>
  </si>
  <si>
    <t>2.线损率</t>
    <phoneticPr fontId="20" type="noConversion"/>
  </si>
  <si>
    <t>3.购电量（亿千瓦时）</t>
    <phoneticPr fontId="20" type="noConversion"/>
  </si>
  <si>
    <t>4.购电均价(元/兆瓦时)</t>
    <phoneticPr fontId="20" type="noConversion"/>
  </si>
  <si>
    <t>5.材料费修理费</t>
    <phoneticPr fontId="20" type="noConversion"/>
  </si>
  <si>
    <t>6.人工成本</t>
    <phoneticPr fontId="20" type="noConversion"/>
  </si>
  <si>
    <t>7.其他成本费用</t>
    <phoneticPr fontId="20" type="noConversion"/>
  </si>
  <si>
    <t>8.发电成本</t>
    <phoneticPr fontId="20" type="noConversion"/>
  </si>
  <si>
    <t>年度合计</t>
    <phoneticPr fontId="20" type="noConversion"/>
  </si>
  <si>
    <t>预测</t>
  </si>
  <si>
    <t>预测</t>
    <phoneticPr fontId="20" type="noConversion"/>
  </si>
  <si>
    <t>售电量历史比例</t>
    <phoneticPr fontId="20" type="noConversion"/>
  </si>
  <si>
    <t>材料修理费历史比例</t>
    <phoneticPr fontId="20" type="noConversion"/>
  </si>
  <si>
    <t>人工成本历史比例</t>
    <phoneticPr fontId="20" type="noConversion"/>
  </si>
  <si>
    <t>其他费用历史比例</t>
    <phoneticPr fontId="20" type="noConversion"/>
  </si>
  <si>
    <t>发电成本历史比例</t>
    <phoneticPr fontId="20" type="noConversion"/>
  </si>
  <si>
    <t>实际值</t>
    <phoneticPr fontId="20" type="noConversion"/>
  </si>
  <si>
    <t>差异率</t>
    <phoneticPr fontId="20" type="noConversion"/>
  </si>
  <si>
    <t>调整后预测值</t>
    <phoneticPr fontId="20" type="noConversion"/>
  </si>
  <si>
    <t>实际</t>
  </si>
  <si>
    <t>设置：（选择预测/实际）</t>
    <phoneticPr fontId="20" type="noConversion"/>
  </si>
  <si>
    <t>购电量历史比例</t>
    <phoneticPr fontId="20" type="noConversion"/>
  </si>
  <si>
    <t>增值税</t>
    <phoneticPr fontId="20" type="noConversion"/>
  </si>
  <si>
    <t>进项税</t>
    <phoneticPr fontId="20" type="noConversion"/>
  </si>
  <si>
    <t>销项税</t>
    <phoneticPr fontId="20" type="noConversion"/>
  </si>
  <si>
    <t>相关抵扣进项税为材料费的17%、修理费的3%以及新增固定资产增值税抵扣额之和。</t>
    <phoneticPr fontId="20" type="noConversion"/>
  </si>
  <si>
    <t>新增固定资产增值税</t>
    <phoneticPr fontId="20" type="noConversion"/>
  </si>
  <si>
    <t>修理费的3%</t>
    <phoneticPr fontId="20" type="noConversion"/>
  </si>
  <si>
    <t>材料费的17%</t>
    <phoneticPr fontId="20" type="noConversion"/>
  </si>
  <si>
    <t>材料费占比</t>
    <phoneticPr fontId="20" type="noConversion"/>
  </si>
  <si>
    <t>修理费占比</t>
    <phoneticPr fontId="20" type="noConversion"/>
  </si>
  <si>
    <t>计税基础</t>
    <phoneticPr fontId="20" type="noConversion"/>
  </si>
  <si>
    <t>税率</t>
    <phoneticPr fontId="20" type="noConversion"/>
  </si>
  <si>
    <t>所得税</t>
    <phoneticPr fontId="20" type="noConversion"/>
  </si>
  <si>
    <t>税种</t>
    <phoneticPr fontId="20" type="noConversion"/>
  </si>
  <si>
    <t>损益预算完成进度分析</t>
    <phoneticPr fontId="20" type="noConversion"/>
  </si>
  <si>
    <t>预算值</t>
    <phoneticPr fontId="20" type="noConversion"/>
  </si>
  <si>
    <t>偏差</t>
    <phoneticPr fontId="20" type="noConversion"/>
  </si>
  <si>
    <t>差异率</t>
    <phoneticPr fontId="20" type="noConversion"/>
  </si>
  <si>
    <t>资产负债完成进度分析</t>
    <phoneticPr fontId="20" type="noConversion"/>
  </si>
  <si>
    <t>现金流完成进度分析</t>
    <phoneticPr fontId="20" type="noConversion"/>
  </si>
  <si>
    <t>期末现金余额</t>
    <phoneticPr fontId="20" type="noConversion"/>
  </si>
  <si>
    <t>监控项目</t>
    <phoneticPr fontId="20" type="noConversion"/>
  </si>
  <si>
    <t>固定资产结构及折旧参数</t>
  </si>
  <si>
    <t>变动统计2</t>
  </si>
  <si>
    <t>16分部</t>
  </si>
  <si>
    <r>
      <rPr>
        <sz val="10"/>
        <color theme="0"/>
        <rFont val="微软雅黑"/>
        <family val="2"/>
        <charset val="134"/>
      </rPr>
      <t>其中：</t>
    </r>
    <r>
      <rPr>
        <sz val="10"/>
        <rFont val="微软雅黑"/>
        <family val="2"/>
        <charset val="134"/>
      </rPr>
      <t>农网升级改造</t>
    </r>
    <phoneticPr fontId="20" type="noConversion"/>
  </si>
  <si>
    <t>——材料费、修理费</t>
    <phoneticPr fontId="20" type="noConversion"/>
  </si>
  <si>
    <t>存货占材料费、修理费的比例</t>
    <phoneticPr fontId="20" type="noConversion"/>
  </si>
  <si>
    <t>一年内到期的非流动资产</t>
  </si>
  <si>
    <t>投资性房地产</t>
    <phoneticPr fontId="20" type="noConversion"/>
  </si>
  <si>
    <t>工程物资</t>
    <phoneticPr fontId="20" type="noConversion"/>
  </si>
  <si>
    <t>长期待摊费用</t>
  </si>
  <si>
    <t>递延所得税资产</t>
  </si>
  <si>
    <t>长期应付职工薪酬</t>
  </si>
  <si>
    <t>递延收益</t>
  </si>
  <si>
    <t>递延所得税负债</t>
  </si>
  <si>
    <t>其他综合收益</t>
  </si>
  <si>
    <t>外币报表折算差额</t>
  </si>
  <si>
    <t xml:space="preserve"> ＝营业利润+财务费用-投资收益+折旧+摊销</t>
  </si>
  <si>
    <t>＝EBITDA/收入</t>
  </si>
  <si>
    <t>＝EBITDA-折旧摊销</t>
  </si>
  <si>
    <t>＝EBIT/收入</t>
  </si>
  <si>
    <t xml:space="preserve"> =净利润/收入</t>
  </si>
  <si>
    <t>净资本＝净有息债＋所有者权益</t>
    <phoneticPr fontId="71" type="noConversion"/>
  </si>
  <si>
    <t xml:space="preserve"> =短期借款 + 长期借款 + 长期债券 + 一年内到期的长期借款 + 一年内到期的应付债券</t>
  </si>
  <si>
    <t xml:space="preserve"> ＝总有息债－货币资金</t>
  </si>
  <si>
    <t xml:space="preserve"> =营运现金流-向股东分红</t>
  </si>
  <si>
    <t xml:space="preserve"> ＝EBITDA/利息支出</t>
  </si>
  <si>
    <t xml:space="preserve"> ＝EBIT/利息支出</t>
  </si>
  <si>
    <t>营业总收入</t>
    <phoneticPr fontId="20" type="noConversion"/>
  </si>
  <si>
    <t>投资性房地产</t>
    <phoneticPr fontId="20" type="noConversion"/>
  </si>
  <si>
    <t>工程物资</t>
    <phoneticPr fontId="20" type="noConversion"/>
  </si>
  <si>
    <t>递延所得税资产</t>
    <phoneticPr fontId="20" type="noConversion"/>
  </si>
  <si>
    <t>其他综合收益</t>
    <phoneticPr fontId="20" type="noConversion"/>
  </si>
  <si>
    <t>其中：偿付利息所支付的现金</t>
    <phoneticPr fontId="20" type="noConversion"/>
  </si>
  <si>
    <t xml:space="preserve">        　　　固定资产投资支付的现金</t>
  </si>
  <si>
    <t>流动资产-流动负债</t>
    <phoneticPr fontId="20" type="noConversion"/>
  </si>
  <si>
    <t>六、期末现金及现金等价物余额</t>
    <phoneticPr fontId="20" type="noConversion"/>
  </si>
  <si>
    <t>期末现金及现金等价物余额</t>
  </si>
  <si>
    <t>购电-售电</t>
    <phoneticPr fontId="20" type="noConversion"/>
  </si>
  <si>
    <r>
      <t>（经营性现金流量净额-营运资本）</t>
    </r>
    <r>
      <rPr>
        <sz val="10"/>
        <color theme="1"/>
        <rFont val="微软雅黑"/>
        <family val="2"/>
        <charset val="134"/>
      </rPr>
      <t>/利息费用</t>
    </r>
    <phoneticPr fontId="20" type="noConversion"/>
  </si>
  <si>
    <t>（经营性现金流量净额-营运资本）/总有息负债</t>
    <phoneticPr fontId="20" type="noConversion"/>
  </si>
  <si>
    <t>网间售电收入(亿元）</t>
    <phoneticPr fontId="20" type="noConversion"/>
  </si>
  <si>
    <t>售电单价（元/兆瓦时）</t>
    <phoneticPr fontId="20" type="noConversion"/>
  </si>
  <si>
    <t>第一季度</t>
    <phoneticPr fontId="20" type="noConversion"/>
  </si>
  <si>
    <t>第二季度</t>
    <phoneticPr fontId="20" type="noConversion"/>
  </si>
  <si>
    <t>第三季度</t>
    <phoneticPr fontId="20" type="noConversion"/>
  </si>
  <si>
    <t>第四季度</t>
    <phoneticPr fontId="20" type="noConversion"/>
  </si>
  <si>
    <t>合计</t>
    <phoneticPr fontId="20" type="noConversion"/>
  </si>
  <si>
    <t>年度预算</t>
    <phoneticPr fontId="20" type="noConversion"/>
  </si>
  <si>
    <t>完成进度</t>
    <phoneticPr fontId="20" type="noConversion"/>
  </si>
  <si>
    <t>2017年</t>
    <phoneticPr fontId="20" type="noConversion"/>
  </si>
  <si>
    <t>2016年</t>
    <phoneticPr fontId="20" type="noConversion"/>
  </si>
  <si>
    <t>2018年同比增长率</t>
    <phoneticPr fontId="20" type="noConversion"/>
  </si>
  <si>
    <t>2017年同比增长率</t>
    <phoneticPr fontId="20" type="noConversion"/>
  </si>
  <si>
    <t>增速同比变化</t>
    <phoneticPr fontId="20" type="noConversion"/>
  </si>
  <si>
    <t>同比增长率</t>
    <phoneticPr fontId="20" type="noConversion"/>
  </si>
  <si>
    <t>2018年收入、成本增速对比</t>
    <phoneticPr fontId="20" type="noConversion"/>
  </si>
  <si>
    <t>同比变动额</t>
    <phoneticPr fontId="20" type="noConversion"/>
  </si>
  <si>
    <t>公司利润影响因素分析</t>
    <phoneticPr fontId="20" type="noConversion"/>
  </si>
  <si>
    <t>售电价</t>
    <phoneticPr fontId="20" type="noConversion"/>
  </si>
  <si>
    <t>售电收入影响因素分析</t>
    <phoneticPr fontId="20" type="noConversion"/>
  </si>
  <si>
    <t>省内售电收入</t>
    <phoneticPr fontId="20" type="noConversion"/>
  </si>
  <si>
    <t>售电单价</t>
    <phoneticPr fontId="20" type="noConversion"/>
  </si>
  <si>
    <t>一、大工业用电</t>
  </si>
  <si>
    <t>二、非工业、普通工业用电</t>
  </si>
  <si>
    <t>三、居民生活用电</t>
  </si>
  <si>
    <t>四、非居民照明用电</t>
  </si>
  <si>
    <t>五、商业用电</t>
  </si>
  <si>
    <t>六、农业生产用电</t>
  </si>
  <si>
    <t>九、跨区（省）送电</t>
  </si>
  <si>
    <t>十四、售电合计（含税)</t>
  </si>
  <si>
    <t>增速变化</t>
    <phoneticPr fontId="20" type="noConversion"/>
  </si>
  <si>
    <t>2018-电力销售情况</t>
    <phoneticPr fontId="20" type="noConversion"/>
  </si>
  <si>
    <t>售电量-a1</t>
    <phoneticPr fontId="20" type="noConversion"/>
  </si>
  <si>
    <t>售电单价-b1</t>
    <phoneticPr fontId="20" type="noConversion"/>
  </si>
  <si>
    <t>网间售电收入-c1</t>
    <phoneticPr fontId="20" type="noConversion"/>
  </si>
  <si>
    <t>售电量-a0</t>
    <phoneticPr fontId="20" type="noConversion"/>
  </si>
  <si>
    <t>售电单价-b0</t>
    <phoneticPr fontId="20" type="noConversion"/>
  </si>
  <si>
    <t>网间售电收入-c0</t>
    <phoneticPr fontId="20" type="noConversion"/>
  </si>
  <si>
    <t>2017-售电量</t>
    <phoneticPr fontId="20" type="noConversion"/>
  </si>
  <si>
    <t>2016-售电量</t>
    <phoneticPr fontId="20" type="noConversion"/>
  </si>
  <si>
    <t>总售电收入</t>
    <phoneticPr fontId="20" type="noConversion"/>
  </si>
  <si>
    <t>1.省内售电量（亿千瓦时）</t>
    <phoneticPr fontId="20" type="noConversion"/>
  </si>
  <si>
    <t>省内售电量（亿千瓦时）</t>
    <phoneticPr fontId="20" type="noConversion"/>
  </si>
  <si>
    <t>售电收入</t>
    <phoneticPr fontId="20" type="noConversion"/>
  </si>
  <si>
    <t>——</t>
    <phoneticPr fontId="20" type="noConversion"/>
  </si>
  <si>
    <t>售电收入影响因素分析-2017</t>
    <phoneticPr fontId="20" type="noConversion"/>
  </si>
  <si>
    <t>售电收入影响因素分析-2018</t>
    <phoneticPr fontId="20" type="noConversion"/>
  </si>
  <si>
    <t>利润总额（亿元）</t>
    <phoneticPr fontId="20" type="noConversion"/>
  </si>
  <si>
    <t>营业收入（亿元）</t>
    <phoneticPr fontId="20" type="noConversion"/>
  </si>
  <si>
    <t>省内售电收入（亿元）</t>
    <phoneticPr fontId="20" type="noConversion"/>
  </si>
  <si>
    <t>省内售电量（亿千瓦时）</t>
    <phoneticPr fontId="20" type="noConversion"/>
  </si>
  <si>
    <t>购电量（亿千瓦时）</t>
    <phoneticPr fontId="20" type="noConversion"/>
  </si>
  <si>
    <t>购电成本（亿元）</t>
    <phoneticPr fontId="20" type="noConversion"/>
  </si>
  <si>
    <t>输配电成本（亿元）</t>
    <phoneticPr fontId="20" type="noConversion"/>
  </si>
  <si>
    <t>发电成本（亿元）</t>
    <phoneticPr fontId="20" type="noConversion"/>
  </si>
  <si>
    <t>营业总成本（亿元）</t>
    <phoneticPr fontId="20" type="noConversion"/>
  </si>
  <si>
    <t>售电量-a</t>
    <phoneticPr fontId="20" type="noConversion"/>
  </si>
  <si>
    <t>售电单价-b</t>
    <phoneticPr fontId="20" type="noConversion"/>
  </si>
  <si>
    <t>网间售电收入-c</t>
    <phoneticPr fontId="20" type="noConversion"/>
  </si>
  <si>
    <t>指标值</t>
    <phoneticPr fontId="20" type="noConversion"/>
  </si>
  <si>
    <t>指标变动量</t>
    <phoneticPr fontId="20" type="noConversion"/>
  </si>
  <si>
    <t>指标变动幅度</t>
    <phoneticPr fontId="20" type="noConversion"/>
  </si>
  <si>
    <t>利润影响/贡献额</t>
    <phoneticPr fontId="20" type="noConversion"/>
  </si>
  <si>
    <t>利润影响/贡献占比</t>
    <phoneticPr fontId="20" type="noConversion"/>
  </si>
  <si>
    <t>同期用电量增速</t>
    <phoneticPr fontId="20" type="noConversion"/>
  </si>
  <si>
    <t>2018年第一季度</t>
    <phoneticPr fontId="20" type="noConversion"/>
  </si>
  <si>
    <t>2017年第一季度</t>
    <phoneticPr fontId="20" type="noConversion"/>
  </si>
  <si>
    <t>大工业用电</t>
    <phoneticPr fontId="20" type="noConversion"/>
  </si>
  <si>
    <t>非工业、普通工业用电</t>
    <phoneticPr fontId="20" type="noConversion"/>
  </si>
  <si>
    <t>居民生活用电</t>
    <phoneticPr fontId="20" type="noConversion"/>
  </si>
  <si>
    <t>非居民照明用电</t>
    <phoneticPr fontId="20" type="noConversion"/>
  </si>
  <si>
    <t>商业用电</t>
    <phoneticPr fontId="20" type="noConversion"/>
  </si>
  <si>
    <t>农业生产用电</t>
    <phoneticPr fontId="20" type="noConversion"/>
  </si>
  <si>
    <t>跨区（省）送电</t>
    <phoneticPr fontId="20" type="noConversion"/>
  </si>
  <si>
    <t>2018年第二季度</t>
    <phoneticPr fontId="20" type="noConversion"/>
  </si>
  <si>
    <t>2017年第二季度</t>
    <phoneticPr fontId="20" type="noConversion"/>
  </si>
  <si>
    <t>2018年第三季度</t>
    <phoneticPr fontId="20" type="noConversion"/>
  </si>
  <si>
    <t>2017年第三季度</t>
    <phoneticPr fontId="20" type="noConversion"/>
  </si>
  <si>
    <t>2018年第四季度</t>
    <phoneticPr fontId="20" type="noConversion"/>
  </si>
  <si>
    <t>2017年第四季度</t>
    <phoneticPr fontId="20" type="noConversion"/>
  </si>
  <si>
    <t>项目名称（万元）</t>
    <phoneticPr fontId="71" type="noConversion"/>
  </si>
  <si>
    <t>2018年实际完成预算进度</t>
    <phoneticPr fontId="20" type="noConversion"/>
  </si>
  <si>
    <t>2018年实际汇总</t>
    <phoneticPr fontId="20" type="noConversion"/>
  </si>
  <si>
    <t>一、营业收入</t>
    <phoneticPr fontId="71" type="noConversion"/>
  </si>
  <si>
    <t>（一）电力产品主营业务收入</t>
    <phoneticPr fontId="71" type="noConversion"/>
  </si>
  <si>
    <t xml:space="preserve">    1、售电收入</t>
    <phoneticPr fontId="71" type="noConversion"/>
  </si>
  <si>
    <t xml:space="preserve">      （1）省内售电收入</t>
    <phoneticPr fontId="71" type="noConversion"/>
  </si>
  <si>
    <t xml:space="preserve">             售电量（千千瓦时）</t>
    <phoneticPr fontId="71" type="noConversion"/>
  </si>
  <si>
    <t xml:space="preserve">             售电单价（元/千千瓦时）</t>
    <phoneticPr fontId="71" type="noConversion"/>
  </si>
  <si>
    <t xml:space="preserve">      （2）网间售电收入</t>
    <phoneticPr fontId="71" type="noConversion"/>
  </si>
  <si>
    <t xml:space="preserve">       售电单价（元/千千瓦时）</t>
    <phoneticPr fontId="71" type="noConversion"/>
  </si>
  <si>
    <t xml:space="preserve">    2、输电收入</t>
    <phoneticPr fontId="71" type="noConversion"/>
  </si>
  <si>
    <t xml:space="preserve">    3、高可靠性供电收入</t>
    <phoneticPr fontId="71" type="noConversion"/>
  </si>
  <si>
    <t xml:space="preserve">    4、自备电厂系统备用费收入</t>
    <phoneticPr fontId="71" type="noConversion"/>
  </si>
  <si>
    <t xml:space="preserve">    5、受托运行维护收入</t>
    <phoneticPr fontId="71" type="noConversion"/>
  </si>
  <si>
    <t xml:space="preserve">    6、临时接电收入</t>
    <phoneticPr fontId="71" type="noConversion"/>
  </si>
  <si>
    <t xml:space="preserve">    7、可再生能源电价附加</t>
    <phoneticPr fontId="71" type="noConversion"/>
  </si>
  <si>
    <t xml:space="preserve">    8、其他</t>
    <phoneticPr fontId="71" type="noConversion"/>
  </si>
  <si>
    <t>（二）其他主营业务收入</t>
    <phoneticPr fontId="71" type="noConversion"/>
  </si>
  <si>
    <t>（三）其他业务收入</t>
    <phoneticPr fontId="71" type="noConversion"/>
  </si>
  <si>
    <t>二、营业总成本</t>
    <phoneticPr fontId="71" type="noConversion"/>
  </si>
  <si>
    <t>（一）电力产品主营业务成本</t>
    <phoneticPr fontId="71" type="noConversion"/>
  </si>
  <si>
    <t xml:space="preserve">    1、购电成本</t>
    <phoneticPr fontId="71" type="noConversion"/>
  </si>
  <si>
    <t xml:space="preserve">         购电单价（元/千千瓦时）</t>
    <phoneticPr fontId="71" type="noConversion"/>
  </si>
  <si>
    <t xml:space="preserve">         线损率（发展部口径）</t>
    <phoneticPr fontId="71" type="noConversion"/>
  </si>
  <si>
    <t xml:space="preserve">         线损率（财务部口径）</t>
    <phoneticPr fontId="71" type="noConversion"/>
  </si>
  <si>
    <t xml:space="preserve">    2、输配电成本</t>
    <phoneticPr fontId="71" type="noConversion"/>
  </si>
  <si>
    <t xml:space="preserve">      （1）输电费</t>
    <phoneticPr fontId="71" type="noConversion"/>
  </si>
  <si>
    <t xml:space="preserve">      （2）折旧</t>
    <phoneticPr fontId="71" type="noConversion"/>
  </si>
  <si>
    <t xml:space="preserve">      （3）工资总额</t>
    <phoneticPr fontId="71" type="noConversion"/>
  </si>
  <si>
    <t xml:space="preserve">      （4）委托运行维护费</t>
    <phoneticPr fontId="71" type="noConversion"/>
  </si>
  <si>
    <t xml:space="preserve">      （5）材料费及修理费</t>
    <phoneticPr fontId="71" type="noConversion"/>
  </si>
  <si>
    <t xml:space="preserve">      （6）其他运营费用</t>
    <phoneticPr fontId="71" type="noConversion"/>
  </si>
  <si>
    <t xml:space="preserve">    3、发电成本</t>
    <phoneticPr fontId="71" type="noConversion"/>
  </si>
  <si>
    <t xml:space="preserve">      （1）燃料费</t>
    <phoneticPr fontId="71" type="noConversion"/>
  </si>
  <si>
    <t xml:space="preserve">      （2）购入电力费</t>
    <phoneticPr fontId="71" type="noConversion"/>
  </si>
  <si>
    <t xml:space="preserve">      （3）折旧费</t>
    <phoneticPr fontId="71" type="noConversion"/>
  </si>
  <si>
    <t xml:space="preserve">      （4）水费</t>
    <phoneticPr fontId="71" type="noConversion"/>
  </si>
  <si>
    <t xml:space="preserve">      （5）工资总额</t>
    <phoneticPr fontId="71" type="noConversion"/>
  </si>
  <si>
    <t xml:space="preserve">      （6）委托运行维护费</t>
    <phoneticPr fontId="71" type="noConversion"/>
  </si>
  <si>
    <t xml:space="preserve">      （7）材料费及修理费</t>
    <phoneticPr fontId="71" type="noConversion"/>
  </si>
  <si>
    <t xml:space="preserve">      （8）其他运营费用</t>
    <phoneticPr fontId="71" type="noConversion"/>
  </si>
  <si>
    <t>（二）其他主营业务成本</t>
    <phoneticPr fontId="71" type="noConversion"/>
  </si>
  <si>
    <t>（三）其他业务成本</t>
    <phoneticPr fontId="71" type="noConversion"/>
  </si>
  <si>
    <t xml:space="preserve">      加：公允价值变动收益</t>
    <phoneticPr fontId="132" type="noConversion"/>
  </si>
  <si>
    <t xml:space="preserve">              投资收益</t>
    <phoneticPr fontId="132" type="noConversion"/>
  </si>
  <si>
    <t xml:space="preserve">              其他收益</t>
    <phoneticPr fontId="132" type="noConversion"/>
  </si>
  <si>
    <t>三、营业利润</t>
    <phoneticPr fontId="71" type="noConversion"/>
  </si>
  <si>
    <t xml:space="preserve">     加：营业外收入</t>
    <phoneticPr fontId="71" type="noConversion"/>
  </si>
  <si>
    <t xml:space="preserve">     减：营业外支出</t>
    <phoneticPr fontId="71" type="noConversion"/>
  </si>
  <si>
    <t>四、利润总额</t>
    <phoneticPr fontId="71" type="noConversion"/>
  </si>
  <si>
    <t xml:space="preserve">    货币资金</t>
  </si>
  <si>
    <t xml:space="preserve">  △结算备付金</t>
  </si>
  <si>
    <t xml:space="preserve">  △拆出资金</t>
  </si>
  <si>
    <t xml:space="preserve">    以公允价值计量且其变动计入当期损益的金融资产</t>
  </si>
  <si>
    <t xml:space="preserve">    衍生金融资产</t>
  </si>
  <si>
    <t xml:space="preserve">    应收票据</t>
  </si>
  <si>
    <t xml:space="preserve">    应收账款</t>
  </si>
  <si>
    <t xml:space="preserve">    预付款项</t>
  </si>
  <si>
    <t xml:space="preserve">  △应收保费</t>
  </si>
  <si>
    <t xml:space="preserve">  △应收分保账款</t>
  </si>
  <si>
    <t xml:space="preserve">  △应收分保准备金</t>
  </si>
  <si>
    <t xml:space="preserve">    应收利息</t>
  </si>
  <si>
    <t xml:space="preserve">    应收股利</t>
  </si>
  <si>
    <t xml:space="preserve">    其他应收款</t>
  </si>
  <si>
    <t xml:space="preserve">  △买入返售金融资产</t>
  </si>
  <si>
    <t xml:space="preserve">    存货</t>
  </si>
  <si>
    <t xml:space="preserve">    划分为持有待售的资产</t>
  </si>
  <si>
    <t xml:space="preserve">    一年内到期的非流动资产</t>
  </si>
  <si>
    <t xml:space="preserve">    其他流动资产</t>
  </si>
  <si>
    <t>非流动资产：</t>
  </si>
  <si>
    <t xml:space="preserve">  △发放贷款及垫款</t>
  </si>
  <si>
    <t xml:space="preserve">    可供出售金融资产</t>
  </si>
  <si>
    <t xml:space="preserve">    持有至到期投资</t>
  </si>
  <si>
    <t xml:space="preserve">    长期应收款</t>
  </si>
  <si>
    <t xml:space="preserve">    长期股权投资</t>
  </si>
  <si>
    <t xml:space="preserve">    拨付所属资金</t>
  </si>
  <si>
    <t xml:space="preserve">    投资性房地产</t>
  </si>
  <si>
    <t xml:space="preserve">    固定资产原价</t>
  </si>
  <si>
    <t xml:space="preserve">        减：累计折旧</t>
  </si>
  <si>
    <t xml:space="preserve">    固定资产净值</t>
  </si>
  <si>
    <t xml:space="preserve">        减：固定资产减值准备</t>
  </si>
  <si>
    <t xml:space="preserve">    固定资产净额</t>
  </si>
  <si>
    <t xml:space="preserve">    在建工程</t>
  </si>
  <si>
    <t xml:space="preserve">    工程物资</t>
  </si>
  <si>
    <t xml:space="preserve">    固定资产清理</t>
  </si>
  <si>
    <t xml:space="preserve">    生产性生物资产</t>
  </si>
  <si>
    <t xml:space="preserve">    无形资产</t>
  </si>
  <si>
    <t xml:space="preserve">    开发支出</t>
  </si>
  <si>
    <t xml:space="preserve">    商誉</t>
  </si>
  <si>
    <t xml:space="preserve">    长期待摊费用</t>
  </si>
  <si>
    <t xml:space="preserve">    递延所得税资产</t>
  </si>
  <si>
    <t xml:space="preserve">    其他非流动资产</t>
  </si>
  <si>
    <t>资  产  总  计</t>
  </si>
  <si>
    <t xml:space="preserve">    短期借款</t>
  </si>
  <si>
    <t xml:space="preserve">    以公允价值计量且其变动计入当期损益的金融负债</t>
  </si>
  <si>
    <t xml:space="preserve">    应付票据</t>
  </si>
  <si>
    <t xml:space="preserve">    应付账款</t>
  </si>
  <si>
    <t xml:space="preserve">    预收款项</t>
  </si>
  <si>
    <t xml:space="preserve">  △卖出回购金融资产款</t>
  </si>
  <si>
    <t xml:space="preserve">  △应付手续费及佣金</t>
  </si>
  <si>
    <t xml:space="preserve">    应付职工薪酬</t>
  </si>
  <si>
    <t xml:space="preserve">    应交税费</t>
  </si>
  <si>
    <t xml:space="preserve">    应付利息</t>
  </si>
  <si>
    <t xml:space="preserve">    应付股利</t>
  </si>
  <si>
    <t xml:space="preserve">    其他应付款</t>
  </si>
  <si>
    <t xml:space="preserve">    内部往来</t>
  </si>
  <si>
    <t xml:space="preserve">    划分为持有待售的负债</t>
  </si>
  <si>
    <t xml:space="preserve">    一年内到期的非流动负债</t>
  </si>
  <si>
    <t xml:space="preserve">    其他流动负债</t>
  </si>
  <si>
    <t xml:space="preserve">    长期借款</t>
  </si>
  <si>
    <t xml:space="preserve">    应付债券</t>
  </si>
  <si>
    <t xml:space="preserve">    长期应付款</t>
  </si>
  <si>
    <t xml:space="preserve">    长期应付职工薪酬</t>
  </si>
  <si>
    <t xml:space="preserve">    上级拨入资金</t>
  </si>
  <si>
    <t xml:space="preserve">    专项应付款</t>
  </si>
  <si>
    <t xml:space="preserve">    预计负债</t>
  </si>
  <si>
    <t xml:space="preserve">    递延收益</t>
  </si>
  <si>
    <t xml:space="preserve">    递延所得税负债</t>
  </si>
  <si>
    <t xml:space="preserve">    其他非流动负债</t>
  </si>
  <si>
    <t>负 债 合 计</t>
  </si>
  <si>
    <t xml:space="preserve">    实收资本（股本）</t>
  </si>
  <si>
    <t xml:space="preserve">    资本公积</t>
  </si>
  <si>
    <t xml:space="preserve">    减：库存股</t>
  </si>
  <si>
    <t xml:space="preserve">    其他综合收益</t>
  </si>
  <si>
    <t xml:space="preserve">        其中：外币报表折算差额</t>
  </si>
  <si>
    <t xml:space="preserve">    专项储备</t>
  </si>
  <si>
    <t xml:space="preserve">    盈余公积</t>
  </si>
  <si>
    <t xml:space="preserve">        其中：法定公积金</t>
  </si>
  <si>
    <t xml:space="preserve">              任意公积金</t>
  </si>
  <si>
    <t xml:space="preserve">    未分配利润</t>
  </si>
  <si>
    <t xml:space="preserve">  *少数股东权益</t>
  </si>
  <si>
    <t>2018年预算</t>
    <phoneticPr fontId="20" type="noConversion"/>
  </si>
  <si>
    <t>[计算]ASM.存货占材料费、修理费的比例*(ACR.材料费、修理费)</t>
    <phoneticPr fontId="20" type="noConversion"/>
  </si>
  <si>
    <t>折旧费</t>
    <phoneticPr fontId="20" type="noConversion"/>
  </si>
  <si>
    <t>预算完成风险预警</t>
  </si>
  <si>
    <t xml:space="preserve">    2、输电收入</t>
  </si>
  <si>
    <t xml:space="preserve">    3、高可靠性供电收入</t>
  </si>
  <si>
    <t xml:space="preserve">    4、自备电厂系统备用费收入</t>
  </si>
  <si>
    <t xml:space="preserve">    5、受托运行维护收入</t>
  </si>
  <si>
    <t xml:space="preserve">    6、临时接电收入</t>
  </si>
  <si>
    <t xml:space="preserve">    7、可再生能源电价附加</t>
  </si>
  <si>
    <t xml:space="preserve">    8、其他</t>
  </si>
  <si>
    <t>（二）其他主营业务收入</t>
  </si>
  <si>
    <t>（三）其他业务收入</t>
  </si>
  <si>
    <t>其他主营业务收入</t>
    <phoneticPr fontId="20" type="noConversion"/>
  </si>
  <si>
    <t>售电量合计</t>
    <phoneticPr fontId="20" type="noConversion"/>
  </si>
  <si>
    <t>h</t>
    <phoneticPr fontId="20" type="noConversion"/>
  </si>
  <si>
    <t>输配电成本</t>
    <phoneticPr fontId="20" type="noConversion"/>
  </si>
  <si>
    <t>其他业务成本</t>
    <phoneticPr fontId="20" type="noConversion"/>
  </si>
  <si>
    <t>其他主营业务成本</t>
    <phoneticPr fontId="20" type="noConversion"/>
  </si>
  <si>
    <t>其他收益</t>
    <phoneticPr fontId="20" type="noConversion"/>
  </si>
  <si>
    <t>[计算]基期*（1+假设.增长率），营业费用</t>
    <phoneticPr fontId="20" type="noConversion"/>
  </si>
  <si>
    <t xml:space="preserve">         购电量（亿千瓦时）</t>
    <phoneticPr fontId="71" type="noConversion"/>
  </si>
  <si>
    <t xml:space="preserve">         供电量（亿千瓦时）</t>
    <phoneticPr fontId="71" type="noConversion"/>
  </si>
  <si>
    <t xml:space="preserve">       售电量合计（亿千瓦时）</t>
    <phoneticPr fontId="71" type="noConversion"/>
  </si>
  <si>
    <t xml:space="preserve">             售电量（亿千瓦时）</t>
    <phoneticPr fontId="71" type="noConversion"/>
  </si>
  <si>
    <t>上海电力公司经营目标预测模型</t>
    <phoneticPr fontId="20" type="noConversion"/>
  </si>
  <si>
    <t>网间售电量</t>
    <phoneticPr fontId="20" type="noConversion"/>
  </si>
  <si>
    <t>已完成</t>
    <phoneticPr fontId="20" type="noConversion"/>
  </si>
  <si>
    <t>未完成</t>
    <phoneticPr fontId="20" type="noConversion"/>
  </si>
  <si>
    <t>输配电价</t>
  </si>
  <si>
    <t>=&gt;第一部分</t>
  </si>
  <si>
    <t>多维联动分析</t>
  </si>
  <si>
    <t>=&gt;预算管理、风险监控</t>
  </si>
  <si>
    <t>=&gt;第二部分</t>
  </si>
  <si>
    <t>上海电力公司准许收入和平均输配电价测算表</t>
    <phoneticPr fontId="20" type="noConversion"/>
  </si>
  <si>
    <t>调整项</t>
    <phoneticPr fontId="20" type="noConversion"/>
  </si>
  <si>
    <t>调整后结果</t>
    <phoneticPr fontId="20" type="noConversion"/>
  </si>
  <si>
    <t>——人工成成本增长率</t>
    <phoneticPr fontId="20" type="noConversion"/>
  </si>
  <si>
    <t>2018年</t>
    <phoneticPr fontId="20" type="noConversion"/>
  </si>
  <si>
    <t>其他主营业务成本</t>
    <phoneticPr fontId="20" type="noConversion"/>
  </si>
  <si>
    <t>其他业务成本</t>
    <phoneticPr fontId="20" type="noConversion"/>
  </si>
  <si>
    <t>2019年</t>
    <phoneticPr fontId="20" type="noConversion"/>
  </si>
  <si>
    <t>2020年</t>
    <phoneticPr fontId="20" type="noConversion"/>
  </si>
  <si>
    <t>2021年</t>
    <phoneticPr fontId="20" type="noConversion"/>
  </si>
  <si>
    <t>2022年</t>
    <phoneticPr fontId="20" type="noConversion"/>
  </si>
  <si>
    <t>最终成果指标</t>
    <phoneticPr fontId="20" type="noConversion"/>
  </si>
  <si>
    <t>中间成果指标</t>
    <phoneticPr fontId="20" type="noConversion"/>
  </si>
  <si>
    <t>售电均价</t>
    <phoneticPr fontId="20" type="noConversion"/>
  </si>
  <si>
    <t>购电均价</t>
    <phoneticPr fontId="20" type="noConversion"/>
  </si>
  <si>
    <t>线损率</t>
    <phoneticPr fontId="20" type="noConversion"/>
  </si>
  <si>
    <t>转资率</t>
    <phoneticPr fontId="20" type="noConversion"/>
  </si>
  <si>
    <t>2018年输配电价</t>
    <phoneticPr fontId="20" type="noConversion"/>
  </si>
  <si>
    <t>实际+预测</t>
    <phoneticPr fontId="20" type="noConversion"/>
  </si>
  <si>
    <r>
      <t>E</t>
    </r>
    <r>
      <rPr>
        <sz val="10"/>
        <color theme="1"/>
        <rFont val="微软雅黑"/>
        <family val="2"/>
        <charset val="134"/>
      </rPr>
      <t>VA</t>
    </r>
    <phoneticPr fontId="20" type="noConversion"/>
  </si>
  <si>
    <t>结果展示</t>
    <phoneticPr fontId="20" type="noConversion"/>
  </si>
  <si>
    <t>手动输入年调整额</t>
    <phoneticPr fontId="20" type="noConversion"/>
  </si>
  <si>
    <t>全员劳动生产率</t>
    <phoneticPr fontId="20" type="noConversion"/>
  </si>
  <si>
    <t>接收用户工程</t>
    <phoneticPr fontId="20" type="noConversion"/>
  </si>
  <si>
    <t>线损率——输入</t>
    <phoneticPr fontId="20" type="noConversion"/>
  </si>
  <si>
    <t>购电均价（元/兆瓦时，不含税）——输入</t>
    <phoneticPr fontId="20" type="noConversion"/>
  </si>
  <si>
    <t>存货占材料修理费比例</t>
    <phoneticPr fontId="20" type="noConversion"/>
  </si>
  <si>
    <t>应收账款周转率——输入</t>
    <phoneticPr fontId="20" type="noConversion"/>
  </si>
  <si>
    <t>存货占材料费、修理费的比例——输入</t>
    <phoneticPr fontId="20" type="noConversion"/>
  </si>
  <si>
    <t>材料费、修理费</t>
  </si>
  <si>
    <t>材料费修理费</t>
    <phoneticPr fontId="20" type="noConversion"/>
  </si>
  <si>
    <t>其他成本费用</t>
    <phoneticPr fontId="20" type="noConversion"/>
  </si>
  <si>
    <t>其他费用</t>
    <phoneticPr fontId="20" type="noConversion"/>
  </si>
  <si>
    <t>增加值</t>
    <phoneticPr fontId="20" type="noConversion"/>
  </si>
  <si>
    <t>固定资产折旧</t>
    <phoneticPr fontId="20" type="noConversion"/>
  </si>
  <si>
    <t>劳动者报酬</t>
    <phoneticPr fontId="20" type="noConversion"/>
  </si>
  <si>
    <t>生产税净额</t>
    <phoneticPr fontId="20" type="noConversion"/>
  </si>
  <si>
    <t>生产税</t>
    <phoneticPr fontId="20" type="noConversion"/>
  </si>
  <si>
    <t>生产补贴</t>
    <phoneticPr fontId="20" type="noConversion"/>
  </si>
  <si>
    <t>营业盈余</t>
    <phoneticPr fontId="20" type="noConversion"/>
  </si>
  <si>
    <t>非农电岗位劳务派遣用工劳务费</t>
    <phoneticPr fontId="20" type="noConversion"/>
  </si>
  <si>
    <t>农电用工人工费</t>
    <phoneticPr fontId="20" type="noConversion"/>
  </si>
  <si>
    <t>全口径用工平均人数</t>
    <phoneticPr fontId="20" type="noConversion"/>
  </si>
  <si>
    <t>营运资本</t>
    <phoneticPr fontId="71" type="noConversion"/>
  </si>
  <si>
    <t>本年折旧率(%)</t>
    <phoneticPr fontId="71" type="noConversion"/>
  </si>
  <si>
    <t>%</t>
    <phoneticPr fontId="20" type="noConversion"/>
  </si>
  <si>
    <t>亿元</t>
    <phoneticPr fontId="20" type="noConversion"/>
  </si>
  <si>
    <t>-</t>
    <phoneticPr fontId="20" type="noConversion"/>
  </si>
  <si>
    <t>+</t>
    <phoneticPr fontId="20" type="noConversion"/>
  </si>
  <si>
    <r>
      <t>2</t>
    </r>
    <r>
      <rPr>
        <sz val="10"/>
        <color theme="1"/>
        <rFont val="微软雅黑"/>
        <family val="2"/>
        <charset val="134"/>
      </rPr>
      <t>.</t>
    </r>
    <r>
      <rPr>
        <sz val="10"/>
        <color theme="1"/>
        <rFont val="微软雅黑"/>
        <family val="2"/>
        <charset val="134"/>
      </rPr>
      <t>网间售电量（亿千瓦时）</t>
    </r>
    <phoneticPr fontId="20" type="noConversion"/>
  </si>
  <si>
    <t>已有月份实际数</t>
    <phoneticPr fontId="20" type="noConversion"/>
  </si>
  <si>
    <t>已有月份预算</t>
    <phoneticPr fontId="20" type="noConversion"/>
  </si>
  <si>
    <t>税金及附加</t>
  </si>
  <si>
    <t>投资收益</t>
  </si>
  <si>
    <t>其他收益</t>
  </si>
  <si>
    <t>二、成本</t>
  </si>
  <si>
    <t>（一）电力成本</t>
  </si>
  <si>
    <t>可再生能源电价附加成本</t>
  </si>
  <si>
    <t>人工成本</t>
  </si>
  <si>
    <t>工资（不含农维费）</t>
  </si>
  <si>
    <t>——年增长率</t>
  </si>
  <si>
    <t>职工福利费（不含农维费）</t>
  </si>
  <si>
    <t>其他成本费用（电力成本减去折旧、材料费修理费、人工等）</t>
  </si>
  <si>
    <t>其他主营业务成本</t>
  </si>
  <si>
    <t>新增固定资产-投资转资</t>
  </si>
  <si>
    <t>新增固定资产-在建工程转资</t>
  </si>
  <si>
    <t>新增固定资产-接收用户资产</t>
  </si>
  <si>
    <t>新增固定资产-资本化利息</t>
  </si>
  <si>
    <t>新增固定资产-合计</t>
  </si>
  <si>
    <t>固定资产减少</t>
  </si>
  <si>
    <t>逾龄资产原值</t>
  </si>
  <si>
    <t>本年折旧</t>
  </si>
  <si>
    <t>累计折旧</t>
  </si>
  <si>
    <t>减值准备</t>
  </si>
  <si>
    <t>期末在建工程</t>
  </si>
  <si>
    <t>辅助</t>
    <phoneticPr fontId="20" type="noConversion"/>
  </si>
  <si>
    <t>on</t>
  </si>
  <si>
    <t>2018年（预算与预测差异）</t>
    <phoneticPr fontId="20" type="noConversion"/>
  </si>
  <si>
    <t>2018年（目标与预测差异）</t>
    <phoneticPr fontId="20" type="noConversion"/>
  </si>
  <si>
    <t>预算</t>
    <phoneticPr fontId="20" type="noConversion"/>
  </si>
  <si>
    <t>差异</t>
    <phoneticPr fontId="20" type="noConversion"/>
  </si>
  <si>
    <t>目标值</t>
    <phoneticPr fontId="20" type="noConversion"/>
  </si>
  <si>
    <t>项目(万元）</t>
    <phoneticPr fontId="71" type="noConversion"/>
  </si>
  <si>
    <t>2018年预算</t>
    <phoneticPr fontId="71" type="noConversion"/>
  </si>
  <si>
    <t>损益预算完成情况</t>
  </si>
  <si>
    <t>资产负债预算完成情况</t>
  </si>
  <si>
    <t>关键业绩指标滚动预判</t>
  </si>
  <si>
    <t>购售电分析</t>
  </si>
  <si>
    <t>购售电分析图表</t>
  </si>
  <si>
    <t>税金预测</t>
  </si>
  <si>
    <t>（三）全员劳动生产率-亿元/人</t>
    <phoneticPr fontId="20" type="noConversion"/>
  </si>
  <si>
    <t>全员劳动生产率（元/人）</t>
    <phoneticPr fontId="20" type="noConversion"/>
  </si>
  <si>
    <t>存量长期债务一年内到期部分的债务</t>
    <phoneticPr fontId="20" type="noConversion"/>
  </si>
  <si>
    <t>存量长期债务利息支出</t>
    <phoneticPr fontId="20" type="noConversion"/>
  </si>
  <si>
    <t>[计算]上期*(1+ASM.长期股权投资及可供出售金融资产投资收益率)</t>
    <phoneticPr fontId="20" type="noConversion"/>
  </si>
  <si>
    <t>投资性房地产</t>
  </si>
  <si>
    <t>工程物资</t>
  </si>
  <si>
    <r>
      <t>[计算]上期+上期可供出售金融资产*收益率+CF.支付国有资本收益[负]+国家资本金补贴+接受用户资产+</t>
    </r>
    <r>
      <rPr>
        <sz val="10"/>
        <color theme="1"/>
        <rFont val="微软雅黑"/>
        <family val="2"/>
        <charset val="134"/>
      </rPr>
      <t>母公司净利润</t>
    </r>
    <phoneticPr fontId="20" type="noConversion"/>
  </si>
  <si>
    <t>净资产收益率</t>
    <phoneticPr fontId="20" type="noConversion"/>
  </si>
  <si>
    <t>不是约束条件</t>
    <phoneticPr fontId="20" type="noConversion"/>
  </si>
  <si>
    <t>说明</t>
    <phoneticPr fontId="20" type="noConversion"/>
  </si>
  <si>
    <t>实际数全年合计</t>
    <phoneticPr fontId="20" type="noConversion"/>
  </si>
  <si>
    <t>全年实际数/全年预算数</t>
    <phoneticPr fontId="20" type="noConversion"/>
  </si>
  <si>
    <t>全年预算数-输入</t>
    <phoneticPr fontId="20" type="noConversion"/>
  </si>
  <si>
    <t>输入当月实际数</t>
    <phoneticPr fontId="20" type="noConversion"/>
  </si>
  <si>
    <t>实际-预算</t>
    <phoneticPr fontId="20" type="noConversion"/>
  </si>
  <si>
    <t>差额/预算</t>
    <phoneticPr fontId="20" type="noConversion"/>
  </si>
  <si>
    <t>差额/利润总差额</t>
    <phoneticPr fontId="20" type="noConversion"/>
  </si>
  <si>
    <t>上半年-差额</t>
    <phoneticPr fontId="20" type="noConversion"/>
  </si>
  <si>
    <t>上半年-变动率（%）</t>
    <phoneticPr fontId="20" type="noConversion"/>
  </si>
  <si>
    <t>上半年-对利润贡献度（%）</t>
    <phoneticPr fontId="20" type="noConversion"/>
  </si>
  <si>
    <t>需要收集2018年6月的利润表</t>
    <phoneticPr fontId="20" type="noConversion"/>
  </si>
  <si>
    <t>没有用</t>
    <phoneticPr fontId="20" type="noConversion"/>
  </si>
  <si>
    <t>全年预算数/2</t>
    <phoneticPr fontId="20" type="noConversion"/>
  </si>
  <si>
    <t>（四）营业税金及附加</t>
    <phoneticPr fontId="71" type="noConversion"/>
  </si>
  <si>
    <t>（五）营业费用</t>
    <phoneticPr fontId="71" type="noConversion"/>
  </si>
  <si>
    <t>（六）管理费用</t>
    <phoneticPr fontId="71" type="noConversion"/>
  </si>
  <si>
    <t>（七）财务费用</t>
    <phoneticPr fontId="71" type="noConversion"/>
  </si>
  <si>
    <t>（八）资产减值损失</t>
    <phoneticPr fontId="71" type="noConversion"/>
  </si>
  <si>
    <t>上半年-预算</t>
    <phoneticPr fontId="20" type="noConversion"/>
  </si>
  <si>
    <t>利润总额校验</t>
    <phoneticPr fontId="20" type="noConversion"/>
  </si>
  <si>
    <t>营业利润校验</t>
    <phoneticPr fontId="20" type="noConversion"/>
  </si>
  <si>
    <t>截止到5月累计</t>
    <phoneticPr fontId="20" type="noConversion"/>
  </si>
  <si>
    <t>售电收入调整项</t>
    <phoneticPr fontId="20" type="noConversion"/>
  </si>
  <si>
    <t>营业成本调整项</t>
    <phoneticPr fontId="20" type="noConversion"/>
  </si>
  <si>
    <t>购电情况表</t>
    <phoneticPr fontId="20" type="noConversion"/>
  </si>
  <si>
    <t>售电情况表</t>
    <phoneticPr fontId="20" type="noConversion"/>
  </si>
  <si>
    <t>成本费用情况表</t>
    <phoneticPr fontId="20" type="noConversion"/>
  </si>
  <si>
    <t>资产负债率</t>
    <phoneticPr fontId="20" type="noConversion"/>
  </si>
  <si>
    <t>1.流动资产</t>
  </si>
  <si>
    <t>应收账款与票据</t>
  </si>
  <si>
    <t>2.非流动资产</t>
  </si>
  <si>
    <t>二、负债</t>
  </si>
  <si>
    <t>1.流动负债</t>
  </si>
  <si>
    <t>2.非流动负债</t>
  </si>
  <si>
    <t>三、所有者权益</t>
  </si>
  <si>
    <t>1-6月实际</t>
    <phoneticPr fontId="20" type="noConversion"/>
  </si>
  <si>
    <t>上半年-实际</t>
    <phoneticPr fontId="20" type="noConversion"/>
  </si>
  <si>
    <t>如果没到7月则显示0</t>
    <phoneticPr fontId="20" type="noConversion"/>
  </si>
  <si>
    <t>上半年-对资产负债率度（%）</t>
    <phoneticPr fontId="20" type="noConversion"/>
  </si>
  <si>
    <t>6月实际</t>
    <phoneticPr fontId="20" type="noConversion"/>
  </si>
  <si>
    <t>6月预算数</t>
    <phoneticPr fontId="20" type="noConversion"/>
  </si>
  <si>
    <t>差额/资产负债率差额</t>
    <phoneticPr fontId="20" type="noConversion"/>
  </si>
  <si>
    <t>销售净利润率</t>
    <phoneticPr fontId="20" type="noConversion"/>
  </si>
  <si>
    <t xml:space="preserve">      净利润</t>
    <phoneticPr fontId="20" type="noConversion"/>
  </si>
  <si>
    <t>总资产周转率</t>
    <phoneticPr fontId="20" type="noConversion"/>
  </si>
  <si>
    <t>平均资产总额</t>
    <phoneticPr fontId="20" type="noConversion"/>
  </si>
  <si>
    <t>权益乘数</t>
    <phoneticPr fontId="20" type="noConversion"/>
  </si>
  <si>
    <t>对净资产收益率贡献度（%）</t>
  </si>
  <si>
    <t>差额/净资产收益率差额</t>
    <phoneticPr fontId="20" type="noConversion"/>
  </si>
  <si>
    <t>半年预算数</t>
    <phoneticPr fontId="20" type="noConversion"/>
  </si>
  <si>
    <t>上半年实际</t>
    <phoneticPr fontId="20" type="noConversion"/>
  </si>
  <si>
    <t>指标</t>
    <phoneticPr fontId="20" type="noConversion"/>
  </si>
  <si>
    <t>变动额</t>
    <phoneticPr fontId="20" type="noConversion"/>
  </si>
  <si>
    <t>原值/目标值</t>
    <phoneticPr fontId="20" type="noConversion"/>
  </si>
  <si>
    <t>净资产收益率</t>
    <phoneticPr fontId="20" type="noConversion"/>
  </si>
  <si>
    <t>变更后值</t>
    <phoneticPr fontId="20" type="noConversion"/>
  </si>
  <si>
    <t>考核目标值</t>
    <phoneticPr fontId="20" type="noConversion"/>
  </si>
  <si>
    <t>售电量增加100</t>
    <phoneticPr fontId="20" type="noConversion"/>
  </si>
  <si>
    <t>场景</t>
    <phoneticPr fontId="20" type="noConversion"/>
  </si>
  <si>
    <t>场景序号</t>
    <phoneticPr fontId="20" type="noConversion"/>
  </si>
  <si>
    <t>输配电价降低1</t>
    <phoneticPr fontId="20" type="noConversion"/>
  </si>
  <si>
    <t>成本增加100</t>
    <phoneticPr fontId="20" type="noConversion"/>
  </si>
  <si>
    <t>税率下调1%</t>
    <phoneticPr fontId="20" type="noConversion"/>
  </si>
  <si>
    <t>成本</t>
  </si>
  <si>
    <t>税金</t>
  </si>
  <si>
    <t>影响指标类型
（下拉勾选）</t>
    <phoneticPr fontId="20" type="noConversion"/>
  </si>
  <si>
    <t>导致利润总额变动</t>
    <phoneticPr fontId="20" type="noConversion"/>
  </si>
  <si>
    <t>所有场景合计影响分析</t>
    <phoneticPr fontId="20" type="noConversion"/>
  </si>
  <si>
    <t>售电量</t>
  </si>
  <si>
    <t>营业成本</t>
  </si>
  <si>
    <t>税率</t>
  </si>
  <si>
    <t>指标变动单位</t>
    <phoneticPr fontId="20" type="noConversion"/>
  </si>
  <si>
    <t>原利润总额</t>
    <phoneticPr fontId="20" type="noConversion"/>
  </si>
  <si>
    <t>原资产负债率</t>
    <phoneticPr fontId="20" type="noConversion"/>
  </si>
  <si>
    <t>原EVA</t>
    <phoneticPr fontId="20" type="noConversion"/>
  </si>
  <si>
    <t>原净资产收益率</t>
    <phoneticPr fontId="20" type="noConversion"/>
  </si>
  <si>
    <t>变更后利润总额</t>
  </si>
  <si>
    <t>变更后资产负债率</t>
  </si>
  <si>
    <t>变更后EVA</t>
  </si>
  <si>
    <t>变更后净资产收益率</t>
  </si>
  <si>
    <t>设置</t>
    <phoneticPr fontId="20" type="noConversion"/>
  </si>
  <si>
    <t>勾选所有复选框后点击测算，出所有场景变动下指标值</t>
    <phoneticPr fontId="20" type="noConversion"/>
  </si>
  <si>
    <t>每次只选一个复选框，勾选复选框后点测算按钮</t>
    <phoneticPr fontId="20" type="noConversion"/>
  </si>
  <si>
    <t>递延收益</t>
    <phoneticPr fontId="20" type="noConversion"/>
  </si>
  <si>
    <t>每年增加6亿</t>
    <phoneticPr fontId="20" type="noConversion"/>
  </si>
  <si>
    <t>每年政府补贴10亿</t>
    <phoneticPr fontId="20" type="noConversion"/>
  </si>
  <si>
    <t>递延收益转收入</t>
    <phoneticPr fontId="20" type="noConversion"/>
  </si>
  <si>
    <t>递延收益余额</t>
    <phoneticPr fontId="20" type="noConversion"/>
  </si>
  <si>
    <t>递延收益调整额</t>
    <phoneticPr fontId="20" type="noConversion"/>
  </si>
  <si>
    <t>递延收益期初</t>
    <phoneticPr fontId="20" type="noConversion"/>
  </si>
  <si>
    <t>递延收益转收入累计</t>
    <phoneticPr fontId="20" type="noConversion"/>
  </si>
  <si>
    <t>假设每次转2亿进收入</t>
    <phoneticPr fontId="20" type="noConversion"/>
  </si>
  <si>
    <t>Sheet1</t>
  </si>
  <si>
    <t>经济活动分析</t>
  </si>
  <si>
    <t>净资产收益率完成情况</t>
  </si>
  <si>
    <t>固定资产投资增长率</t>
    <phoneticPr fontId="20" type="noConversion"/>
  </si>
  <si>
    <t>调整额度</t>
    <phoneticPr fontId="20" type="noConversion"/>
  </si>
  <si>
    <t>购电单价</t>
    <phoneticPr fontId="20" type="noConversion"/>
  </si>
  <si>
    <t>售电收入</t>
    <phoneticPr fontId="20" type="noConversion"/>
  </si>
  <si>
    <t>营业总成本</t>
    <phoneticPr fontId="20" type="noConversion"/>
  </si>
  <si>
    <t>购电成本</t>
    <phoneticPr fontId="20" type="noConversion"/>
  </si>
  <si>
    <t>[链接:ASM]国家补贴、政府补贴</t>
    <phoneticPr fontId="20" type="noConversion"/>
  </si>
  <si>
    <t>假设每次转2亿进收入</t>
  </si>
  <si>
    <t>省内售电量</t>
    <phoneticPr fontId="20" type="noConversion"/>
  </si>
  <si>
    <t>购电量</t>
    <phoneticPr fontId="20" type="noConversion"/>
  </si>
  <si>
    <t>购电量（亿千瓦时）</t>
    <phoneticPr fontId="20" type="noConversion"/>
  </si>
  <si>
    <t>购电量调整额（亿千瓦时）</t>
    <phoneticPr fontId="20" type="noConversion"/>
  </si>
  <si>
    <t>手动输入</t>
    <phoneticPr fontId="20" type="noConversion"/>
  </si>
  <si>
    <t>可以手动输入</t>
    <phoneticPr fontId="20" type="noConversion"/>
  </si>
  <si>
    <t>输配电价调整额</t>
    <phoneticPr fontId="20" type="noConversion"/>
  </si>
  <si>
    <t>购电均价（元/兆瓦时，不含税）——调整额</t>
    <phoneticPr fontId="20" type="noConversion"/>
  </si>
  <si>
    <t>手动输入</t>
    <phoneticPr fontId="20" type="noConversion"/>
  </si>
  <si>
    <t>售电均价（元/兆瓦时，不含税）——调整额</t>
    <phoneticPr fontId="20" type="noConversion"/>
  </si>
  <si>
    <t>调整参数</t>
    <phoneticPr fontId="20" type="noConversion"/>
  </si>
  <si>
    <t>过程指标</t>
    <phoneticPr fontId="20" type="noConversion"/>
  </si>
  <si>
    <t>权益总额</t>
    <phoneticPr fontId="20" type="noConversion"/>
  </si>
  <si>
    <t>基本参数</t>
    <phoneticPr fontId="2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</si>
</sst>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8">
    <numFmt numFmtId="41" formatCode="_ * #,##0_ ;_ * \-#,##0_ ;_ * &quot;-&quot;_ ;_ @_ "/>
    <numFmt numFmtId="44" formatCode="_ &quot;¥&quot;* #,##0.00_ ;_ &quot;¥&quot;* \-#,##0.00_ ;_ &quot;¥&quot;* &quot;-&quot;??_ ;_ @_ "/>
    <numFmt numFmtId="43" formatCode="_ * #,##0.00_ ;_ * \-#,##0.00_ ;_ * &quot;-&quot;??_ ;_ @_ "/>
    <numFmt numFmtId="176" formatCode="#,##0.0_);\(#,##0.0\);0.0_);@_)"/>
    <numFmt numFmtId="177" formatCode="#,##0.0_);\(#,##0.0\)"/>
    <numFmt numFmtId="178" formatCode="#,##0_);\(#,##0\);0_);@_)"/>
    <numFmt numFmtId="179" formatCode="#,##0.00_);\(#,##0.00\);0.00_);@_)"/>
    <numFmt numFmtId="180" formatCode="0.0"/>
    <numFmt numFmtId="181" formatCode="0.0%"/>
    <numFmt numFmtId="182" formatCode="_ * #,##0.0_ ;_ * \-#,##0.0_ ;_ * &quot;-&quot;??_ ;_ @_ "/>
    <numFmt numFmtId="183" formatCode="_ * #,##0.0_ ;_ * \-#,##0.0_ ;_ * &quot;-&quot;?_ ;_ @_ "/>
    <numFmt numFmtId="184" formatCode="0.0_ "/>
    <numFmt numFmtId="185" formatCode="0.00_ "/>
    <numFmt numFmtId="186" formatCode="#,##0.0_);\(#,##0.0\);#,##0.0_);@_)"/>
    <numFmt numFmtId="187" formatCode="yyyy"/>
    <numFmt numFmtId="188" formatCode="0.0_)%;\(0.0\)%;0.0_)%;@_)_%"/>
    <numFmt numFmtId="189" formatCode="_ * #,##0.00_ ;_ * \-#,##0.00_ ;_ * &quot;-&quot;?_ ;_ @_ "/>
    <numFmt numFmtId="190" formatCode="yyyy/mm/dd"/>
    <numFmt numFmtId="191" formatCode="0.0_);[Red]\(0.0\)"/>
    <numFmt numFmtId="192" formatCode="_ * #,##0_ ;_ * \-#,##0_ ;_ * &quot;-&quot;??_ ;_ @_ "/>
    <numFmt numFmtId="193" formatCode="_(* #,##0.0_);_(* \(#,##0.0\);_(* &quot;-&quot;??_);_(@_)"/>
    <numFmt numFmtId="194" formatCode="0_ "/>
    <numFmt numFmtId="195" formatCode="0.00%;\-0.00%"/>
    <numFmt numFmtId="196" formatCode="0.000%"/>
    <numFmt numFmtId="197" formatCode="_ * #,##0_ ;_ * \-#,##0_ ;_ * &quot;-&quot;?_ ;_ @_ "/>
    <numFmt numFmtId="198" formatCode="_(* #,##0.00_);_(* \(#,##0.00\);_(* &quot;-&quot;??_);_(@_)"/>
    <numFmt numFmtId="199" formatCode="#,##0.00_);\(#,##0.00\)"/>
    <numFmt numFmtId="200" formatCode="_ * #,##0.00000_ ;_ * \-#,##0.00000_ ;_ * &quot;-&quot;??.0000_ ;_ @_ "/>
    <numFmt numFmtId="201" formatCode="_ * #,##0.0000_ ;_ * \-#,##0.0000_ ;_ * &quot;-&quot;??_ ;_ @_ "/>
    <numFmt numFmtId="202" formatCode="0.00000"/>
    <numFmt numFmtId="203" formatCode="_(* #,##0.0000_);_(* \(#,##0.0000\);_(* &quot;-&quot;??_);_(@_)"/>
    <numFmt numFmtId="204" formatCode="0.0000_ "/>
    <numFmt numFmtId="205" formatCode="_(* #,##0_);_(* \(#,##0\);_(* &quot;-&quot;??_);_(@_)"/>
    <numFmt numFmtId="206" formatCode="0.00_);[Red]\(0.00\)"/>
    <numFmt numFmtId="207" formatCode="#,##0_ "/>
    <numFmt numFmtId="208" formatCode="#,##0.0_)\x;\(#,##0.0\)\x;0.0_)\x;@_)_x"/>
    <numFmt numFmtId="209" formatCode="0.000"/>
    <numFmt numFmtId="210" formatCode="0_);[Red]\(0\)"/>
    <numFmt numFmtId="211" formatCode="0.0000%"/>
    <numFmt numFmtId="212" formatCode="#,##0.00_ "/>
    <numFmt numFmtId="213" formatCode="_ * #,##0.00000_ ;_ * \-#,##0.00000_ ;_ * &quot;-&quot;??_ ;_ @_ "/>
    <numFmt numFmtId="214" formatCode="_ * #,##0.000_ ;_ * \-#,##0.000_ ;_ * &quot;-&quot;??_ ;_ @_ "/>
    <numFmt numFmtId="215" formatCode="_ * #,##0.000_ ;_ * \-#,##0.000_ ;_ * &quot;-&quot;?_ ;_ @_ "/>
    <numFmt numFmtId="216" formatCode="_ * #,##0.0000_ ;_ * \-#,##0.0000_ ;_ * &quot;-&quot;?_ ;_ @_ "/>
    <numFmt numFmtId="217" formatCode="_ * #,##0.000000_ ;_ * \-#,##0.000000_ ;_ * &quot;-&quot;??_ ;_ @_ "/>
    <numFmt numFmtId="218" formatCode="0E+00"/>
    <numFmt numFmtId="219" formatCode="0.00000000%"/>
    <numFmt numFmtId="220" formatCode="0.00_ ;[Red]\-0.00\ "/>
  </numFmts>
  <fonts count="213">
    <font>
      <sz val="11"/>
      <color theme="1"/>
      <name val="宋体"/>
      <family val="2"/>
      <charset val="134"/>
      <scheme val="minor"/>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0"/>
      <color theme="1"/>
      <name val="微软雅黑"/>
      <family val="2"/>
      <charset val="134"/>
    </font>
    <font>
      <sz val="12"/>
      <name val="宋体"/>
      <family val="3"/>
      <charset val="134"/>
    </font>
    <font>
      <sz val="9"/>
      <name val="宋体"/>
      <family val="2"/>
      <charset val="134"/>
      <scheme val="minor"/>
    </font>
    <font>
      <sz val="14"/>
      <color indexed="9"/>
      <name val="黑体"/>
      <family val="3"/>
      <charset val="134"/>
    </font>
    <font>
      <sz val="10"/>
      <color indexed="9"/>
      <name val="Arial"/>
      <family val="2"/>
      <charset val="134"/>
    </font>
    <font>
      <sz val="10"/>
      <name val="Arial"/>
      <family val="2"/>
      <charset val="134"/>
    </font>
    <font>
      <sz val="10"/>
      <color theme="0"/>
      <name val="Arial"/>
      <family val="2"/>
      <charset val="134"/>
    </font>
    <font>
      <b/>
      <sz val="15"/>
      <color indexed="9"/>
      <name val="Arial"/>
      <family val="2"/>
      <charset val="134"/>
    </font>
    <font>
      <sz val="10"/>
      <color theme="0"/>
      <name val="ZEGAfont05"/>
      <family val="2"/>
    </font>
    <font>
      <sz val="12"/>
      <color theme="0"/>
      <name val="黑体"/>
      <family val="3"/>
      <charset val="134"/>
    </font>
    <font>
      <sz val="9"/>
      <name val="Calibri"/>
      <family val="2"/>
      <charset val="134"/>
    </font>
    <font>
      <sz val="10"/>
      <color theme="0"/>
      <name val="黑体"/>
      <family val="3"/>
      <charset val="134"/>
    </font>
    <font>
      <sz val="10"/>
      <color indexed="62"/>
      <name val="宋体"/>
      <family val="3"/>
      <charset val="134"/>
      <scheme val="minor"/>
    </font>
    <font>
      <sz val="10"/>
      <name val="宋体"/>
      <family val="3"/>
      <charset val="134"/>
      <scheme val="minor"/>
    </font>
    <font>
      <sz val="10"/>
      <color indexed="12"/>
      <name val="Arial"/>
      <family val="2"/>
      <charset val="134"/>
    </font>
    <font>
      <sz val="10"/>
      <color theme="0"/>
      <name val="宋体"/>
      <family val="3"/>
      <charset val="134"/>
      <scheme val="minor"/>
    </font>
    <font>
      <sz val="9"/>
      <color indexed="8"/>
      <name val="Arial"/>
      <family val="2"/>
      <charset val="134"/>
    </font>
    <font>
      <sz val="11"/>
      <color indexed="8"/>
      <name val="Calibri"/>
      <family val="2"/>
      <charset val="134"/>
    </font>
    <font>
      <sz val="11"/>
      <name val="宋体"/>
      <family val="2"/>
      <charset val="134"/>
      <scheme val="minor"/>
    </font>
    <font>
      <u/>
      <sz val="11"/>
      <color theme="10"/>
      <name val="宋体"/>
      <family val="2"/>
      <charset val="134"/>
      <scheme val="minor"/>
    </font>
    <font>
      <sz val="11"/>
      <color theme="1"/>
      <name val="宋体"/>
      <family val="2"/>
      <charset val="134"/>
      <scheme val="minor"/>
    </font>
    <font>
      <b/>
      <sz val="11"/>
      <color theme="1"/>
      <name val="宋体"/>
      <family val="2"/>
      <charset val="134"/>
      <scheme val="minor"/>
    </font>
    <font>
      <b/>
      <sz val="12"/>
      <color theme="0"/>
      <name val="黑体"/>
      <family val="3"/>
      <charset val="134"/>
    </font>
    <font>
      <b/>
      <sz val="11"/>
      <color theme="1"/>
      <name val="宋体"/>
      <family val="3"/>
      <charset val="134"/>
      <scheme val="minor"/>
    </font>
    <font>
      <sz val="11"/>
      <color theme="1"/>
      <name val="宋体"/>
      <family val="3"/>
      <charset val="134"/>
      <scheme val="minor"/>
    </font>
    <font>
      <sz val="11"/>
      <color theme="1"/>
      <name val="宋体"/>
      <family val="3"/>
      <charset val="134"/>
    </font>
    <font>
      <b/>
      <sz val="11"/>
      <name val="宋体"/>
      <family val="3"/>
      <charset val="134"/>
      <scheme val="minor"/>
    </font>
    <font>
      <sz val="11"/>
      <name val="宋体"/>
      <family val="3"/>
      <charset val="134"/>
      <scheme val="minor"/>
    </font>
    <font>
      <sz val="10"/>
      <name val="宋体"/>
      <family val="3"/>
      <charset val="134"/>
      <scheme val="major"/>
    </font>
    <font>
      <sz val="10"/>
      <color theme="1"/>
      <name val="宋体"/>
      <family val="3"/>
      <charset val="134"/>
      <scheme val="major"/>
    </font>
    <font>
      <sz val="10"/>
      <color theme="0"/>
      <name val="宋体"/>
      <family val="3"/>
      <charset val="134"/>
      <scheme val="major"/>
    </font>
    <font>
      <b/>
      <sz val="10"/>
      <color indexed="56"/>
      <name val="Arial"/>
      <family val="2"/>
      <charset val="134"/>
    </font>
    <font>
      <sz val="11"/>
      <color indexed="8"/>
      <name val="宋体"/>
      <family val="2"/>
      <charset val="134"/>
    </font>
    <font>
      <sz val="11"/>
      <color rgb="FF0000FF"/>
      <name val="宋体"/>
      <family val="3"/>
      <charset val="134"/>
      <scheme val="major"/>
    </font>
    <font>
      <sz val="11"/>
      <color rgb="FF0000FF"/>
      <name val="宋体"/>
      <family val="3"/>
      <charset val="134"/>
      <scheme val="minor"/>
    </font>
    <font>
      <sz val="11"/>
      <color theme="0"/>
      <name val="宋体"/>
      <family val="2"/>
      <charset val="134"/>
      <scheme val="minor"/>
    </font>
    <font>
      <sz val="11"/>
      <color rgb="FF0000FF"/>
      <name val="宋体"/>
      <family val="2"/>
      <charset val="134"/>
      <scheme val="minor"/>
    </font>
    <font>
      <sz val="10"/>
      <name val="Arial"/>
      <family val="2"/>
    </font>
    <font>
      <b/>
      <sz val="18"/>
      <name val="黑体"/>
      <family val="3"/>
      <charset val="134"/>
    </font>
    <font>
      <sz val="11"/>
      <color indexed="62"/>
      <name val="宋体"/>
      <family val="3"/>
      <charset val="134"/>
      <scheme val="minor"/>
    </font>
    <font>
      <sz val="11"/>
      <color indexed="62"/>
      <name val="宋体"/>
      <family val="3"/>
      <charset val="134"/>
    </font>
    <font>
      <sz val="11"/>
      <color indexed="8"/>
      <name val="宋体"/>
      <family val="3"/>
      <charset val="134"/>
    </font>
    <font>
      <sz val="11"/>
      <color rgb="FF0000FF"/>
      <name val="宋体"/>
      <family val="3"/>
      <charset val="134"/>
    </font>
    <font>
      <sz val="11"/>
      <color indexed="12"/>
      <name val="宋体"/>
      <family val="3"/>
      <charset val="134"/>
    </font>
    <font>
      <sz val="11"/>
      <color theme="0"/>
      <name val="黑体"/>
      <family val="3"/>
      <charset val="134"/>
    </font>
    <font>
      <sz val="11"/>
      <color theme="8" tint="-0.249977111117893"/>
      <name val="宋体"/>
      <family val="3"/>
      <charset val="134"/>
      <scheme val="minor"/>
    </font>
    <font>
      <sz val="11"/>
      <color theme="8" tint="-0.249977111117893"/>
      <name val="宋体"/>
      <family val="3"/>
      <charset val="134"/>
    </font>
    <font>
      <sz val="11"/>
      <color theme="8" tint="-0.249977111117893"/>
      <name val="宋体"/>
      <family val="3"/>
      <charset val="134"/>
      <scheme val="major"/>
    </font>
    <font>
      <u/>
      <sz val="11"/>
      <color theme="0"/>
      <name val="宋体"/>
      <family val="2"/>
      <charset val="134"/>
      <scheme val="minor"/>
    </font>
    <font>
      <b/>
      <sz val="10"/>
      <name val="宋体"/>
      <family val="3"/>
      <charset val="134"/>
      <scheme val="minor"/>
    </font>
    <font>
      <sz val="11"/>
      <color indexed="8"/>
      <name val="Calibri"/>
      <family val="2"/>
    </font>
    <font>
      <b/>
      <sz val="12"/>
      <name val="宋体"/>
      <family val="3"/>
      <charset val="134"/>
    </font>
    <font>
      <b/>
      <sz val="10"/>
      <color indexed="56"/>
      <name val="宋体"/>
      <family val="3"/>
      <charset val="134"/>
    </font>
    <font>
      <sz val="9"/>
      <name val="宋体"/>
      <family val="3"/>
      <charset val="134"/>
    </font>
    <font>
      <sz val="11"/>
      <color rgb="FFFF0000"/>
      <name val="宋体"/>
      <family val="2"/>
      <charset val="134"/>
      <scheme val="minor"/>
    </font>
    <font>
      <i/>
      <sz val="11"/>
      <color rgb="FF00B050"/>
      <name val="宋体"/>
      <family val="3"/>
      <charset val="134"/>
      <scheme val="minor"/>
    </font>
    <font>
      <sz val="11"/>
      <name val="宋体"/>
      <family val="3"/>
      <charset val="134"/>
    </font>
    <font>
      <u/>
      <sz val="9"/>
      <color indexed="12"/>
      <name val="宋体"/>
      <family val="3"/>
      <charset val="134"/>
    </font>
    <font>
      <b/>
      <sz val="11"/>
      <name val="宋体"/>
      <family val="3"/>
      <charset val="134"/>
    </font>
    <font>
      <i/>
      <sz val="11"/>
      <name val="宋体"/>
      <family val="3"/>
      <charset val="134"/>
      <scheme val="minor"/>
    </font>
    <font>
      <sz val="10"/>
      <name val="宋体"/>
      <family val="3"/>
      <charset val="134"/>
    </font>
    <font>
      <sz val="11"/>
      <name val="宋体"/>
      <family val="3"/>
      <charset val="134"/>
      <scheme val="major"/>
    </font>
    <font>
      <sz val="11"/>
      <color indexed="8"/>
      <name val="Arial"/>
      <family val="2"/>
    </font>
    <font>
      <b/>
      <u val="singleAccounting"/>
      <sz val="10"/>
      <color indexed="56"/>
      <name val="Arial"/>
      <family val="2"/>
      <charset val="134"/>
    </font>
    <font>
      <sz val="11"/>
      <name val="Arial"/>
      <family val="2"/>
    </font>
    <font>
      <sz val="12"/>
      <color indexed="9"/>
      <name val="黑体"/>
      <family val="3"/>
      <charset val="134"/>
    </font>
    <font>
      <sz val="36"/>
      <color theme="8"/>
      <name val="Impact"/>
      <family val="2"/>
    </font>
    <font>
      <sz val="36"/>
      <name val="Impact"/>
      <family val="2"/>
    </font>
    <font>
      <sz val="12"/>
      <name val="Arial"/>
      <family val="2"/>
      <charset val="134"/>
    </font>
    <font>
      <sz val="12"/>
      <name val="Arial"/>
      <family val="2"/>
    </font>
    <font>
      <sz val="10"/>
      <name val="Calibri Light"/>
      <family val="2"/>
    </font>
    <font>
      <sz val="10"/>
      <name val="Microsoft YaHei UI"/>
      <family val="2"/>
      <charset val="134"/>
    </font>
    <font>
      <sz val="14"/>
      <color theme="0"/>
      <name val="黑体"/>
      <family val="3"/>
      <charset val="134"/>
    </font>
    <font>
      <b/>
      <sz val="12"/>
      <name val="黑体"/>
      <family val="3"/>
      <charset val="134"/>
    </font>
    <font>
      <i/>
      <sz val="11"/>
      <name val="Arial Unicode MS"/>
      <family val="2"/>
      <charset val="134"/>
    </font>
    <font>
      <u/>
      <sz val="12"/>
      <name val="黑体"/>
      <family val="3"/>
      <charset val="134"/>
    </font>
    <font>
      <sz val="12"/>
      <name val="微软雅黑"/>
      <family val="2"/>
      <charset val="134"/>
    </font>
    <font>
      <sz val="10"/>
      <name val="微软雅黑"/>
      <family val="2"/>
      <charset val="134"/>
    </font>
    <font>
      <sz val="9"/>
      <name val="微软雅黑"/>
      <family val="2"/>
      <charset val="134"/>
    </font>
    <font>
      <b/>
      <sz val="18"/>
      <name val="宋体"/>
      <family val="3"/>
      <charset val="134"/>
    </font>
    <font>
      <sz val="12"/>
      <name val="Times New Roman"/>
      <family val="1"/>
    </font>
    <font>
      <b/>
      <sz val="10"/>
      <name val="宋体"/>
      <family val="3"/>
      <charset val="134"/>
    </font>
    <font>
      <sz val="8"/>
      <name val="宋体"/>
      <family val="3"/>
      <charset val="134"/>
    </font>
    <font>
      <b/>
      <sz val="11"/>
      <color rgb="FF0000FF"/>
      <name val="宋体"/>
      <family val="3"/>
      <charset val="134"/>
      <scheme val="minor"/>
    </font>
    <font>
      <sz val="11"/>
      <color rgb="FFC00000"/>
      <name val="宋体"/>
      <family val="3"/>
      <charset val="134"/>
      <scheme val="minor"/>
    </font>
    <font>
      <b/>
      <sz val="11.25"/>
      <color indexed="9"/>
      <name val="宋体"/>
      <family val="3"/>
      <charset val="134"/>
    </font>
    <font>
      <sz val="11"/>
      <color indexed="9"/>
      <name val="宋体"/>
      <family val="3"/>
      <charset val="134"/>
    </font>
    <font>
      <b/>
      <sz val="11"/>
      <color indexed="9"/>
      <name val="宋体"/>
      <family val="3"/>
      <charset val="134"/>
    </font>
    <font>
      <sz val="9"/>
      <color indexed="9"/>
      <name val="宋体"/>
      <family val="3"/>
      <charset val="134"/>
    </font>
    <font>
      <sz val="10"/>
      <name val="Times New Roman"/>
      <family val="1"/>
    </font>
    <font>
      <b/>
      <sz val="10"/>
      <color indexed="8"/>
      <name val="宋体"/>
      <family val="3"/>
      <charset val="134"/>
    </font>
    <font>
      <sz val="10"/>
      <color indexed="8"/>
      <name val="宋体"/>
      <family val="3"/>
      <charset val="134"/>
    </font>
    <font>
      <sz val="9"/>
      <name val="Arial"/>
      <family val="2"/>
    </font>
    <font>
      <b/>
      <sz val="9"/>
      <color indexed="8"/>
      <name val="宋体"/>
      <family val="3"/>
      <charset val="134"/>
    </font>
    <font>
      <b/>
      <sz val="11"/>
      <color indexed="8"/>
      <name val="宋体"/>
      <family val="3"/>
      <charset val="134"/>
    </font>
    <font>
      <sz val="9"/>
      <color indexed="8"/>
      <name val="宋体"/>
      <family val="3"/>
      <charset val="134"/>
    </font>
    <font>
      <sz val="11"/>
      <color rgb="FFFF0000"/>
      <name val="宋体"/>
      <family val="3"/>
      <charset val="134"/>
      <scheme val="minor"/>
    </font>
    <font>
      <sz val="11"/>
      <color rgb="FF00B050"/>
      <name val="宋体"/>
      <family val="3"/>
      <charset val="134"/>
      <scheme val="minor"/>
    </font>
    <font>
      <sz val="12"/>
      <color theme="1"/>
      <name val="宋体"/>
      <family val="3"/>
      <charset val="134"/>
    </font>
    <font>
      <sz val="9"/>
      <color indexed="12"/>
      <name val="宋体"/>
      <family val="3"/>
      <charset val="134"/>
      <scheme val="minor"/>
    </font>
    <font>
      <sz val="9"/>
      <color indexed="8"/>
      <name val="宋体"/>
      <family val="3"/>
      <charset val="134"/>
      <scheme val="minor"/>
    </font>
    <font>
      <sz val="9"/>
      <color indexed="81"/>
      <name val="Tahoma"/>
      <family val="2"/>
    </font>
    <font>
      <b/>
      <sz val="9"/>
      <color indexed="81"/>
      <name val="Tahoma"/>
      <family val="2"/>
    </font>
    <font>
      <sz val="9"/>
      <color indexed="81"/>
      <name val="宋体"/>
      <family val="3"/>
      <charset val="134"/>
    </font>
    <font>
      <sz val="10"/>
      <color rgb="FFFF0000"/>
      <name val="微软雅黑"/>
      <family val="2"/>
      <charset val="134"/>
    </font>
    <font>
      <u/>
      <sz val="11"/>
      <color theme="10"/>
      <name val="宋体"/>
      <family val="3"/>
      <charset val="134"/>
      <scheme val="minor"/>
    </font>
    <font>
      <u/>
      <sz val="10"/>
      <color theme="10"/>
      <name val="微软雅黑"/>
      <family val="2"/>
      <charset val="134"/>
    </font>
    <font>
      <sz val="10"/>
      <color indexed="8"/>
      <name val="微软雅黑"/>
      <family val="2"/>
      <charset val="134"/>
    </font>
    <font>
      <sz val="10"/>
      <color theme="1"/>
      <name val="微软雅黑"/>
      <family val="2"/>
      <charset val="134"/>
    </font>
    <font>
      <b/>
      <sz val="10"/>
      <color indexed="8"/>
      <name val="微软雅黑"/>
      <family val="2"/>
      <charset val="134"/>
    </font>
    <font>
      <sz val="11"/>
      <color indexed="8"/>
      <name val="等线"/>
      <family val="3"/>
      <charset val="134"/>
    </font>
    <font>
      <u/>
      <sz val="11"/>
      <color indexed="12"/>
      <name val="宋体"/>
      <family val="3"/>
      <charset val="134"/>
    </font>
    <font>
      <u/>
      <sz val="10"/>
      <color indexed="20"/>
      <name val="微软雅黑"/>
      <family val="2"/>
      <charset val="134"/>
    </font>
    <font>
      <u/>
      <sz val="10"/>
      <color indexed="12"/>
      <name val="微软雅黑"/>
      <family val="2"/>
      <charset val="134"/>
    </font>
    <font>
      <sz val="9"/>
      <name val="宋体"/>
      <family val="3"/>
      <charset val="134"/>
      <scheme val="minor"/>
    </font>
    <font>
      <sz val="9"/>
      <color theme="1"/>
      <name val="微软雅黑"/>
      <family val="2"/>
      <charset val="134"/>
    </font>
    <font>
      <sz val="10"/>
      <color indexed="10"/>
      <name val="宋体"/>
      <family val="3"/>
      <charset val="134"/>
    </font>
    <font>
      <b/>
      <sz val="11"/>
      <color theme="1"/>
      <name val="微软雅黑"/>
      <family val="2"/>
      <charset val="134"/>
    </font>
    <font>
      <sz val="11"/>
      <color theme="1"/>
      <name val="微软雅黑"/>
      <family val="2"/>
      <charset val="134"/>
    </font>
    <font>
      <sz val="11"/>
      <name val="微软雅黑"/>
      <family val="2"/>
      <charset val="134"/>
    </font>
    <font>
      <b/>
      <sz val="9"/>
      <color indexed="81"/>
      <name val="宋体"/>
      <family val="3"/>
      <charset val="134"/>
    </font>
    <font>
      <b/>
      <sz val="11"/>
      <color rgb="FF000000"/>
      <name val="微软雅黑"/>
      <family val="2"/>
      <charset val="134"/>
    </font>
    <font>
      <sz val="9"/>
      <color rgb="FF000000"/>
      <name val="宋体"/>
      <family val="3"/>
      <charset val="134"/>
    </font>
    <font>
      <b/>
      <sz val="14"/>
      <color theme="9" tint="-0.499984740745262"/>
      <name val="微软雅黑"/>
      <family val="2"/>
      <charset val="134"/>
    </font>
    <font>
      <b/>
      <sz val="10"/>
      <color theme="1"/>
      <name val="微软雅黑"/>
      <family val="2"/>
      <charset val="134"/>
    </font>
    <font>
      <sz val="11"/>
      <color rgb="FFFF0000"/>
      <name val="微软雅黑"/>
      <family val="2"/>
      <charset val="134"/>
    </font>
    <font>
      <b/>
      <sz val="11"/>
      <color rgb="FFFF0000"/>
      <name val="微软雅黑"/>
      <family val="2"/>
      <charset val="134"/>
    </font>
    <font>
      <b/>
      <sz val="12"/>
      <color rgb="FF00B050"/>
      <name val="微软雅黑"/>
      <family val="2"/>
      <charset val="134"/>
    </font>
    <font>
      <b/>
      <sz val="11"/>
      <color rgb="FF000000"/>
      <name val="宋体"/>
      <family val="3"/>
      <charset val="134"/>
    </font>
    <font>
      <b/>
      <sz val="10"/>
      <color indexed="18"/>
      <name val="Arial"/>
      <family val="2"/>
    </font>
    <font>
      <b/>
      <sz val="10"/>
      <color rgb="FF00355F"/>
      <name val="Arial"/>
      <family val="2"/>
    </font>
    <font>
      <sz val="11"/>
      <color rgb="FF0000FF"/>
      <name val="微软雅黑"/>
      <family val="2"/>
      <charset val="134"/>
    </font>
    <font>
      <sz val="10"/>
      <color rgb="FF0000FF"/>
      <name val="微软雅黑"/>
      <family val="2"/>
      <charset val="134"/>
    </font>
    <font>
      <b/>
      <sz val="11"/>
      <color rgb="FF00B050"/>
      <name val="宋体"/>
      <family val="3"/>
      <charset val="134"/>
      <scheme val="minor"/>
    </font>
    <font>
      <b/>
      <sz val="14"/>
      <color theme="10"/>
      <name val="微软雅黑"/>
      <family val="2"/>
      <charset val="134"/>
    </font>
    <font>
      <b/>
      <sz val="10"/>
      <color rgb="FF0033CC"/>
      <name val="微软雅黑"/>
      <family val="2"/>
      <charset val="134"/>
    </font>
    <font>
      <sz val="11"/>
      <color rgb="FF000000"/>
      <name val="宋体"/>
      <family val="3"/>
      <charset val="134"/>
    </font>
    <font>
      <sz val="8"/>
      <color theme="1"/>
      <name val="宋体"/>
      <family val="3"/>
      <charset val="134"/>
      <scheme val="minor"/>
    </font>
    <font>
      <sz val="8"/>
      <name val="宋体"/>
      <family val="3"/>
      <charset val="134"/>
      <scheme val="minor"/>
    </font>
    <font>
      <sz val="11"/>
      <color rgb="FF0033CC"/>
      <name val="宋体"/>
      <family val="2"/>
      <charset val="134"/>
      <scheme val="minor"/>
    </font>
    <font>
      <b/>
      <sz val="10"/>
      <name val="Arial"/>
      <family val="2"/>
      <charset val="134"/>
    </font>
    <font>
      <sz val="10"/>
      <color theme="1"/>
      <name val="宋体"/>
      <family val="3"/>
      <charset val="134"/>
    </font>
    <font>
      <sz val="11"/>
      <color theme="0"/>
      <name val="宋体"/>
      <family val="3"/>
      <charset val="134"/>
      <scheme val="minor"/>
    </font>
    <font>
      <sz val="9"/>
      <color indexed="8"/>
      <name val="Arial"/>
      <family val="2"/>
    </font>
    <font>
      <b/>
      <sz val="10"/>
      <color indexed="56"/>
      <name val="Arial"/>
      <family val="2"/>
    </font>
    <font>
      <b/>
      <u val="singleAccounting"/>
      <sz val="10"/>
      <color indexed="56"/>
      <name val="Arial"/>
      <family val="2"/>
    </font>
    <font>
      <sz val="11"/>
      <color rgb="FF9C0006"/>
      <name val="宋体"/>
      <family val="3"/>
      <charset val="134"/>
      <scheme val="minor"/>
    </font>
    <font>
      <sz val="11"/>
      <color rgb="FF006100"/>
      <name val="宋体"/>
      <family val="3"/>
      <charset val="134"/>
      <scheme val="minor"/>
    </font>
    <font>
      <sz val="11"/>
      <color rgb="FF0000CC"/>
      <name val="宋体"/>
      <family val="2"/>
      <charset val="134"/>
      <scheme val="minor"/>
    </font>
    <font>
      <u/>
      <sz val="11"/>
      <color theme="10"/>
      <name val="Calibri"/>
      <family val="2"/>
    </font>
    <font>
      <b/>
      <sz val="8.5"/>
      <name val="宋体"/>
      <family val="3"/>
      <charset val="134"/>
    </font>
    <font>
      <b/>
      <sz val="10"/>
      <color theme="0"/>
      <name val="微软雅黑"/>
      <family val="2"/>
      <charset val="134"/>
    </font>
    <font>
      <sz val="10"/>
      <color theme="0"/>
      <name val="微软雅黑"/>
      <family val="2"/>
      <charset val="134"/>
    </font>
    <font>
      <i/>
      <sz val="10"/>
      <color theme="1"/>
      <name val="微软雅黑"/>
      <family val="2"/>
      <charset val="134"/>
    </font>
    <font>
      <i/>
      <sz val="10"/>
      <name val="微软雅黑"/>
      <family val="2"/>
      <charset val="134"/>
    </font>
    <font>
      <i/>
      <sz val="10"/>
      <color rgb="FF0000FF"/>
      <name val="微软雅黑"/>
      <family val="2"/>
      <charset val="134"/>
    </font>
    <font>
      <b/>
      <sz val="10"/>
      <name val="微软雅黑"/>
      <family val="2"/>
      <charset val="134"/>
    </font>
    <font>
      <sz val="10"/>
      <color rgb="FF0033CC"/>
      <name val="微软雅黑"/>
      <family val="2"/>
      <charset val="134"/>
    </font>
    <font>
      <b/>
      <u/>
      <sz val="10"/>
      <name val="微软雅黑"/>
      <family val="2"/>
      <charset val="134"/>
    </font>
    <font>
      <u/>
      <sz val="10"/>
      <color theme="0"/>
      <name val="微软雅黑"/>
      <family val="2"/>
      <charset val="134"/>
    </font>
    <font>
      <b/>
      <sz val="10"/>
      <color rgb="FF0000FF"/>
      <name val="微软雅黑"/>
      <family val="2"/>
      <charset val="134"/>
    </font>
    <font>
      <sz val="10"/>
      <color rgb="FFC00000"/>
      <name val="微软雅黑"/>
      <family val="2"/>
      <charset val="134"/>
    </font>
    <font>
      <b/>
      <sz val="10"/>
      <color rgb="FFFF0000"/>
      <name val="微软雅黑"/>
      <family val="2"/>
      <charset val="134"/>
    </font>
    <font>
      <b/>
      <sz val="10"/>
      <color rgb="FF00B050"/>
      <name val="微软雅黑"/>
      <family val="2"/>
      <charset val="134"/>
    </font>
    <font>
      <sz val="10"/>
      <color rgb="FF00B050"/>
      <name val="微软雅黑"/>
      <family val="2"/>
      <charset val="134"/>
    </font>
    <font>
      <sz val="10"/>
      <color theme="0" tint="-0.249977111117893"/>
      <name val="微软雅黑"/>
      <family val="2"/>
      <charset val="134"/>
    </font>
    <font>
      <sz val="10"/>
      <color rgb="FF0000CC"/>
      <name val="微软雅黑"/>
      <family val="2"/>
      <charset val="134"/>
    </font>
    <font>
      <b/>
      <sz val="10"/>
      <color rgb="FF00355F"/>
      <name val="微软雅黑"/>
      <family val="2"/>
      <charset val="134"/>
    </font>
    <font>
      <b/>
      <i/>
      <sz val="10"/>
      <color rgb="FFC00000"/>
      <name val="微软雅黑"/>
      <family val="2"/>
      <charset val="134"/>
    </font>
    <font>
      <b/>
      <i/>
      <sz val="10"/>
      <color theme="1"/>
      <name val="微软雅黑"/>
      <family val="2"/>
      <charset val="134"/>
    </font>
    <font>
      <i/>
      <sz val="10"/>
      <color indexed="8"/>
      <name val="微软雅黑"/>
      <family val="2"/>
      <charset val="134"/>
    </font>
    <font>
      <sz val="10"/>
      <color indexed="20"/>
      <name val="微软雅黑"/>
      <family val="2"/>
      <charset val="134"/>
    </font>
    <font>
      <b/>
      <sz val="11"/>
      <color theme="0"/>
      <name val="宋体"/>
      <family val="3"/>
      <charset val="134"/>
    </font>
    <font>
      <b/>
      <sz val="10"/>
      <color indexed="9"/>
      <name val="微软雅黑"/>
      <family val="2"/>
      <charset val="134"/>
    </font>
    <font>
      <sz val="10"/>
      <color theme="1"/>
      <name val="宋体"/>
      <family val="2"/>
      <charset val="134"/>
      <scheme val="minor"/>
    </font>
    <font>
      <sz val="11"/>
      <name val="Arial Unicode MS"/>
      <family val="2"/>
      <charset val="134"/>
    </font>
    <font>
      <sz val="10"/>
      <color rgb="FFFF0000"/>
      <name val="宋体"/>
      <family val="3"/>
      <charset val="134"/>
    </font>
    <font>
      <b/>
      <sz val="10"/>
      <color theme="1"/>
      <name val="宋体"/>
      <family val="2"/>
      <charset val="134"/>
      <scheme val="minor"/>
    </font>
    <font>
      <b/>
      <sz val="11"/>
      <color rgb="FFFF0000"/>
      <name val="宋体"/>
      <family val="3"/>
      <charset val="134"/>
      <scheme val="minor"/>
    </font>
    <font>
      <b/>
      <sz val="11"/>
      <color rgb="FFFF0000"/>
      <name val="宋体"/>
      <family val="3"/>
      <charset val="134"/>
    </font>
    <font>
      <i/>
      <sz val="10"/>
      <color rgb="FFFF0000"/>
      <name val="微软雅黑"/>
      <family val="2"/>
      <charset val="134"/>
    </font>
    <font>
      <b/>
      <sz val="12"/>
      <color theme="2"/>
      <name val="微软雅黑"/>
      <family val="2"/>
      <charset val="134"/>
    </font>
    <font>
      <b/>
      <sz val="11"/>
      <color theme="2"/>
      <name val="宋体"/>
      <family val="3"/>
      <charset val="134"/>
      <scheme val="minor"/>
    </font>
    <font>
      <sz val="11"/>
      <color theme="2"/>
      <name val="微软雅黑"/>
      <family val="2"/>
      <charset val="134"/>
    </font>
    <font>
      <sz val="11"/>
      <color theme="2"/>
      <name val="宋体"/>
      <family val="2"/>
      <charset val="134"/>
      <scheme val="minor"/>
    </font>
    <font>
      <b/>
      <sz val="10"/>
      <name val="宋体"/>
      <family val="2"/>
      <charset val="134"/>
      <scheme val="minor"/>
    </font>
    <font>
      <sz val="10"/>
      <name val="宋体"/>
      <family val="2"/>
      <charset val="134"/>
      <scheme val="minor"/>
    </font>
    <font>
      <sz val="8"/>
      <color theme="1"/>
      <name val="宋体"/>
      <family val="2"/>
      <charset val="134"/>
      <scheme val="minor"/>
    </font>
    <font>
      <b/>
      <sz val="8"/>
      <color theme="1"/>
      <name val="宋体"/>
      <family val="2"/>
      <charset val="134"/>
      <scheme val="minor"/>
    </font>
    <font>
      <b/>
      <sz val="8"/>
      <color theme="1"/>
      <name val="微软雅黑"/>
      <family val="2"/>
      <charset val="134"/>
    </font>
    <font>
      <sz val="8"/>
      <color theme="1"/>
      <name val="微软雅黑"/>
      <family val="2"/>
      <charset val="134"/>
    </font>
    <font>
      <b/>
      <sz val="8"/>
      <color theme="1"/>
      <name val="宋体"/>
      <family val="3"/>
      <charset val="134"/>
      <scheme val="minor"/>
    </font>
    <font>
      <sz val="10"/>
      <color theme="0" tint="-0.499984740745262"/>
      <name val="微软雅黑"/>
      <family val="2"/>
      <charset val="134"/>
    </font>
    <font>
      <b/>
      <sz val="9"/>
      <color theme="1"/>
      <name val="微软雅黑"/>
      <family val="2"/>
      <charset val="134"/>
    </font>
    <font>
      <sz val="11"/>
      <color theme="0" tint="-0.34998626667073579"/>
      <name val="微软雅黑"/>
      <family val="2"/>
      <charset val="134"/>
    </font>
  </fonts>
  <fills count="41">
    <fill>
      <patternFill patternType="none"/>
    </fill>
    <fill>
      <patternFill patternType="gray125"/>
    </fill>
    <fill>
      <patternFill patternType="solid">
        <fgColor rgb="FF7030A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249977111117893"/>
        <bgColor indexed="64"/>
      </patternFill>
    </fill>
    <fill>
      <patternFill patternType="solid">
        <fgColor rgb="FFC00000"/>
        <bgColor indexed="64"/>
      </patternFill>
    </fill>
    <fill>
      <patternFill patternType="solid">
        <fgColor theme="0" tint="-4.9989318521683403E-2"/>
        <bgColor indexed="64"/>
      </patternFill>
    </fill>
    <fill>
      <patternFill patternType="solid">
        <fgColor rgb="FFFFFFCC"/>
        <bgColor indexed="64"/>
      </patternFill>
    </fill>
    <fill>
      <patternFill patternType="solid">
        <fgColor theme="4" tint="-0.249977111117893"/>
        <bgColor indexed="64"/>
      </patternFill>
    </fill>
    <fill>
      <patternFill patternType="solid">
        <fgColor theme="4"/>
        <bgColor indexed="64"/>
      </patternFill>
    </fill>
    <fill>
      <patternFill patternType="solid">
        <fgColor theme="0"/>
        <bgColor indexed="64"/>
      </patternFill>
    </fill>
    <fill>
      <patternFill patternType="solid">
        <fgColor rgb="FF008080"/>
        <bgColor indexed="64"/>
      </patternFill>
    </fill>
    <fill>
      <patternFill patternType="solid">
        <fgColor rgb="FF84DCD4"/>
        <bgColor indexed="64"/>
      </patternFill>
    </fill>
    <fill>
      <patternFill patternType="solid">
        <fgColor indexed="9"/>
      </patternFill>
    </fill>
    <fill>
      <patternFill patternType="solid">
        <fgColor indexed="32"/>
      </patternFill>
    </fill>
    <fill>
      <patternFill patternType="solid">
        <fgColor rgb="FFFFFF00"/>
        <bgColor indexed="64"/>
      </patternFill>
    </fill>
    <fill>
      <patternFill patternType="solid">
        <fgColor indexed="13"/>
      </patternFill>
    </fill>
    <fill>
      <patternFill patternType="solid">
        <fgColor theme="4" tint="0.59999389629810485"/>
        <bgColor indexed="64"/>
      </patternFill>
    </fill>
    <fill>
      <patternFill patternType="solid">
        <fgColor theme="6" tint="0.59999389629810485"/>
        <bgColor indexed="64"/>
      </patternFill>
    </fill>
    <fill>
      <patternFill patternType="solid">
        <fgColor rgb="FFFFFF99"/>
        <bgColor indexed="64"/>
      </patternFill>
    </fill>
    <fill>
      <patternFill patternType="solid">
        <fgColor theme="0" tint="-0.14996795556505021"/>
        <bgColor indexed="64"/>
      </patternFill>
    </fill>
    <fill>
      <patternFill patternType="solid">
        <fgColor theme="8" tint="0.59999389629810485"/>
        <bgColor indexed="64"/>
      </patternFill>
    </fill>
    <fill>
      <patternFill patternType="solid">
        <fgColor theme="9" tint="0.79995117038483843"/>
        <bgColor indexed="64"/>
      </patternFill>
    </fill>
    <fill>
      <patternFill patternType="solid">
        <fgColor rgb="FFFF000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DFD99"/>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rgb="FFC6EFCE"/>
      </patternFill>
    </fill>
    <fill>
      <patternFill patternType="solid">
        <fgColor rgb="FFFFC7CE"/>
      </patternFill>
    </fill>
    <fill>
      <patternFill patternType="solid">
        <fgColor theme="9" tint="0.39997558519241921"/>
        <bgColor indexed="64"/>
      </patternFill>
    </fill>
    <fill>
      <patternFill patternType="solid">
        <fgColor rgb="FFFFC000"/>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indexed="62"/>
        <bgColor indexed="64"/>
      </patternFill>
    </fill>
    <fill>
      <patternFill patternType="solid">
        <fgColor theme="0" tint="-0.499984740745262"/>
        <bgColor indexed="64"/>
      </patternFill>
    </fill>
    <fill>
      <patternFill patternType="solid">
        <fgColor rgb="FF3399FF"/>
        <bgColor indexed="64"/>
      </patternFill>
    </fill>
  </fills>
  <borders count="110">
    <border>
      <left/>
      <right/>
      <top/>
      <bottom/>
      <diagonal/>
    </border>
    <border>
      <left/>
      <right/>
      <top style="hair">
        <color indexed="8"/>
      </top>
      <bottom style="hair">
        <color indexed="8"/>
      </bottom>
      <diagonal/>
    </border>
    <border>
      <left/>
      <right/>
      <top/>
      <bottom style="medium">
        <color auto="1"/>
      </bottom>
      <diagonal/>
    </border>
    <border>
      <left/>
      <right/>
      <top/>
      <bottom style="thin">
        <color auto="1"/>
      </bottom>
      <diagonal/>
    </border>
    <border>
      <left/>
      <right/>
      <top/>
      <bottom style="medium">
        <color indexed="56"/>
      </bottom>
      <diagonal/>
    </border>
    <border>
      <left/>
      <right/>
      <top/>
      <bottom style="dashed">
        <color auto="1"/>
      </bottom>
      <diagonal/>
    </border>
    <border>
      <left style="thin">
        <color auto="1"/>
      </left>
      <right style="thin">
        <color auto="1"/>
      </right>
      <top/>
      <bottom/>
      <diagonal/>
    </border>
    <border>
      <left/>
      <right/>
      <top style="thin">
        <color auto="1"/>
      </top>
      <bottom/>
      <diagonal/>
    </border>
    <border>
      <left style="thin">
        <color auto="1"/>
      </left>
      <right style="thin">
        <color auto="1"/>
      </right>
      <top style="thin">
        <color auto="1"/>
      </top>
      <bottom/>
      <diagonal/>
    </border>
    <border>
      <left/>
      <right/>
      <top style="medium">
        <color auto="1"/>
      </top>
      <bottom/>
      <diagonal/>
    </border>
    <border>
      <left style="medium">
        <color auto="1"/>
      </left>
      <right/>
      <top/>
      <bottom/>
      <diagonal/>
    </border>
    <border>
      <left/>
      <right style="medium">
        <color auto="1"/>
      </right>
      <top/>
      <bottom/>
      <diagonal/>
    </border>
    <border>
      <left style="thin">
        <color auto="1"/>
      </left>
      <right/>
      <top style="thin">
        <color auto="1"/>
      </top>
      <bottom style="thin">
        <color auto="1"/>
      </bottom>
      <diagonal/>
    </border>
    <border>
      <left/>
      <right/>
      <top style="medium">
        <color auto="1"/>
      </top>
      <bottom style="thin">
        <color auto="1"/>
      </bottom>
      <diagonal/>
    </border>
    <border>
      <left/>
      <right/>
      <top style="hair">
        <color indexed="63"/>
      </top>
      <bottom style="hair">
        <color indexed="63"/>
      </bottom>
      <diagonal/>
    </border>
    <border>
      <left style="thin">
        <color auto="1"/>
      </left>
      <right/>
      <top style="thin">
        <color auto="1"/>
      </top>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thin">
        <color indexed="64"/>
      </bottom>
      <diagonal/>
    </border>
    <border>
      <left/>
      <right/>
      <top/>
      <bottom style="medium">
        <color indexed="64"/>
      </bottom>
      <diagonal/>
    </border>
    <border>
      <left/>
      <right style="thin">
        <color indexed="8"/>
      </right>
      <top style="medium">
        <color indexed="8"/>
      </top>
      <bottom style="thin">
        <color indexed="8"/>
      </bottom>
      <diagonal/>
    </border>
    <border>
      <left/>
      <right style="thin">
        <color indexed="8"/>
      </right>
      <top style="medium">
        <color indexed="54"/>
      </top>
      <bottom style="thin">
        <color indexed="8"/>
      </bottom>
      <diagonal/>
    </border>
    <border>
      <left/>
      <right style="thin">
        <color indexed="8"/>
      </right>
      <top style="medium">
        <color indexed="8"/>
      </top>
      <bottom/>
      <diagonal/>
    </border>
    <border>
      <left/>
      <right/>
      <top style="medium">
        <color indexed="54"/>
      </top>
      <bottom style="thin">
        <color indexed="8"/>
      </bottom>
      <diagonal/>
    </border>
    <border>
      <left/>
      <right style="thin">
        <color indexed="8"/>
      </right>
      <top/>
      <bottom style="thin">
        <color indexed="8"/>
      </bottom>
      <diagonal/>
    </border>
    <border>
      <left/>
      <right style="thin">
        <color indexed="8"/>
      </right>
      <top/>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top/>
      <bottom style="thin">
        <color indexed="8"/>
      </bottom>
      <diagonal/>
    </border>
    <border>
      <left/>
      <right/>
      <top style="thin">
        <color auto="1"/>
      </top>
      <bottom style="dashed">
        <color auto="1"/>
      </bottom>
      <diagonal/>
    </border>
    <border>
      <left/>
      <right/>
      <top style="dashed">
        <color auto="1"/>
      </top>
      <bottom style="dashed">
        <color auto="1"/>
      </bottom>
      <diagonal/>
    </border>
    <border>
      <left/>
      <right/>
      <top style="dashed">
        <color auto="1"/>
      </top>
      <bottom/>
      <diagonal/>
    </border>
    <border>
      <left/>
      <right/>
      <top style="thin">
        <color auto="1"/>
      </top>
      <bottom style="dashed">
        <color auto="1"/>
      </bottom>
      <diagonal/>
    </border>
    <border>
      <left/>
      <right style="thin">
        <color indexed="8"/>
      </right>
      <top style="thin">
        <color indexed="8"/>
      </top>
      <bottom/>
      <diagonal/>
    </border>
    <border>
      <left/>
      <right/>
      <top style="dashed">
        <color auto="1"/>
      </top>
      <bottom style="medium">
        <color auto="1"/>
      </bottom>
      <diagonal/>
    </border>
    <border>
      <left style="medium">
        <color indexed="64"/>
      </left>
      <right/>
      <top style="medium">
        <color indexed="64"/>
      </top>
      <bottom/>
      <diagonal/>
    </border>
    <border>
      <left/>
      <right/>
      <top style="medium">
        <color indexed="64"/>
      </top>
      <bottom/>
      <diagonal/>
    </border>
    <border>
      <left/>
      <right style="medium">
        <color auto="1"/>
      </right>
      <top style="medium">
        <color indexed="64"/>
      </top>
      <bottom/>
      <diagonal/>
    </border>
    <border>
      <left style="thin">
        <color indexed="64"/>
      </left>
      <right style="medium">
        <color indexed="64"/>
      </right>
      <top style="thin">
        <color indexed="64"/>
      </top>
      <bottom/>
      <diagonal/>
    </border>
    <border>
      <left style="thin">
        <color auto="1"/>
      </left>
      <right style="medium">
        <color indexed="64"/>
      </right>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medium">
        <color rgb="FF00355F"/>
      </right>
      <top style="medium">
        <color rgb="FF00355F"/>
      </top>
      <bottom style="medium">
        <color rgb="FF00355F"/>
      </bottom>
      <diagonal/>
    </border>
    <border>
      <left style="medium">
        <color rgb="FF00355F"/>
      </left>
      <right style="medium">
        <color rgb="FF00355F"/>
      </right>
      <top style="medium">
        <color rgb="FF00355F"/>
      </top>
      <bottom style="medium">
        <color rgb="FF00355F"/>
      </bottom>
      <diagonal/>
    </border>
    <border>
      <left style="medium">
        <color rgb="FF00355F"/>
      </left>
      <right/>
      <top style="medium">
        <color rgb="FF00355F"/>
      </top>
      <bottom style="medium">
        <color rgb="FF00355F"/>
      </bottom>
      <diagonal/>
    </border>
    <border>
      <left/>
      <right/>
      <top/>
      <bottom style="medium">
        <color rgb="FF00355F"/>
      </bottom>
      <diagonal/>
    </border>
    <border>
      <left/>
      <right/>
      <top/>
      <bottom style="medium">
        <color indexed="18"/>
      </bottom>
      <diagonal/>
    </border>
    <border>
      <left/>
      <right/>
      <top style="medium">
        <color rgb="FF00355F"/>
      </top>
      <bottom style="medium">
        <color rgb="FF00355F"/>
      </bottom>
      <diagonal/>
    </border>
    <border>
      <left style="medium">
        <color auto="1"/>
      </left>
      <right style="medium">
        <color auto="1"/>
      </right>
      <top style="medium">
        <color auto="1"/>
      </top>
      <bottom style="medium">
        <color auto="1"/>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auto="1"/>
      </left>
      <right/>
      <top/>
      <bottom style="thin">
        <color indexed="64"/>
      </bottom>
      <diagonal/>
    </border>
    <border>
      <left/>
      <right/>
      <top/>
      <bottom style="medium">
        <color indexed="56"/>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auto="1"/>
      </left>
      <right/>
      <top/>
      <bottom style="medium">
        <color indexed="64"/>
      </bottom>
      <diagonal/>
    </border>
    <border>
      <left/>
      <right style="medium">
        <color auto="1"/>
      </right>
      <top/>
      <bottom style="medium">
        <color indexed="64"/>
      </bottom>
      <diagonal/>
    </border>
    <border>
      <left/>
      <right/>
      <top/>
      <bottom style="medium">
        <color indexed="64"/>
      </bottom>
      <diagonal/>
    </border>
    <border>
      <left style="thin">
        <color indexed="8"/>
      </left>
      <right style="thin">
        <color indexed="8"/>
      </right>
      <top style="medium">
        <color indexed="8"/>
      </top>
      <bottom style="thin">
        <color indexed="8"/>
      </bottom>
      <diagonal/>
    </border>
    <border>
      <left/>
      <right style="thin">
        <color indexed="8"/>
      </right>
      <top/>
      <bottom style="thin">
        <color indexed="8"/>
      </bottom>
      <diagonal/>
    </border>
    <border>
      <left/>
      <right/>
      <top/>
      <bottom style="thin">
        <color indexed="8"/>
      </bottom>
      <diagonal/>
    </border>
    <border>
      <left style="thin">
        <color indexed="8"/>
      </left>
      <right style="thin">
        <color indexed="8"/>
      </right>
      <top style="medium">
        <color indexed="8"/>
      </top>
      <bottom/>
      <diagonal/>
    </border>
    <border>
      <left style="medium">
        <color indexed="64"/>
      </left>
      <right/>
      <top/>
      <bottom style="dashed">
        <color auto="1"/>
      </bottom>
      <diagonal/>
    </border>
    <border>
      <left style="medium">
        <color indexed="64"/>
      </left>
      <right/>
      <top style="dashed">
        <color auto="1"/>
      </top>
      <bottom style="dashed">
        <color auto="1"/>
      </bottom>
      <diagonal/>
    </border>
    <border>
      <left style="medium">
        <color indexed="64"/>
      </left>
      <right/>
      <top style="dashed">
        <color auto="1"/>
      </top>
      <bottom style="medium">
        <color auto="1"/>
      </bottom>
      <diagonal/>
    </border>
    <border>
      <left style="medium">
        <color indexed="64"/>
      </left>
      <right/>
      <top/>
      <bottom style="thin">
        <color auto="1"/>
      </bottom>
      <diagonal/>
    </border>
    <border>
      <left/>
      <right style="medium">
        <color auto="1"/>
      </right>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8"/>
      </right>
      <top style="thin">
        <color indexed="8"/>
      </top>
      <bottom style="thin">
        <color indexed="8"/>
      </bottom>
      <diagonal/>
    </border>
    <border>
      <left/>
      <right/>
      <top style="thin">
        <color auto="1"/>
      </top>
      <bottom style="dashed">
        <color auto="1"/>
      </bottom>
      <diagonal/>
    </border>
    <border>
      <left/>
      <right/>
      <top/>
      <bottom style="thin">
        <color auto="1"/>
      </bottom>
      <diagonal/>
    </border>
    <border>
      <left style="medium">
        <color auto="1"/>
      </left>
      <right/>
      <top style="medium">
        <color auto="1"/>
      </top>
      <bottom style="medium">
        <color auto="1"/>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auto="1"/>
      </right>
      <top style="medium">
        <color auto="1"/>
      </top>
      <bottom style="medium">
        <color auto="1"/>
      </bottom>
      <diagonal/>
    </border>
    <border>
      <left style="medium">
        <color auto="1"/>
      </left>
      <right style="medium">
        <color indexed="64"/>
      </right>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81">
    <xf numFmtId="0" fontId="0" fillId="0" borderId="0">
      <alignment vertical="center"/>
    </xf>
    <xf numFmtId="0" fontId="19" fillId="0" borderId="0">
      <alignment vertical="center"/>
    </xf>
    <xf numFmtId="0" fontId="32" fillId="0" borderId="0" applyNumberFormat="0" applyFill="0" applyBorder="0" applyAlignment="0" applyProtection="0">
      <alignment vertical="center"/>
    </xf>
    <xf numFmtId="179" fontId="19" fillId="0" borderId="0" applyFont="0" applyFill="0" applyBorder="0" applyAlignment="0" applyProtection="0">
      <alignment vertical="center"/>
    </xf>
    <xf numFmtId="0" fontId="34" fillId="0" borderId="1" applyNumberFormat="0" applyFill="0" applyAlignment="0" applyProtection="0">
      <alignment vertical="center"/>
    </xf>
    <xf numFmtId="0" fontId="35" fillId="0" borderId="0">
      <alignment vertical="center"/>
    </xf>
    <xf numFmtId="0" fontId="37" fillId="0" borderId="0" applyNumberFormat="0" applyFill="0" applyBorder="0" applyAlignment="0" applyProtection="0">
      <alignment vertical="center"/>
    </xf>
    <xf numFmtId="43" fontId="38" fillId="0" borderId="0" applyFont="0" applyFill="0" applyBorder="0" applyAlignment="0" applyProtection="0">
      <alignment vertical="center"/>
    </xf>
    <xf numFmtId="9" fontId="38" fillId="0" borderId="0" applyFont="0" applyFill="0" applyBorder="0" applyAlignment="0" applyProtection="0">
      <alignment vertical="center"/>
    </xf>
    <xf numFmtId="0" fontId="49" fillId="0" borderId="4" applyNumberFormat="0" applyFill="0" applyProtection="0">
      <alignment horizontal="center" vertical="center"/>
    </xf>
    <xf numFmtId="0" fontId="19" fillId="0" borderId="0">
      <alignment vertical="center"/>
    </xf>
    <xf numFmtId="0" fontId="19" fillId="0" borderId="0">
      <alignment vertical="center"/>
    </xf>
    <xf numFmtId="0" fontId="38" fillId="0" borderId="0">
      <alignment vertical="center"/>
    </xf>
    <xf numFmtId="0" fontId="43" fillId="0" borderId="0">
      <alignment vertical="center"/>
    </xf>
    <xf numFmtId="43" fontId="50" fillId="0" borderId="0" applyFont="0" applyFill="0" applyBorder="0" applyAlignment="0" applyProtection="0">
      <alignment vertical="center"/>
    </xf>
    <xf numFmtId="9" fontId="50" fillId="0" borderId="0" applyFont="0" applyFill="0" applyBorder="0" applyAlignment="0" applyProtection="0">
      <alignment vertical="center"/>
    </xf>
    <xf numFmtId="43" fontId="38" fillId="0" borderId="0" applyFont="0" applyFill="0" applyBorder="0" applyAlignment="0" applyProtection="0">
      <alignment vertical="center"/>
    </xf>
    <xf numFmtId="43" fontId="50" fillId="0" borderId="0" applyFont="0" applyFill="0" applyBorder="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186" fontId="19" fillId="0" borderId="0" applyFont="0" applyFill="0" applyBorder="0" applyAlignment="0" applyProtection="0">
      <alignment vertical="center"/>
    </xf>
    <xf numFmtId="43" fontId="19" fillId="0" borderId="0" applyFont="0" applyFill="0" applyBorder="0" applyAlignment="0" applyProtection="0">
      <alignment vertical="center"/>
    </xf>
    <xf numFmtId="43" fontId="19" fillId="0" borderId="0" applyFont="0" applyFill="0" applyBorder="0" applyAlignment="0" applyProtection="0">
      <alignment vertical="center"/>
    </xf>
    <xf numFmtId="9" fontId="68" fillId="0" borderId="0" applyFont="0" applyFill="0" applyBorder="0" applyAlignment="0" applyProtection="0">
      <alignment vertical="center"/>
    </xf>
    <xf numFmtId="0" fontId="34" fillId="0" borderId="14" applyNumberFormat="0" applyFill="0" applyAlignment="0" applyProtection="0">
      <alignment vertical="center"/>
    </xf>
    <xf numFmtId="39" fontId="19" fillId="0" borderId="0" applyFont="0" applyFill="0" applyBorder="0" applyAlignment="0" applyProtection="0">
      <alignment vertical="center"/>
    </xf>
    <xf numFmtId="0" fontId="75" fillId="0" borderId="0" applyNumberFormat="0" applyFill="0" applyBorder="0" applyAlignment="0" applyProtection="0">
      <protection locked="0"/>
    </xf>
    <xf numFmtId="0" fontId="71" fillId="0" borderId="0">
      <protection locked="0"/>
    </xf>
    <xf numFmtId="0" fontId="42" fillId="0" borderId="0">
      <alignment vertical="center"/>
    </xf>
    <xf numFmtId="9" fontId="42" fillId="0" borderId="0" applyFont="0" applyFill="0" applyBorder="0" applyAlignment="0" applyProtection="0">
      <alignment vertical="center"/>
    </xf>
    <xf numFmtId="43" fontId="42" fillId="0" borderId="0" applyFont="0" applyFill="0" applyBorder="0" applyAlignment="0" applyProtection="0">
      <alignment vertical="center"/>
    </xf>
    <xf numFmtId="0" fontId="38" fillId="0" borderId="0">
      <alignment vertical="center"/>
    </xf>
    <xf numFmtId="0" fontId="81" fillId="0" borderId="0" applyNumberFormat="0" applyFill="0" applyBorder="0" applyProtection="0">
      <alignment horizontal="centerContinuous" vertical="center"/>
    </xf>
    <xf numFmtId="9" fontId="35" fillId="0" borderId="0" applyFont="0" applyFill="0" applyBorder="0" applyAlignment="0" applyProtection="0">
      <alignment vertical="center"/>
    </xf>
    <xf numFmtId="0" fontId="38" fillId="0" borderId="0">
      <alignment vertical="center"/>
    </xf>
    <xf numFmtId="0" fontId="19" fillId="0" borderId="0"/>
    <xf numFmtId="43" fontId="38" fillId="0" borderId="0" applyFont="0" applyFill="0" applyBorder="0" applyAlignment="0" applyProtection="0">
      <alignment vertical="center"/>
    </xf>
    <xf numFmtId="179" fontId="38" fillId="0" borderId="0" applyFont="0" applyFill="0" applyBorder="0" applyAlignment="0" applyProtection="0">
      <alignment vertical="center"/>
    </xf>
    <xf numFmtId="0" fontId="71" fillId="0" borderId="0">
      <protection locked="0"/>
    </xf>
    <xf numFmtId="0" fontId="71" fillId="0" borderId="0">
      <protection locked="0"/>
    </xf>
    <xf numFmtId="0" fontId="123" fillId="0" borderId="0" applyNumberFormat="0" applyFill="0" applyBorder="0" applyAlignment="0" applyProtection="0"/>
    <xf numFmtId="0" fontId="42" fillId="0" borderId="0">
      <alignment vertical="center"/>
    </xf>
    <xf numFmtId="198" fontId="128" fillId="0" borderId="0" applyFont="0" applyFill="0" applyBorder="0" applyAlignment="0" applyProtection="0">
      <alignment vertical="center"/>
    </xf>
    <xf numFmtId="0" fontId="129" fillId="0" borderId="0" applyNumberFormat="0" applyFill="0" applyBorder="0" applyAlignment="0" applyProtection="0">
      <alignment vertical="center"/>
    </xf>
    <xf numFmtId="9" fontId="42" fillId="0" borderId="0" applyFont="0" applyFill="0" applyBorder="0" applyAlignment="0" applyProtection="0">
      <alignment vertical="center"/>
    </xf>
    <xf numFmtId="9" fontId="128" fillId="0" borderId="0" applyFont="0" applyFill="0" applyBorder="0" applyAlignment="0" applyProtection="0">
      <alignment vertical="center"/>
    </xf>
    <xf numFmtId="198" fontId="42" fillId="0" borderId="0" applyFont="0" applyFill="0" applyBorder="0" applyAlignment="0" applyProtection="0">
      <alignment vertical="center"/>
    </xf>
    <xf numFmtId="0" fontId="42" fillId="0" borderId="0"/>
    <xf numFmtId="0" fontId="19" fillId="0" borderId="0"/>
    <xf numFmtId="43" fontId="19" fillId="0" borderId="0" applyFont="0" applyFill="0" applyBorder="0" applyAlignment="0" applyProtection="0"/>
    <xf numFmtId="0" fontId="71" fillId="0" borderId="0">
      <protection locked="0"/>
    </xf>
    <xf numFmtId="9" fontId="19" fillId="0" borderId="0" applyFont="0" applyFill="0" applyBorder="0" applyAlignment="0" applyProtection="0"/>
    <xf numFmtId="0" fontId="42" fillId="0" borderId="0">
      <alignment vertical="center"/>
    </xf>
    <xf numFmtId="0" fontId="59" fillId="0" borderId="0">
      <alignment vertical="center"/>
    </xf>
    <xf numFmtId="0" fontId="59" fillId="0" borderId="0"/>
    <xf numFmtId="43" fontId="134" fillId="0" borderId="0" applyFont="0" applyFill="0" applyBorder="0" applyAlignment="0" applyProtection="0">
      <alignment vertical="center"/>
    </xf>
    <xf numFmtId="43" fontId="19" fillId="0" borderId="0" applyFont="0" applyFill="0" applyBorder="0" applyAlignment="0" applyProtection="0">
      <alignment vertical="center"/>
    </xf>
    <xf numFmtId="208" fontId="38" fillId="0" borderId="0" applyFont="0" applyFill="0" applyBorder="0" applyAlignment="0" applyProtection="0">
      <alignment vertical="center"/>
    </xf>
    <xf numFmtId="0" fontId="147" fillId="0" borderId="59" applyNumberFormat="0" applyFill="0" applyProtection="0">
      <alignment horizontal="center"/>
    </xf>
    <xf numFmtId="0" fontId="148" fillId="0" borderId="0" applyNumberFormat="0" applyFill="0" applyBorder="0" applyProtection="0">
      <alignment horizontal="left"/>
    </xf>
    <xf numFmtId="0" fontId="161" fillId="0" borderId="14" applyNumberFormat="0" applyFill="0" applyAlignment="0" applyProtection="0">
      <alignment vertical="center"/>
    </xf>
    <xf numFmtId="0" fontId="161" fillId="0" borderId="1" applyNumberFormat="0" applyFill="0" applyAlignment="0" applyProtection="0">
      <alignment vertical="center"/>
    </xf>
    <xf numFmtId="0" fontId="162" fillId="0" borderId="72" applyNumberFormat="0" applyFill="0" applyProtection="0">
      <alignment horizontal="center" vertical="center"/>
    </xf>
    <xf numFmtId="0" fontId="163" fillId="0" borderId="0" applyNumberFormat="0" applyFill="0" applyBorder="0" applyProtection="0">
      <alignment horizontal="centerContinuous" vertical="center"/>
    </xf>
    <xf numFmtId="0" fontId="164" fillId="32" borderId="0" applyNumberFormat="0" applyBorder="0" applyAlignment="0" applyProtection="0">
      <alignment vertical="center"/>
    </xf>
    <xf numFmtId="0" fontId="68" fillId="0" borderId="0">
      <alignment vertical="center"/>
    </xf>
    <xf numFmtId="0" fontId="165" fillId="31" borderId="0" applyNumberFormat="0" applyBorder="0" applyAlignment="0" applyProtection="0">
      <alignment vertical="center"/>
    </xf>
    <xf numFmtId="0" fontId="123" fillId="0" borderId="0" applyNumberFormat="0" applyFill="0" applyBorder="0" applyAlignment="0" applyProtection="0"/>
    <xf numFmtId="0" fontId="19" fillId="0" borderId="0"/>
    <xf numFmtId="0" fontId="167" fillId="0" borderId="0" applyNumberFormat="0" applyFill="0" applyBorder="0" applyAlignment="0" applyProtection="0">
      <alignment vertical="top"/>
      <protection locked="0"/>
    </xf>
    <xf numFmtId="0" fontId="42" fillId="0" borderId="0">
      <alignment vertical="center"/>
    </xf>
    <xf numFmtId="0" fontId="71" fillId="0" borderId="0">
      <protection locked="0"/>
    </xf>
    <xf numFmtId="0" fontId="17" fillId="0" borderId="0">
      <alignment vertical="center"/>
    </xf>
    <xf numFmtId="9" fontId="17" fillId="0" borderId="0" applyFont="0" applyFill="0" applyBorder="0" applyAlignment="0" applyProtection="0">
      <alignment vertical="center"/>
    </xf>
    <xf numFmtId="0" fontId="42" fillId="0" borderId="0"/>
    <xf numFmtId="43" fontId="19" fillId="0" borderId="0" applyFont="0" applyFill="0" applyBorder="0" applyAlignment="0" applyProtection="0">
      <alignment vertical="center"/>
    </xf>
    <xf numFmtId="0" fontId="71" fillId="0" borderId="0">
      <protection locked="0"/>
    </xf>
    <xf numFmtId="0" fontId="38" fillId="0" borderId="0">
      <alignment vertical="center"/>
    </xf>
    <xf numFmtId="0" fontId="59" fillId="0" borderId="0"/>
  </cellStyleXfs>
  <cellXfs count="2582">
    <xf numFmtId="0" fontId="0" fillId="0" borderId="0" xfId="0">
      <alignment vertical="center"/>
    </xf>
    <xf numFmtId="177" fontId="23" fillId="0" borderId="0" xfId="1" applyNumberFormat="1" applyFont="1" applyAlignment="1"/>
    <xf numFmtId="176" fontId="23" fillId="0" borderId="0" xfId="1" applyNumberFormat="1" applyFont="1" applyAlignment="1"/>
    <xf numFmtId="176" fontId="24" fillId="0" borderId="0" xfId="1" applyNumberFormat="1" applyFont="1" applyAlignment="1"/>
    <xf numFmtId="176" fontId="24" fillId="0" borderId="0" xfId="1" applyNumberFormat="1" applyFont="1" applyBorder="1" applyAlignment="1"/>
    <xf numFmtId="0" fontId="0" fillId="2" borderId="0" xfId="0" applyFill="1" applyBorder="1">
      <alignment vertical="center"/>
    </xf>
    <xf numFmtId="0" fontId="27" fillId="2" borderId="0" xfId="0" applyFont="1" applyFill="1" applyBorder="1">
      <alignment vertical="center"/>
    </xf>
    <xf numFmtId="0" fontId="0" fillId="0" borderId="0" xfId="0" applyBorder="1">
      <alignment vertical="center"/>
    </xf>
    <xf numFmtId="0" fontId="0" fillId="0" borderId="0" xfId="0" applyFill="1" applyBorder="1">
      <alignment vertical="center"/>
    </xf>
    <xf numFmtId="0" fontId="41" fillId="0" borderId="0" xfId="0" applyFont="1" applyFill="1" applyBorder="1" applyAlignment="1">
      <alignment horizontal="center" vertical="center"/>
    </xf>
    <xf numFmtId="0" fontId="0" fillId="3" borderId="0" xfId="0" applyFill="1" applyBorder="1">
      <alignment vertical="center"/>
    </xf>
    <xf numFmtId="0" fontId="40" fillId="3" borderId="0" xfId="0" applyFont="1" applyFill="1" applyBorder="1">
      <alignment vertical="center"/>
    </xf>
    <xf numFmtId="0" fontId="41" fillId="3" borderId="0" xfId="0" applyFont="1" applyFill="1" applyBorder="1">
      <alignment vertical="center"/>
    </xf>
    <xf numFmtId="0" fontId="0" fillId="4" borderId="0" xfId="0" applyFill="1" applyBorder="1">
      <alignment vertical="center"/>
    </xf>
    <xf numFmtId="0" fontId="27" fillId="4" borderId="0" xfId="0" applyFont="1" applyFill="1" applyBorder="1">
      <alignment vertical="center"/>
    </xf>
    <xf numFmtId="0" fontId="0" fillId="4" borderId="0" xfId="0" applyFill="1" applyBorder="1" applyAlignment="1">
      <alignment horizontal="center" vertical="center"/>
    </xf>
    <xf numFmtId="0" fontId="41" fillId="0" borderId="0" xfId="0" applyFont="1" applyBorder="1">
      <alignment vertical="center"/>
    </xf>
    <xf numFmtId="176" fontId="46" fillId="0" borderId="0" xfId="1" applyNumberFormat="1" applyFont="1" applyBorder="1" applyAlignment="1"/>
    <xf numFmtId="176" fontId="47" fillId="0" borderId="0" xfId="2" applyNumberFormat="1" applyFont="1" applyBorder="1" applyAlignment="1"/>
    <xf numFmtId="176" fontId="48" fillId="0" borderId="0" xfId="1" applyNumberFormat="1" applyFont="1" applyBorder="1" applyAlignment="1"/>
    <xf numFmtId="178" fontId="48" fillId="0" borderId="0" xfId="3" applyNumberFormat="1" applyFont="1" applyBorder="1" applyAlignment="1"/>
    <xf numFmtId="0" fontId="39" fillId="3" borderId="0" xfId="0" applyFont="1" applyFill="1" applyBorder="1" applyAlignment="1">
      <alignment vertical="center"/>
    </xf>
    <xf numFmtId="0" fontId="41" fillId="0" borderId="0" xfId="0" applyFont="1" applyFill="1" applyBorder="1" applyAlignment="1" applyProtection="1">
      <alignment horizontal="center" vertical="center"/>
      <protection locked="0"/>
    </xf>
    <xf numFmtId="0" fontId="0" fillId="0" borderId="0" xfId="0" applyBorder="1" applyProtection="1">
      <alignment vertical="center"/>
      <protection locked="0"/>
    </xf>
    <xf numFmtId="0" fontId="0" fillId="2" borderId="0" xfId="0" applyFill="1" applyBorder="1" applyProtection="1">
      <alignment vertical="center"/>
      <protection locked="0"/>
    </xf>
    <xf numFmtId="0" fontId="39" fillId="3" borderId="0" xfId="0" applyFont="1" applyFill="1" applyBorder="1" applyProtection="1">
      <alignment vertical="center"/>
      <protection locked="0"/>
    </xf>
    <xf numFmtId="0" fontId="0" fillId="7" borderId="0" xfId="0" applyFill="1" applyBorder="1">
      <alignment vertical="center"/>
    </xf>
    <xf numFmtId="0" fontId="41" fillId="7" borderId="3" xfId="0" applyFont="1" applyFill="1" applyBorder="1">
      <alignment vertical="center"/>
    </xf>
    <xf numFmtId="0" fontId="0" fillId="7" borderId="0" xfId="0" applyFill="1" applyBorder="1" applyAlignment="1">
      <alignment horizontal="left" vertical="center" indent="2"/>
    </xf>
    <xf numFmtId="0" fontId="0" fillId="7" borderId="0" xfId="0" applyFill="1" applyBorder="1" applyAlignment="1">
      <alignment horizontal="left" vertical="center" indent="1"/>
    </xf>
    <xf numFmtId="0" fontId="41" fillId="7" borderId="2" xfId="0" applyFont="1" applyFill="1" applyBorder="1">
      <alignment vertical="center"/>
    </xf>
    <xf numFmtId="0" fontId="44" fillId="0" borderId="0" xfId="0" applyFont="1" applyBorder="1">
      <alignment vertical="center"/>
    </xf>
    <xf numFmtId="0" fontId="0" fillId="0" borderId="0" xfId="0" applyFill="1" applyBorder="1">
      <alignment vertical="center"/>
    </xf>
    <xf numFmtId="0" fontId="0" fillId="0" borderId="0" xfId="0" applyFill="1" applyBorder="1" applyAlignment="1" applyProtection="1">
      <alignment horizontal="left" vertical="center"/>
      <protection locked="0"/>
    </xf>
    <xf numFmtId="180" fontId="0" fillId="0" borderId="0" xfId="0" applyNumberFormat="1" applyBorder="1">
      <alignment vertical="center"/>
    </xf>
    <xf numFmtId="176" fontId="22" fillId="9" borderId="0" xfId="1" applyNumberFormat="1" applyFont="1" applyFill="1" applyBorder="1" applyAlignment="1"/>
    <xf numFmtId="176" fontId="22" fillId="0" borderId="0" xfId="1" applyNumberFormat="1" applyFont="1" applyFill="1" applyBorder="1" applyAlignment="1"/>
    <xf numFmtId="176" fontId="26" fillId="0" borderId="0" xfId="1" applyNumberFormat="1" applyFont="1" applyFill="1" applyBorder="1" applyAlignment="1">
      <alignment horizontal="right"/>
    </xf>
    <xf numFmtId="176" fontId="25" fillId="0" borderId="0" xfId="1" applyNumberFormat="1" applyFont="1" applyFill="1" applyBorder="1" applyAlignment="1"/>
    <xf numFmtId="176" fontId="23" fillId="0" borderId="0" xfId="1" applyNumberFormat="1" applyFont="1" applyFill="1" applyBorder="1" applyAlignment="1"/>
    <xf numFmtId="176" fontId="24" fillId="0" borderId="0" xfId="1" applyNumberFormat="1" applyFont="1" applyFill="1" applyBorder="1" applyAlignment="1"/>
    <xf numFmtId="176" fontId="23" fillId="9" borderId="0" xfId="1" applyNumberFormat="1" applyFont="1" applyFill="1" applyBorder="1" applyAlignment="1"/>
    <xf numFmtId="176" fontId="21" fillId="9" borderId="0" xfId="1" applyNumberFormat="1" applyFont="1" applyFill="1" applyBorder="1" applyAlignment="1"/>
    <xf numFmtId="176" fontId="24" fillId="9" borderId="0" xfId="1" applyNumberFormat="1" applyFont="1" applyFill="1" applyBorder="1" applyAlignment="1"/>
    <xf numFmtId="176" fontId="55" fillId="0" borderId="0" xfId="1" applyNumberFormat="1" applyFont="1" applyFill="1" applyBorder="1" applyAlignment="1">
      <alignment horizontal="right"/>
    </xf>
    <xf numFmtId="176" fontId="29" fillId="10" borderId="9" xfId="1" applyNumberFormat="1" applyFont="1" applyFill="1" applyBorder="1" applyAlignment="1"/>
    <xf numFmtId="176" fontId="24" fillId="10" borderId="9" xfId="1" applyNumberFormat="1" applyFont="1" applyFill="1" applyBorder="1" applyAlignment="1"/>
    <xf numFmtId="176" fontId="30" fillId="0" borderId="10" xfId="1" applyNumberFormat="1" applyFont="1" applyBorder="1" applyAlignment="1"/>
    <xf numFmtId="176" fontId="31" fillId="0" borderId="11" xfId="1" applyNumberFormat="1" applyFont="1" applyBorder="1" applyAlignment="1"/>
    <xf numFmtId="176" fontId="33" fillId="0" borderId="11" xfId="1" applyNumberFormat="1" applyFont="1" applyBorder="1" applyAlignment="1"/>
    <xf numFmtId="176" fontId="23" fillId="0" borderId="11" xfId="1" applyNumberFormat="1" applyFont="1" applyBorder="1" applyAlignment="1"/>
    <xf numFmtId="176" fontId="23" fillId="0" borderId="0" xfId="1" applyNumberFormat="1" applyFont="1" applyAlignment="1">
      <alignment vertical="center"/>
    </xf>
    <xf numFmtId="176" fontId="58" fillId="0" borderId="10" xfId="1" applyNumberFormat="1" applyFont="1" applyBorder="1" applyAlignment="1"/>
    <xf numFmtId="176" fontId="59" fillId="0" borderId="0" xfId="1" applyNumberFormat="1" applyFont="1" applyBorder="1" applyAlignment="1">
      <alignment vertical="center"/>
    </xf>
    <xf numFmtId="176" fontId="59" fillId="0" borderId="0" xfId="1" applyNumberFormat="1" applyFont="1" applyBorder="1" applyAlignment="1">
      <alignment horizontal="left" vertical="center"/>
    </xf>
    <xf numFmtId="176" fontId="61" fillId="0" borderId="0" xfId="1" applyNumberFormat="1" applyFont="1" applyBorder="1" applyAlignment="1">
      <alignment horizontal="left" vertical="center"/>
    </xf>
    <xf numFmtId="14" fontId="51" fillId="8" borderId="0" xfId="2" applyNumberFormat="1" applyFont="1" applyFill="1" applyBorder="1" applyAlignment="1" applyProtection="1">
      <alignment horizontal="left" vertical="center"/>
      <protection locked="0"/>
    </xf>
    <xf numFmtId="176" fontId="60" fillId="0" borderId="0" xfId="1" applyNumberFormat="1" applyFont="1" applyBorder="1" applyAlignment="1">
      <alignment vertical="center"/>
    </xf>
    <xf numFmtId="176" fontId="57" fillId="0" borderId="10" xfId="1" applyNumberFormat="1" applyFont="1" applyBorder="1" applyAlignment="1">
      <alignment vertical="center"/>
    </xf>
    <xf numFmtId="176" fontId="63" fillId="0" borderId="10" xfId="1" applyNumberFormat="1" applyFont="1" applyBorder="1" applyAlignment="1">
      <alignment vertical="center"/>
    </xf>
    <xf numFmtId="176" fontId="64" fillId="0" borderId="10" xfId="1" applyNumberFormat="1" applyFont="1" applyBorder="1" applyAlignment="1">
      <alignment vertical="center"/>
    </xf>
    <xf numFmtId="176" fontId="65" fillId="0" borderId="0" xfId="1" applyNumberFormat="1" applyFont="1" applyBorder="1" applyAlignment="1">
      <alignment horizontal="left" vertical="center"/>
    </xf>
    <xf numFmtId="176" fontId="65" fillId="0" borderId="0" xfId="1" applyNumberFormat="1" applyFont="1" applyFill="1" applyBorder="1" applyAlignment="1">
      <alignment horizontal="left" vertical="center"/>
    </xf>
    <xf numFmtId="0" fontId="0" fillId="7" borderId="2" xfId="0" applyFill="1" applyBorder="1">
      <alignment vertical="center"/>
    </xf>
    <xf numFmtId="176" fontId="23" fillId="0" borderId="0" xfId="1" applyNumberFormat="1" applyFont="1" applyBorder="1" applyAlignment="1"/>
    <xf numFmtId="0" fontId="44" fillId="0" borderId="0" xfId="0" applyFont="1" applyFill="1" applyBorder="1" applyAlignment="1" applyProtection="1">
      <alignment horizontal="center" vertical="center"/>
      <protection locked="0"/>
    </xf>
    <xf numFmtId="0" fontId="66" fillId="2" borderId="0" xfId="6" applyFont="1" applyFill="1" applyBorder="1">
      <alignment vertical="center"/>
    </xf>
    <xf numFmtId="0" fontId="66" fillId="4" borderId="0" xfId="6" applyFont="1" applyFill="1" applyBorder="1">
      <alignment vertical="center"/>
    </xf>
    <xf numFmtId="0" fontId="39" fillId="3" borderId="0" xfId="0" applyFont="1" applyFill="1" applyBorder="1" applyAlignment="1">
      <alignment horizontal="center" vertical="center"/>
    </xf>
    <xf numFmtId="0" fontId="52" fillId="0" borderId="0" xfId="0" applyFont="1" applyFill="1" applyBorder="1">
      <alignment vertical="center"/>
    </xf>
    <xf numFmtId="0" fontId="52" fillId="0" borderId="0" xfId="0" applyFont="1" applyBorder="1">
      <alignment vertical="center"/>
    </xf>
    <xf numFmtId="0" fontId="0" fillId="0" borderId="3" xfId="0" applyBorder="1">
      <alignment vertical="center"/>
    </xf>
    <xf numFmtId="0" fontId="0" fillId="0" borderId="3" xfId="0" applyFill="1" applyBorder="1">
      <alignment vertical="center"/>
    </xf>
    <xf numFmtId="180" fontId="0" fillId="0" borderId="3" xfId="0" applyNumberFormat="1" applyFill="1" applyBorder="1">
      <alignment vertical="center"/>
    </xf>
    <xf numFmtId="0" fontId="41" fillId="0" borderId="3" xfId="0" applyFont="1" applyFill="1" applyBorder="1" applyAlignment="1">
      <alignment horizontal="right" vertical="center"/>
    </xf>
    <xf numFmtId="0" fontId="41" fillId="7" borderId="5" xfId="0" applyFont="1" applyFill="1" applyBorder="1" applyAlignment="1">
      <alignment horizontal="left" vertical="center" indent="1"/>
    </xf>
    <xf numFmtId="176" fontId="63" fillId="0" borderId="0" xfId="1" applyNumberFormat="1" applyFont="1" applyBorder="1" applyAlignment="1">
      <alignment vertical="center"/>
    </xf>
    <xf numFmtId="176" fontId="23" fillId="0" borderId="10" xfId="1" applyNumberFormat="1" applyFont="1" applyBorder="1" applyAlignment="1"/>
    <xf numFmtId="187" fontId="49" fillId="5" borderId="4" xfId="9" applyNumberFormat="1" applyFill="1" applyAlignment="1">
      <alignment horizontal="center"/>
    </xf>
    <xf numFmtId="183" fontId="52" fillId="0" borderId="0" xfId="0" applyNumberFormat="1" applyFont="1" applyFill="1" applyBorder="1" applyAlignment="1" applyProtection="1">
      <alignment horizontal="right" vertical="center"/>
      <protection locked="0"/>
    </xf>
    <xf numFmtId="183" fontId="52" fillId="0" borderId="0" xfId="8" applyNumberFormat="1" applyFont="1" applyFill="1" applyBorder="1" applyAlignment="1" applyProtection="1">
      <alignment horizontal="right" vertical="center"/>
      <protection locked="0"/>
    </xf>
    <xf numFmtId="0" fontId="41" fillId="0" borderId="0" xfId="0" applyFont="1" applyFill="1" applyBorder="1" applyAlignment="1">
      <alignment horizontal="right" vertical="center"/>
    </xf>
    <xf numFmtId="0" fontId="51" fillId="8" borderId="0" xfId="1" applyFont="1" applyFill="1" applyBorder="1" applyAlignment="1">
      <alignment horizontal="left" vertical="center"/>
    </xf>
    <xf numFmtId="0" fontId="51" fillId="8" borderId="0" xfId="0" applyFont="1" applyFill="1" applyBorder="1" applyAlignment="1">
      <alignment vertical="center"/>
    </xf>
    <xf numFmtId="191" fontId="0" fillId="0" borderId="0" xfId="0" applyNumberFormat="1" applyBorder="1">
      <alignment vertical="center"/>
    </xf>
    <xf numFmtId="183" fontId="41" fillId="0" borderId="2" xfId="0" applyNumberFormat="1" applyFont="1" applyFill="1" applyBorder="1" applyAlignment="1">
      <alignment horizontal="right" vertical="center"/>
    </xf>
    <xf numFmtId="0" fontId="0" fillId="0" borderId="2" xfId="0" applyFill="1" applyBorder="1" applyAlignment="1" applyProtection="1">
      <alignment horizontal="left" vertical="center"/>
      <protection locked="0"/>
    </xf>
    <xf numFmtId="183" fontId="45" fillId="0" borderId="0" xfId="0" applyNumberFormat="1" applyFont="1" applyFill="1" applyBorder="1" applyAlignment="1" applyProtection="1">
      <alignment horizontal="right" vertical="center"/>
      <protection locked="0"/>
    </xf>
    <xf numFmtId="0" fontId="42" fillId="4" borderId="0" xfId="30" applyFill="1" applyBorder="1">
      <alignment vertical="center"/>
    </xf>
    <xf numFmtId="0" fontId="40" fillId="4" borderId="0" xfId="30" applyFont="1" applyFill="1" applyBorder="1">
      <alignment vertical="center"/>
    </xf>
    <xf numFmtId="0" fontId="45" fillId="4" borderId="0" xfId="30" applyFont="1" applyFill="1" applyBorder="1">
      <alignment vertical="center"/>
    </xf>
    <xf numFmtId="0" fontId="45" fillId="0" borderId="0" xfId="30" applyFont="1" applyBorder="1">
      <alignment vertical="center"/>
    </xf>
    <xf numFmtId="0" fontId="42" fillId="3" borderId="0" xfId="30" applyFill="1" applyBorder="1">
      <alignment vertical="center"/>
    </xf>
    <xf numFmtId="0" fontId="40" fillId="3" borderId="0" xfId="30" applyFont="1" applyFill="1" applyBorder="1">
      <alignment vertical="center"/>
    </xf>
    <xf numFmtId="0" fontId="44" fillId="3" borderId="0" xfId="30" applyFont="1" applyFill="1" applyBorder="1">
      <alignment vertical="center"/>
    </xf>
    <xf numFmtId="0" fontId="41" fillId="7" borderId="2" xfId="30" applyFont="1" applyFill="1" applyBorder="1">
      <alignment vertical="center"/>
    </xf>
    <xf numFmtId="0" fontId="44" fillId="0" borderId="2" xfId="30" applyFont="1" applyFill="1" applyBorder="1" applyAlignment="1">
      <alignment horizontal="right" vertical="center"/>
    </xf>
    <xf numFmtId="0" fontId="44" fillId="7" borderId="2" xfId="30" applyFont="1" applyFill="1" applyBorder="1" applyAlignment="1">
      <alignment horizontal="right" vertical="center"/>
    </xf>
    <xf numFmtId="0" fontId="44" fillId="0" borderId="2" xfId="30" applyFont="1" applyFill="1" applyBorder="1" applyAlignment="1">
      <alignment horizontal="center" vertical="center"/>
    </xf>
    <xf numFmtId="0" fontId="42" fillId="7" borderId="0" xfId="30" applyFill="1" applyBorder="1">
      <alignment vertical="center"/>
    </xf>
    <xf numFmtId="180" fontId="45" fillId="0" borderId="0" xfId="30" applyNumberFormat="1" applyFont="1" applyFill="1" applyBorder="1">
      <alignment vertical="center"/>
    </xf>
    <xf numFmtId="180" fontId="45" fillId="7" borderId="0" xfId="30" applyNumberFormat="1" applyFont="1" applyFill="1" applyBorder="1">
      <alignment vertical="center"/>
    </xf>
    <xf numFmtId="0" fontId="42" fillId="7" borderId="0" xfId="30" applyFill="1" applyBorder="1" applyAlignment="1">
      <alignment horizontal="left" vertical="center" indent="1"/>
    </xf>
    <xf numFmtId="0" fontId="45" fillId="0" borderId="0" xfId="30" applyFont="1" applyFill="1" applyBorder="1">
      <alignment vertical="center"/>
    </xf>
    <xf numFmtId="0" fontId="45" fillId="7" borderId="0" xfId="30" applyFont="1" applyFill="1" applyBorder="1">
      <alignment vertical="center"/>
    </xf>
    <xf numFmtId="180" fontId="77" fillId="0" borderId="0" xfId="30" applyNumberFormat="1" applyFont="1" applyFill="1" applyBorder="1" applyAlignment="1">
      <alignment horizontal="right" vertical="center"/>
    </xf>
    <xf numFmtId="0" fontId="44" fillId="0" borderId="0" xfId="30" applyFont="1" applyFill="1" applyBorder="1" applyAlignment="1">
      <alignment horizontal="center" vertical="center"/>
    </xf>
    <xf numFmtId="0" fontId="41" fillId="7" borderId="0" xfId="30" applyFont="1" applyFill="1" applyBorder="1">
      <alignment vertical="center"/>
    </xf>
    <xf numFmtId="0" fontId="42" fillId="7" borderId="0" xfId="30" applyFont="1" applyFill="1" applyBorder="1">
      <alignment vertical="center"/>
    </xf>
    <xf numFmtId="183" fontId="45" fillId="0" borderId="0" xfId="30" applyNumberFormat="1" applyFont="1" applyFill="1" applyBorder="1" applyAlignment="1">
      <alignment horizontal="right" vertical="center"/>
    </xf>
    <xf numFmtId="182" fontId="45" fillId="7" borderId="0" xfId="30" applyNumberFormat="1" applyFont="1" applyFill="1" applyBorder="1" applyAlignment="1">
      <alignment horizontal="right" vertical="center" indent="1"/>
    </xf>
    <xf numFmtId="183" fontId="45" fillId="0" borderId="0" xfId="30" applyNumberFormat="1" applyFont="1" applyFill="1" applyBorder="1">
      <alignment vertical="center"/>
    </xf>
    <xf numFmtId="183" fontId="45" fillId="7" borderId="0" xfId="30" applyNumberFormat="1" applyFont="1" applyFill="1" applyBorder="1">
      <alignment vertical="center"/>
    </xf>
    <xf numFmtId="0" fontId="42" fillId="7" borderId="0" xfId="30" applyFont="1" applyFill="1" applyBorder="1" applyAlignment="1">
      <alignment horizontal="left" vertical="center" indent="1"/>
    </xf>
    <xf numFmtId="0" fontId="42" fillId="7" borderId="0" xfId="30" applyFill="1" applyBorder="1" applyAlignment="1">
      <alignment horizontal="left" vertical="center" indent="2"/>
    </xf>
    <xf numFmtId="180" fontId="45" fillId="0" borderId="0" xfId="32" applyNumberFormat="1" applyFont="1" applyFill="1" applyBorder="1">
      <alignment vertical="center"/>
    </xf>
    <xf numFmtId="43" fontId="45" fillId="0" borderId="0" xfId="32" applyFont="1" applyFill="1" applyBorder="1">
      <alignment vertical="center"/>
    </xf>
    <xf numFmtId="0" fontId="42" fillId="0" borderId="0" xfId="30" applyBorder="1">
      <alignment vertical="center"/>
    </xf>
    <xf numFmtId="0" fontId="45" fillId="0" borderId="0" xfId="30" applyFont="1" applyFill="1" applyBorder="1" applyAlignment="1">
      <alignment horizontal="left" vertical="center"/>
    </xf>
    <xf numFmtId="0" fontId="42" fillId="7" borderId="0" xfId="30" applyFill="1" applyBorder="1" applyAlignment="1">
      <alignment horizontal="left" vertical="center"/>
    </xf>
    <xf numFmtId="0" fontId="41" fillId="7" borderId="0" xfId="0" applyFont="1" applyFill="1" applyBorder="1" applyAlignment="1">
      <alignment horizontal="left" vertical="center" indent="1"/>
    </xf>
    <xf numFmtId="0" fontId="80" fillId="0" borderId="0" xfId="10" applyFont="1" applyFill="1" applyAlignment="1">
      <alignment vertical="center"/>
    </xf>
    <xf numFmtId="0" fontId="38" fillId="0" borderId="0" xfId="33" applyFill="1">
      <alignment vertical="center"/>
    </xf>
    <xf numFmtId="192" fontId="38" fillId="0" borderId="0" xfId="33" applyNumberFormat="1" applyFill="1">
      <alignment vertical="center"/>
    </xf>
    <xf numFmtId="0" fontId="41" fillId="7" borderId="0" xfId="0" applyFont="1" applyFill="1" applyBorder="1" applyAlignment="1">
      <alignment horizontal="right" vertical="center"/>
    </xf>
    <xf numFmtId="0" fontId="41" fillId="7" borderId="0" xfId="0" applyFont="1" applyFill="1" applyBorder="1">
      <alignment vertical="center"/>
    </xf>
    <xf numFmtId="0" fontId="45" fillId="7" borderId="0" xfId="0" applyFont="1" applyFill="1" applyBorder="1" applyAlignment="1">
      <alignment horizontal="left" vertical="center"/>
    </xf>
    <xf numFmtId="0" fontId="45" fillId="7" borderId="0" xfId="0" applyFont="1" applyFill="1" applyBorder="1" applyAlignment="1">
      <alignment horizontal="left" vertical="center" indent="2"/>
    </xf>
    <xf numFmtId="0" fontId="45" fillId="7" borderId="0" xfId="0" applyFont="1" applyFill="1" applyBorder="1" applyAlignment="1">
      <alignment horizontal="left" vertical="center" indent="3"/>
    </xf>
    <xf numFmtId="0" fontId="44" fillId="7" borderId="0" xfId="0" applyFont="1" applyFill="1" applyBorder="1" applyAlignment="1">
      <alignment horizontal="left" vertical="center"/>
    </xf>
    <xf numFmtId="0" fontId="41" fillId="7" borderId="2" xfId="0" applyFont="1" applyFill="1" applyBorder="1" applyAlignment="1">
      <alignment horizontal="left" vertical="center"/>
    </xf>
    <xf numFmtId="0" fontId="42" fillId="7" borderId="0" xfId="0" applyFont="1" applyFill="1" applyBorder="1" applyAlignment="1">
      <alignment horizontal="left" vertical="center"/>
    </xf>
    <xf numFmtId="0" fontId="44" fillId="7" borderId="0" xfId="0" applyFont="1" applyFill="1" applyBorder="1">
      <alignment vertical="center"/>
    </xf>
    <xf numFmtId="0" fontId="45" fillId="7" borderId="0" xfId="0" applyFont="1" applyFill="1" applyBorder="1" applyAlignment="1">
      <alignment horizontal="left" vertical="center" indent="1"/>
    </xf>
    <xf numFmtId="183" fontId="41" fillId="7" borderId="2" xfId="0" applyNumberFormat="1" applyFont="1" applyFill="1" applyBorder="1" applyAlignment="1">
      <alignment horizontal="right" vertical="center"/>
    </xf>
    <xf numFmtId="183" fontId="52" fillId="7" borderId="0" xfId="0" applyNumberFormat="1" applyFont="1" applyFill="1" applyBorder="1" applyAlignment="1" applyProtection="1">
      <alignment horizontal="right" vertical="center"/>
      <protection locked="0"/>
    </xf>
    <xf numFmtId="0" fontId="0" fillId="3" borderId="0" xfId="0" applyFill="1" applyBorder="1" applyAlignment="1">
      <alignment horizontal="center" vertical="center"/>
    </xf>
    <xf numFmtId="184" fontId="36" fillId="7" borderId="0" xfId="0" applyNumberFormat="1" applyFont="1" applyFill="1" applyBorder="1">
      <alignment vertical="center"/>
    </xf>
    <xf numFmtId="180" fontId="0" fillId="7" borderId="3" xfId="0" applyNumberFormat="1" applyFill="1" applyBorder="1">
      <alignment vertical="center"/>
    </xf>
    <xf numFmtId="180" fontId="0" fillId="7" borderId="0" xfId="0" applyNumberFormat="1" applyFill="1" applyBorder="1">
      <alignment vertical="center"/>
    </xf>
    <xf numFmtId="0" fontId="41" fillId="7" borderId="0" xfId="0" applyFont="1" applyFill="1" applyBorder="1" applyAlignment="1">
      <alignment horizontal="left" vertical="center" indent="2"/>
    </xf>
    <xf numFmtId="183" fontId="0" fillId="7" borderId="3" xfId="0" applyNumberFormat="1" applyFont="1" applyFill="1" applyBorder="1">
      <alignment vertical="center"/>
    </xf>
    <xf numFmtId="183" fontId="0" fillId="7" borderId="0" xfId="0" applyNumberFormat="1" applyFont="1" applyFill="1" applyBorder="1">
      <alignment vertical="center"/>
    </xf>
    <xf numFmtId="0" fontId="0" fillId="0" borderId="0" xfId="0" applyFont="1" applyFill="1" applyBorder="1">
      <alignment vertical="center"/>
    </xf>
    <xf numFmtId="0" fontId="0" fillId="7" borderId="0" xfId="0" applyFont="1" applyFill="1" applyBorder="1">
      <alignment vertical="center"/>
    </xf>
    <xf numFmtId="0" fontId="0" fillId="7" borderId="5" xfId="0" applyFont="1" applyFill="1" applyBorder="1">
      <alignment vertical="center"/>
    </xf>
    <xf numFmtId="0" fontId="0" fillId="0" borderId="0" xfId="0" applyFont="1" applyBorder="1">
      <alignment vertical="center"/>
    </xf>
    <xf numFmtId="183" fontId="36" fillId="0" borderId="0" xfId="0" applyNumberFormat="1" applyFont="1" applyFill="1" applyBorder="1">
      <alignment vertical="center"/>
    </xf>
    <xf numFmtId="183" fontId="36" fillId="7" borderId="0" xfId="0" applyNumberFormat="1" applyFont="1" applyFill="1" applyBorder="1">
      <alignment vertical="center"/>
    </xf>
    <xf numFmtId="0" fontId="41" fillId="7" borderId="3" xfId="0" applyFont="1" applyFill="1" applyBorder="1" applyAlignment="1">
      <alignment horizontal="right" vertical="center"/>
    </xf>
    <xf numFmtId="0" fontId="72" fillId="7" borderId="0" xfId="0" applyFont="1" applyFill="1" applyBorder="1" applyAlignment="1">
      <alignment horizontal="left" vertical="center" indent="1"/>
    </xf>
    <xf numFmtId="0" fontId="45" fillId="0" borderId="0" xfId="30" applyFont="1" applyFill="1" applyBorder="1" applyAlignment="1">
      <alignment horizontal="right" vertical="center"/>
    </xf>
    <xf numFmtId="0" fontId="45" fillId="0" borderId="0" xfId="30" applyFont="1" applyBorder="1" applyAlignment="1">
      <alignment horizontal="right" vertical="center"/>
    </xf>
    <xf numFmtId="0" fontId="0" fillId="0" borderId="5" xfId="0" applyFont="1" applyFill="1" applyBorder="1">
      <alignment vertical="center"/>
    </xf>
    <xf numFmtId="183" fontId="0" fillId="0" borderId="3" xfId="0" applyNumberFormat="1" applyFont="1" applyFill="1" applyBorder="1">
      <alignment vertical="center"/>
    </xf>
    <xf numFmtId="176" fontId="83" fillId="9" borderId="0" xfId="1" applyNumberFormat="1" applyFont="1" applyFill="1" applyBorder="1" applyAlignment="1">
      <alignment vertical="center"/>
    </xf>
    <xf numFmtId="176" fontId="85" fillId="0" borderId="0" xfId="1" applyNumberFormat="1" applyFont="1" applyAlignment="1"/>
    <xf numFmtId="14" fontId="89" fillId="0" borderId="0" xfId="1" applyNumberFormat="1" applyFont="1" applyAlignment="1">
      <alignment horizontal="left"/>
    </xf>
    <xf numFmtId="176" fontId="89" fillId="0" borderId="0" xfId="1" applyNumberFormat="1" applyFont="1" applyAlignment="1"/>
    <xf numFmtId="0" fontId="36" fillId="0" borderId="0" xfId="0" applyFont="1" applyFill="1" applyBorder="1">
      <alignment vertical="center"/>
    </xf>
    <xf numFmtId="0" fontId="42" fillId="12" borderId="0" xfId="30" applyFill="1" applyBorder="1">
      <alignment vertical="center"/>
    </xf>
    <xf numFmtId="0" fontId="90" fillId="12" borderId="0" xfId="30" applyFont="1" applyFill="1" applyBorder="1">
      <alignment vertical="center"/>
    </xf>
    <xf numFmtId="0" fontId="42" fillId="12" borderId="0" xfId="30" applyFill="1" applyBorder="1" applyAlignment="1">
      <alignment horizontal="center" vertical="center"/>
    </xf>
    <xf numFmtId="0" fontId="42" fillId="13" borderId="0" xfId="30" applyFill="1" applyBorder="1">
      <alignment vertical="center"/>
    </xf>
    <xf numFmtId="0" fontId="91" fillId="13" borderId="0" xfId="30" applyFont="1" applyFill="1" applyBorder="1">
      <alignment vertical="center"/>
    </xf>
    <xf numFmtId="0" fontId="41" fillId="13" borderId="0" xfId="30" applyFont="1" applyFill="1" applyBorder="1" applyAlignment="1">
      <alignment horizontal="center" vertical="center"/>
    </xf>
    <xf numFmtId="0" fontId="41" fillId="13" borderId="0" xfId="30" applyFont="1" applyFill="1" applyBorder="1" applyAlignment="1">
      <alignment horizontal="right" vertical="center"/>
    </xf>
    <xf numFmtId="0" fontId="42" fillId="0" borderId="0" xfId="30" applyFill="1" applyBorder="1">
      <alignment vertical="center"/>
    </xf>
    <xf numFmtId="0" fontId="74" fillId="0" borderId="0" xfId="30" applyFont="1" applyFill="1" applyBorder="1" applyAlignment="1">
      <alignment horizontal="left" vertical="center" indent="1"/>
    </xf>
    <xf numFmtId="9" fontId="42" fillId="0" borderId="0" xfId="31" applyFont="1" applyFill="1" applyBorder="1" applyAlignment="1">
      <alignment horizontal="center" vertical="center"/>
    </xf>
    <xf numFmtId="181" fontId="42" fillId="0" borderId="0" xfId="31" applyNumberFormat="1" applyFont="1" applyFill="1" applyBorder="1">
      <alignment vertical="center"/>
    </xf>
    <xf numFmtId="0" fontId="42" fillId="0" borderId="0" xfId="30" quotePrefix="1" applyFont="1" applyFill="1" applyBorder="1" applyAlignment="1">
      <alignment vertical="center"/>
    </xf>
    <xf numFmtId="0" fontId="27" fillId="0" borderId="0" xfId="30" applyFont="1" applyFill="1" applyBorder="1">
      <alignment vertical="center"/>
    </xf>
    <xf numFmtId="0" fontId="41" fillId="3" borderId="0" xfId="30" applyFont="1" applyFill="1" applyBorder="1" applyAlignment="1">
      <alignment horizontal="center" vertical="center"/>
    </xf>
    <xf numFmtId="0" fontId="42" fillId="0" borderId="0" xfId="30" applyBorder="1" applyAlignment="1">
      <alignment horizontal="center" vertical="center"/>
    </xf>
    <xf numFmtId="0" fontId="42" fillId="0" borderId="0" xfId="30" quotePrefix="1" applyFont="1" applyFill="1" applyBorder="1" applyAlignment="1">
      <alignment horizontal="right" vertical="center" indent="2"/>
    </xf>
    <xf numFmtId="183" fontId="42" fillId="0" borderId="0" xfId="30" applyNumberFormat="1" applyBorder="1" applyAlignment="1">
      <alignment horizontal="center" vertical="center"/>
    </xf>
    <xf numFmtId="181" fontId="42" fillId="0" borderId="0" xfId="8" applyNumberFormat="1" applyFont="1" applyBorder="1" applyAlignment="1">
      <alignment horizontal="right" vertical="center"/>
    </xf>
    <xf numFmtId="183" fontId="42" fillId="7" borderId="0" xfId="30" applyNumberFormat="1" applyFill="1" applyBorder="1" applyAlignment="1">
      <alignment horizontal="center" vertical="center"/>
    </xf>
    <xf numFmtId="181" fontId="42" fillId="7" borderId="0" xfId="8" applyNumberFormat="1" applyFont="1" applyFill="1" applyBorder="1" applyAlignment="1">
      <alignment horizontal="right" vertical="center"/>
    </xf>
    <xf numFmtId="183" fontId="36" fillId="0" borderId="0" xfId="0" applyNumberFormat="1" applyFont="1" applyBorder="1">
      <alignment vertical="center"/>
    </xf>
    <xf numFmtId="181" fontId="92" fillId="0" borderId="0" xfId="8" applyNumberFormat="1" applyFont="1" applyBorder="1">
      <alignment vertical="center"/>
    </xf>
    <xf numFmtId="181" fontId="92" fillId="7" borderId="0" xfId="8" applyNumberFormat="1" applyFont="1" applyFill="1" applyBorder="1">
      <alignment vertical="center"/>
    </xf>
    <xf numFmtId="0" fontId="45" fillId="7" borderId="0" xfId="0" applyFont="1" applyFill="1" applyBorder="1">
      <alignment vertical="center"/>
    </xf>
    <xf numFmtId="0" fontId="44" fillId="7" borderId="3" xfId="0" applyFont="1" applyFill="1" applyBorder="1">
      <alignment vertical="center"/>
    </xf>
    <xf numFmtId="176" fontId="88" fillId="0" borderId="0" xfId="1" applyNumberFormat="1" applyFont="1" applyAlignment="1">
      <alignment horizontal="center"/>
    </xf>
    <xf numFmtId="183" fontId="42" fillId="0" borderId="0" xfId="30" applyNumberFormat="1" applyFont="1" applyFill="1" applyBorder="1" applyAlignment="1">
      <alignment vertical="center"/>
    </xf>
    <xf numFmtId="183" fontId="0" fillId="0" borderId="0" xfId="0" applyNumberFormat="1" applyFont="1" applyFill="1" applyBorder="1">
      <alignment vertical="center"/>
    </xf>
    <xf numFmtId="181" fontId="42" fillId="0" borderId="0" xfId="8" applyNumberFormat="1" applyFont="1" applyFill="1" applyBorder="1" applyAlignment="1">
      <alignment vertical="center"/>
    </xf>
    <xf numFmtId="191" fontId="42" fillId="0" borderId="0" xfId="31" applyNumberFormat="1" applyFont="1" applyFill="1" applyBorder="1" applyAlignment="1">
      <alignment horizontal="center" vertical="center"/>
    </xf>
    <xf numFmtId="183" fontId="42" fillId="0" borderId="0" xfId="30" applyNumberFormat="1" applyFill="1" applyBorder="1" applyAlignment="1">
      <alignment horizontal="center" vertical="center"/>
    </xf>
    <xf numFmtId="176" fontId="86" fillId="0" borderId="0" xfId="1" applyNumberFormat="1" applyFont="1" applyAlignment="1">
      <alignment horizontal="center"/>
    </xf>
    <xf numFmtId="176" fontId="87" fillId="0" borderId="0" xfId="1" applyNumberFormat="1" applyFont="1" applyAlignment="1">
      <alignment horizontal="center"/>
    </xf>
    <xf numFmtId="0" fontId="41" fillId="13" borderId="0" xfId="30" applyFont="1" applyFill="1" applyBorder="1" applyAlignment="1">
      <alignment vertical="center"/>
    </xf>
    <xf numFmtId="0" fontId="42" fillId="0" borderId="0" xfId="30" applyFont="1" applyFill="1" applyBorder="1" applyAlignment="1">
      <alignment vertical="center"/>
    </xf>
    <xf numFmtId="0" fontId="27" fillId="2" borderId="0" xfId="0" applyFont="1" applyFill="1" applyBorder="1" applyProtection="1">
      <alignment vertical="center"/>
      <protection locked="0"/>
    </xf>
    <xf numFmtId="0" fontId="66" fillId="2" borderId="0" xfId="6" applyFont="1" applyFill="1" applyBorder="1" applyProtection="1">
      <alignment vertical="center"/>
      <protection locked="0"/>
    </xf>
    <xf numFmtId="0" fontId="0" fillId="3" borderId="0" xfId="0" applyFill="1" applyBorder="1" applyProtection="1">
      <alignment vertical="center"/>
      <protection locked="0"/>
    </xf>
    <xf numFmtId="0" fontId="66" fillId="3" borderId="0" xfId="6" applyFont="1" applyFill="1" applyBorder="1" applyProtection="1">
      <alignment vertical="center"/>
      <protection locked="0"/>
    </xf>
    <xf numFmtId="0" fontId="45" fillId="3" borderId="0" xfId="0" applyFont="1" applyFill="1" applyBorder="1" applyProtection="1">
      <alignment vertical="center"/>
      <protection locked="0"/>
    </xf>
    <xf numFmtId="0" fontId="69" fillId="7" borderId="0" xfId="10" applyFont="1" applyFill="1" applyAlignment="1" applyProtection="1">
      <protection locked="0"/>
    </xf>
    <xf numFmtId="0" fontId="19" fillId="7" borderId="0" xfId="10" applyFill="1" applyAlignment="1" applyProtection="1">
      <protection locked="0"/>
    </xf>
    <xf numFmtId="0" fontId="49" fillId="7" borderId="4" xfId="9" applyFill="1" applyAlignment="1" applyProtection="1">
      <alignment horizontal="center"/>
      <protection locked="0"/>
    </xf>
    <xf numFmtId="0" fontId="70" fillId="7" borderId="4" xfId="9" applyFont="1" applyFill="1" applyAlignment="1" applyProtection="1">
      <alignment horizontal="center" wrapText="1"/>
      <protection locked="0"/>
    </xf>
    <xf numFmtId="0" fontId="0" fillId="0" borderId="0" xfId="0" applyBorder="1" applyAlignment="1" applyProtection="1">
      <alignment horizontal="center" vertical="center"/>
      <protection locked="0"/>
    </xf>
    <xf numFmtId="0" fontId="70" fillId="7" borderId="0" xfId="9" applyFont="1" applyFill="1" applyBorder="1" applyAlignment="1" applyProtection="1">
      <alignment horizontal="center" wrapText="1"/>
      <protection locked="0"/>
    </xf>
    <xf numFmtId="176" fontId="93" fillId="0" borderId="0" xfId="1" applyNumberFormat="1" applyFont="1" applyAlignment="1">
      <alignment horizontal="left"/>
    </xf>
    <xf numFmtId="183" fontId="42" fillId="0" borderId="0" xfId="30" applyNumberFormat="1" applyBorder="1">
      <alignment vertical="center"/>
    </xf>
    <xf numFmtId="0" fontId="36" fillId="0" borderId="0" xfId="0" applyFont="1" applyBorder="1">
      <alignment vertical="center"/>
    </xf>
    <xf numFmtId="180" fontId="36" fillId="0" borderId="0" xfId="0" applyNumberFormat="1" applyFont="1" applyBorder="1">
      <alignment vertical="center"/>
    </xf>
    <xf numFmtId="176" fontId="95" fillId="0" borderId="0" xfId="1" applyNumberFormat="1" applyFont="1" applyAlignment="1">
      <alignment horizontal="center"/>
    </xf>
    <xf numFmtId="176" fontId="96" fillId="0" borderId="3" xfId="1" applyNumberFormat="1" applyFont="1" applyBorder="1" applyAlignment="1"/>
    <xf numFmtId="14" fontId="95" fillId="0" borderId="0" xfId="1" applyNumberFormat="1" applyFont="1" applyAlignment="1">
      <alignment horizontal="left"/>
    </xf>
    <xf numFmtId="176" fontId="95" fillId="0" borderId="0" xfId="1" applyNumberFormat="1" applyFont="1" applyAlignment="1"/>
    <xf numFmtId="176" fontId="95" fillId="0" borderId="7" xfId="1" applyNumberFormat="1" applyFont="1" applyBorder="1" applyAlignment="1"/>
    <xf numFmtId="14" fontId="95" fillId="0" borderId="3" xfId="1" applyNumberFormat="1" applyFont="1" applyBorder="1" applyAlignment="1">
      <alignment horizontal="left"/>
    </xf>
    <xf numFmtId="176" fontId="95" fillId="0" borderId="3" xfId="1" applyNumberFormat="1" applyFont="1" applyBorder="1" applyAlignment="1"/>
    <xf numFmtId="183" fontId="0" fillId="0" borderId="0" xfId="0" applyNumberFormat="1" applyBorder="1">
      <alignment vertical="center"/>
    </xf>
    <xf numFmtId="3" fontId="100" fillId="0" borderId="0" xfId="40" applyNumberFormat="1" applyFont="1" applyAlignment="1" applyProtection="1">
      <alignment horizontal="left" vertical="center"/>
    </xf>
    <xf numFmtId="0" fontId="0" fillId="7" borderId="0" xfId="33" applyFont="1" applyFill="1" applyAlignment="1">
      <alignment horizontal="left" vertical="center" indent="1"/>
    </xf>
    <xf numFmtId="183" fontId="51" fillId="0" borderId="0" xfId="33" applyNumberFormat="1" applyFont="1" applyFill="1" applyProtection="1">
      <alignment vertical="center"/>
      <protection locked="0"/>
    </xf>
    <xf numFmtId="183" fontId="51" fillId="7" borderId="0" xfId="33" applyNumberFormat="1" applyFont="1" applyFill="1" applyProtection="1">
      <alignment vertical="center"/>
      <protection locked="0"/>
    </xf>
    <xf numFmtId="194" fontId="41" fillId="3" borderId="0" xfId="0" applyNumberFormat="1" applyFont="1" applyFill="1" applyBorder="1" applyAlignment="1">
      <alignment horizontal="right" vertical="center"/>
    </xf>
    <xf numFmtId="194" fontId="41" fillId="5" borderId="0" xfId="0" applyNumberFormat="1" applyFont="1" applyFill="1" applyBorder="1" applyAlignment="1">
      <alignment horizontal="right" vertical="center"/>
    </xf>
    <xf numFmtId="0" fontId="41" fillId="3" borderId="0" xfId="30" applyFont="1" applyFill="1" applyBorder="1" applyAlignment="1">
      <alignment horizontal="center" vertical="center"/>
    </xf>
    <xf numFmtId="176" fontId="76" fillId="0" borderId="0" xfId="1" applyNumberFormat="1" applyFont="1" applyAlignment="1">
      <alignment horizontal="left"/>
    </xf>
    <xf numFmtId="0" fontId="39" fillId="3" borderId="0" xfId="0" applyFont="1" applyFill="1" applyBorder="1" applyAlignment="1">
      <alignment horizontal="center" vertical="center"/>
    </xf>
    <xf numFmtId="0" fontId="0" fillId="0" borderId="19" xfId="0" applyBorder="1">
      <alignment vertical="center"/>
    </xf>
    <xf numFmtId="0" fontId="0" fillId="0" borderId="0" xfId="0" applyBorder="1" applyProtection="1">
      <alignment vertical="center"/>
    </xf>
    <xf numFmtId="176" fontId="79" fillId="0" borderId="0" xfId="1" applyNumberFormat="1" applyFont="1" applyBorder="1" applyAlignment="1">
      <alignment horizontal="left" vertical="center"/>
    </xf>
    <xf numFmtId="182" fontId="36" fillId="0" borderId="0" xfId="0" applyNumberFormat="1" applyFont="1" applyFill="1" applyBorder="1">
      <alignment vertical="center"/>
    </xf>
    <xf numFmtId="182" fontId="36" fillId="7" borderId="0" xfId="0" applyNumberFormat="1" applyFont="1" applyFill="1" applyBorder="1">
      <alignment vertical="center"/>
    </xf>
    <xf numFmtId="182" fontId="36" fillId="0" borderId="3" xfId="0" applyNumberFormat="1" applyFont="1" applyFill="1" applyBorder="1">
      <alignment vertical="center"/>
    </xf>
    <xf numFmtId="182" fontId="36" fillId="7" borderId="3" xfId="0" applyNumberFormat="1" applyFont="1" applyFill="1" applyBorder="1">
      <alignment vertical="center"/>
    </xf>
    <xf numFmtId="182" fontId="36" fillId="0" borderId="0" xfId="0" applyNumberFormat="1" applyFont="1" applyBorder="1">
      <alignment vertical="center"/>
    </xf>
    <xf numFmtId="182" fontId="36" fillId="0" borderId="3" xfId="0" applyNumberFormat="1" applyFont="1" applyBorder="1">
      <alignment vertical="center"/>
    </xf>
    <xf numFmtId="0" fontId="44" fillId="7" borderId="3" xfId="0" applyFont="1" applyFill="1" applyBorder="1" applyAlignment="1">
      <alignment horizontal="left" vertical="center"/>
    </xf>
    <xf numFmtId="183" fontId="44" fillId="0" borderId="0" xfId="30" applyNumberFormat="1" applyFont="1" applyFill="1" applyBorder="1" applyAlignment="1">
      <alignment horizontal="right" vertical="center"/>
    </xf>
    <xf numFmtId="183" fontId="41" fillId="7" borderId="0" xfId="0" applyNumberFormat="1" applyFont="1" applyFill="1" applyBorder="1">
      <alignment vertical="center"/>
    </xf>
    <xf numFmtId="3" fontId="19" fillId="0" borderId="18" xfId="40" applyNumberFormat="1" applyFont="1" applyFill="1" applyBorder="1" applyAlignment="1" applyProtection="1">
      <alignment horizontal="left" vertical="center"/>
    </xf>
    <xf numFmtId="183" fontId="52" fillId="0" borderId="2" xfId="0" applyNumberFormat="1" applyFont="1" applyFill="1" applyBorder="1" applyAlignment="1" applyProtection="1">
      <alignment horizontal="right" vertical="center"/>
      <protection locked="0"/>
    </xf>
    <xf numFmtId="0" fontId="0" fillId="0" borderId="22" xfId="0" applyBorder="1">
      <alignment vertical="center"/>
    </xf>
    <xf numFmtId="0" fontId="36" fillId="0" borderId="3" xfId="0" applyFont="1" applyFill="1" applyBorder="1">
      <alignment vertical="center"/>
    </xf>
    <xf numFmtId="0" fontId="41" fillId="0" borderId="0" xfId="0" applyFont="1" applyFill="1" applyBorder="1">
      <alignment vertical="center"/>
    </xf>
    <xf numFmtId="0" fontId="44" fillId="0" borderId="0" xfId="0" applyFont="1" applyFill="1" applyBorder="1">
      <alignment vertical="center"/>
    </xf>
    <xf numFmtId="180" fontId="0" fillId="0" borderId="0" xfId="0" applyNumberFormat="1" applyFill="1" applyBorder="1">
      <alignment vertical="center"/>
    </xf>
    <xf numFmtId="183" fontId="0" fillId="0" borderId="22" xfId="0" applyNumberFormat="1" applyBorder="1">
      <alignment vertical="center"/>
    </xf>
    <xf numFmtId="183" fontId="36" fillId="0" borderId="3" xfId="0" applyNumberFormat="1" applyFont="1" applyBorder="1">
      <alignment vertical="center"/>
    </xf>
    <xf numFmtId="183" fontId="0" fillId="0" borderId="3" xfId="0" applyNumberFormat="1" applyBorder="1">
      <alignment vertical="center"/>
    </xf>
    <xf numFmtId="182" fontId="0" fillId="7" borderId="0" xfId="0" applyNumberFormat="1" applyFont="1" applyFill="1" applyBorder="1">
      <alignment vertical="center"/>
    </xf>
    <xf numFmtId="0" fontId="0" fillId="2" borderId="0" xfId="0" applyFill="1" applyBorder="1" applyProtection="1">
      <alignment vertical="center"/>
    </xf>
    <xf numFmtId="0" fontId="0" fillId="3" borderId="0" xfId="0" applyFill="1" applyBorder="1" applyProtection="1">
      <alignment vertical="center"/>
    </xf>
    <xf numFmtId="0" fontId="19" fillId="7" borderId="0" xfId="10" applyFill="1" applyAlignment="1" applyProtection="1"/>
    <xf numFmtId="0" fontId="70" fillId="7" borderId="4" xfId="9" applyFont="1" applyFill="1" applyAlignment="1" applyProtection="1">
      <alignment horizontal="center"/>
    </xf>
    <xf numFmtId="0" fontId="70" fillId="7" borderId="4" xfId="9" applyFont="1" applyFill="1" applyAlignment="1" applyProtection="1">
      <alignment horizontal="center" wrapText="1"/>
    </xf>
    <xf numFmtId="187" fontId="49" fillId="7" borderId="4" xfId="9" applyNumberFormat="1" applyFill="1" applyAlignment="1" applyProtection="1">
      <alignment horizontal="center"/>
    </xf>
    <xf numFmtId="187" fontId="49" fillId="5" borderId="4" xfId="9" applyNumberFormat="1" applyFill="1" applyAlignment="1" applyProtection="1">
      <alignment horizontal="center"/>
    </xf>
    <xf numFmtId="0" fontId="42" fillId="3" borderId="0" xfId="30" applyFill="1" applyBorder="1" applyProtection="1">
      <alignment vertical="center"/>
      <protection locked="0"/>
    </xf>
    <xf numFmtId="0" fontId="41" fillId="3" borderId="0" xfId="30" applyFont="1" applyFill="1" applyBorder="1" applyAlignment="1" applyProtection="1">
      <alignment horizontal="center" vertical="center"/>
      <protection locked="0"/>
    </xf>
    <xf numFmtId="0" fontId="42" fillId="0" borderId="0" xfId="30" applyBorder="1" applyProtection="1">
      <alignment vertical="center"/>
      <protection locked="0"/>
    </xf>
    <xf numFmtId="181" fontId="42" fillId="0" borderId="0" xfId="31" applyNumberFormat="1" applyFont="1" applyFill="1" applyBorder="1" applyProtection="1">
      <alignment vertical="center"/>
      <protection locked="0"/>
    </xf>
    <xf numFmtId="0" fontId="42" fillId="12" borderId="0" xfId="30" applyFill="1" applyBorder="1" applyProtection="1">
      <alignment vertical="center"/>
      <protection locked="0"/>
    </xf>
    <xf numFmtId="0" fontId="42" fillId="0" borderId="0" xfId="30" applyFill="1" applyBorder="1" applyProtection="1">
      <alignment vertical="center"/>
      <protection locked="0"/>
    </xf>
    <xf numFmtId="0" fontId="44" fillId="0" borderId="23" xfId="30" applyFont="1" applyFill="1" applyBorder="1" applyAlignment="1">
      <alignment horizontal="center" vertical="center"/>
    </xf>
    <xf numFmtId="0" fontId="0" fillId="0" borderId="22" xfId="0" applyFill="1" applyBorder="1">
      <alignment vertical="center"/>
    </xf>
    <xf numFmtId="183" fontId="77" fillId="0" borderId="0" xfId="30" applyNumberFormat="1" applyFont="1" applyFill="1" applyBorder="1" applyAlignment="1">
      <alignment horizontal="right" vertical="center"/>
    </xf>
    <xf numFmtId="189" fontId="77" fillId="0" borderId="0" xfId="30" applyNumberFormat="1" applyFont="1" applyFill="1" applyBorder="1" applyAlignment="1">
      <alignment horizontal="right" vertical="center"/>
    </xf>
    <xf numFmtId="9" fontId="42" fillId="0" borderId="0" xfId="31" applyFont="1" applyFill="1" applyBorder="1" applyAlignment="1">
      <alignment horizontal="left" vertical="center"/>
    </xf>
    <xf numFmtId="9" fontId="102" fillId="0" borderId="0" xfId="31" applyFont="1" applyFill="1" applyBorder="1" applyAlignment="1">
      <alignment horizontal="left" vertical="center"/>
    </xf>
    <xf numFmtId="0" fontId="102" fillId="0" borderId="0" xfId="30" applyFont="1" applyBorder="1">
      <alignment vertical="center"/>
    </xf>
    <xf numFmtId="3" fontId="69" fillId="0" borderId="18" xfId="40" applyNumberFormat="1" applyFont="1" applyFill="1" applyBorder="1" applyAlignment="1" applyProtection="1">
      <alignment horizontal="left" vertical="center"/>
    </xf>
    <xf numFmtId="0" fontId="19" fillId="0" borderId="0" xfId="40" applyFont="1" applyAlignment="1">
      <alignment vertical="center"/>
      <protection locked="0"/>
    </xf>
    <xf numFmtId="0" fontId="19" fillId="0" borderId="0" xfId="40" applyFont="1" applyAlignment="1">
      <alignment vertical="top"/>
      <protection locked="0"/>
    </xf>
    <xf numFmtId="0" fontId="19" fillId="0" borderId="0" xfId="40" applyFont="1" applyAlignment="1" applyProtection="1">
      <alignment vertical="center"/>
    </xf>
    <xf numFmtId="0" fontId="98" fillId="0" borderId="0" xfId="40" applyFont="1" applyAlignment="1">
      <alignment vertical="center"/>
      <protection locked="0"/>
    </xf>
    <xf numFmtId="3" fontId="74" fillId="0" borderId="0" xfId="40" applyNumberFormat="1" applyFont="1" applyBorder="1">
      <protection locked="0"/>
    </xf>
    <xf numFmtId="0" fontId="74" fillId="0" borderId="0" xfId="40" applyFont="1" applyAlignment="1">
      <alignment vertical="center"/>
      <protection locked="0"/>
    </xf>
    <xf numFmtId="0" fontId="74" fillId="0" borderId="0" xfId="40" applyFont="1" applyBorder="1" applyAlignment="1">
      <alignment horizontal="right" vertical="center"/>
      <protection locked="0"/>
    </xf>
    <xf numFmtId="0" fontId="74" fillId="0" borderId="0" xfId="40" applyFont="1" applyBorder="1" applyAlignment="1">
      <alignment horizontal="left" vertical="center"/>
      <protection locked="0"/>
    </xf>
    <xf numFmtId="3" fontId="107" fillId="0" borderId="0" xfId="40" applyNumberFormat="1" applyFont="1" applyBorder="1" applyAlignment="1">
      <alignment vertical="center"/>
      <protection locked="0"/>
    </xf>
    <xf numFmtId="3" fontId="100" fillId="0" borderId="0" xfId="40" applyNumberFormat="1" applyFont="1" applyAlignment="1">
      <alignment horizontal="left" vertical="center"/>
      <protection locked="0"/>
    </xf>
    <xf numFmtId="0" fontId="100" fillId="0" borderId="0" xfId="40" applyFont="1" applyAlignment="1">
      <alignment horizontal="left" vertical="center"/>
      <protection locked="0"/>
    </xf>
    <xf numFmtId="3" fontId="19" fillId="0" borderId="0" xfId="40" applyNumberFormat="1" applyFont="1" applyAlignment="1" applyProtection="1">
      <alignment horizontal="left" vertical="center"/>
    </xf>
    <xf numFmtId="49" fontId="103" fillId="15" borderId="18" xfId="40" applyNumberFormat="1" applyFont="1" applyFill="1" applyBorder="1" applyAlignment="1">
      <alignment horizontal="center" vertical="center"/>
      <protection locked="0"/>
    </xf>
    <xf numFmtId="49" fontId="103" fillId="15" borderId="18" xfId="40" applyNumberFormat="1" applyFont="1" applyFill="1" applyBorder="1" applyAlignment="1">
      <alignment horizontal="center" vertical="center" wrapText="1"/>
      <protection locked="0"/>
    </xf>
    <xf numFmtId="49" fontId="105" fillId="15" borderId="18" xfId="40" applyNumberFormat="1" applyFont="1" applyFill="1" applyBorder="1" applyAlignment="1">
      <alignment horizontal="center" vertical="center" wrapText="1"/>
      <protection locked="0"/>
    </xf>
    <xf numFmtId="43" fontId="19" fillId="0" borderId="18" xfId="40" applyNumberFormat="1" applyFont="1" applyBorder="1" applyAlignment="1">
      <alignment vertical="center"/>
      <protection locked="0"/>
    </xf>
    <xf numFmtId="3" fontId="19" fillId="0" borderId="18" xfId="40" applyNumberFormat="1" applyFont="1" applyFill="1" applyBorder="1" applyAlignment="1" applyProtection="1">
      <alignment horizontal="left" vertical="center" indent="1"/>
    </xf>
    <xf numFmtId="0" fontId="110" fillId="0" borderId="0" xfId="40" applyFont="1" applyAlignment="1">
      <alignment vertical="top"/>
      <protection locked="0"/>
    </xf>
    <xf numFmtId="3" fontId="78" fillId="0" borderId="0" xfId="40" applyNumberFormat="1" applyFont="1" applyBorder="1">
      <protection locked="0"/>
    </xf>
    <xf numFmtId="0" fontId="78" fillId="0" borderId="0" xfId="40" applyFont="1" applyAlignment="1">
      <alignment vertical="center"/>
      <protection locked="0"/>
    </xf>
    <xf numFmtId="3" fontId="78" fillId="0" borderId="0" xfId="40" applyNumberFormat="1" applyFont="1" applyBorder="1" applyAlignment="1">
      <alignment horizontal="right" vertical="center"/>
      <protection locked="0"/>
    </xf>
    <xf numFmtId="0" fontId="78" fillId="0" borderId="0" xfId="40" applyFont="1" applyBorder="1" applyAlignment="1">
      <alignment horizontal="right" vertical="center"/>
      <protection locked="0"/>
    </xf>
    <xf numFmtId="0" fontId="111" fillId="14" borderId="0" xfId="40" applyFont="1" applyFill="1" applyAlignment="1">
      <alignment vertical="center"/>
      <protection locked="0"/>
    </xf>
    <xf numFmtId="49" fontId="113" fillId="14" borderId="31" xfId="40" applyNumberFormat="1" applyFont="1" applyFill="1" applyBorder="1" applyAlignment="1">
      <alignment horizontal="center" vertical="center" wrapText="1"/>
      <protection locked="0"/>
    </xf>
    <xf numFmtId="49" fontId="113" fillId="14" borderId="0" xfId="40" applyNumberFormat="1" applyFont="1" applyFill="1" applyBorder="1" applyAlignment="1">
      <alignment horizontal="center" vertical="center" wrapText="1"/>
      <protection locked="0"/>
    </xf>
    <xf numFmtId="49" fontId="111" fillId="14" borderId="30" xfId="40" applyNumberFormat="1" applyFont="1" applyFill="1" applyBorder="1" applyAlignment="1">
      <alignment horizontal="center" vertical="center"/>
      <protection locked="0"/>
    </xf>
    <xf numFmtId="0" fontId="78" fillId="0" borderId="28" xfId="40" applyFont="1" applyBorder="1" applyAlignment="1">
      <alignment vertical="center"/>
      <protection locked="0"/>
    </xf>
    <xf numFmtId="49" fontId="78" fillId="0" borderId="34" xfId="40" applyNumberFormat="1" applyFont="1" applyBorder="1" applyAlignment="1">
      <alignment horizontal="center" vertical="center"/>
      <protection locked="0"/>
    </xf>
    <xf numFmtId="195" fontId="78" fillId="17" borderId="34" xfId="40" applyNumberFormat="1" applyFont="1" applyFill="1" applyBorder="1" applyAlignment="1">
      <alignment horizontal="right" vertical="center"/>
      <protection locked="0"/>
    </xf>
    <xf numFmtId="0" fontId="99" fillId="0" borderId="28" xfId="40" applyFont="1" applyBorder="1" applyAlignment="1">
      <alignment vertical="center"/>
      <protection locked="0"/>
    </xf>
    <xf numFmtId="0" fontId="99" fillId="0" borderId="28" xfId="40" applyFont="1" applyBorder="1" applyAlignment="1">
      <alignment vertical="top"/>
      <protection locked="0"/>
    </xf>
    <xf numFmtId="39" fontId="100" fillId="0" borderId="0" xfId="40" applyNumberFormat="1" applyFont="1" applyAlignment="1">
      <alignment horizontal="left" vertical="center"/>
      <protection locked="0"/>
    </xf>
    <xf numFmtId="183" fontId="19" fillId="0" borderId="18" xfId="40" applyNumberFormat="1" applyFont="1" applyBorder="1" applyAlignment="1">
      <alignment vertical="center"/>
      <protection locked="0"/>
    </xf>
    <xf numFmtId="3" fontId="100" fillId="0" borderId="18" xfId="40" applyNumberFormat="1" applyFont="1" applyBorder="1" applyAlignment="1" applyProtection="1">
      <alignment horizontal="left" vertical="center"/>
    </xf>
    <xf numFmtId="0" fontId="19" fillId="0" borderId="18" xfId="40" applyFont="1" applyBorder="1" applyAlignment="1">
      <alignment vertical="center"/>
      <protection locked="0"/>
    </xf>
    <xf numFmtId="3" fontId="69" fillId="18" borderId="18" xfId="40" applyNumberFormat="1" applyFont="1" applyFill="1" applyBorder="1" applyAlignment="1" applyProtection="1">
      <alignment horizontal="left" vertical="center"/>
    </xf>
    <xf numFmtId="0" fontId="100" fillId="18" borderId="18" xfId="40" applyFont="1" applyFill="1" applyBorder="1" applyAlignment="1">
      <alignment horizontal="left" vertical="center"/>
      <protection locked="0"/>
    </xf>
    <xf numFmtId="0" fontId="19" fillId="18" borderId="18" xfId="40" applyFont="1" applyFill="1" applyBorder="1" applyAlignment="1">
      <alignment vertical="center"/>
      <protection locked="0"/>
    </xf>
    <xf numFmtId="0" fontId="19" fillId="0" borderId="18" xfId="5" applyFont="1" applyFill="1" applyBorder="1" applyAlignment="1" applyProtection="1">
      <alignment horizontal="left" vertical="top" indent="1"/>
    </xf>
    <xf numFmtId="43" fontId="19" fillId="16" borderId="18" xfId="40" applyNumberFormat="1" applyFont="1" applyFill="1" applyBorder="1" applyAlignment="1">
      <alignment vertical="center"/>
      <protection locked="0"/>
    </xf>
    <xf numFmtId="0" fontId="100" fillId="0" borderId="18" xfId="40" applyFont="1" applyFill="1" applyBorder="1" applyAlignment="1">
      <alignment horizontal="left" vertical="center"/>
      <protection locked="0"/>
    </xf>
    <xf numFmtId="0" fontId="19" fillId="0" borderId="18" xfId="40" applyFont="1" applyFill="1" applyBorder="1" applyAlignment="1">
      <alignment vertical="center"/>
      <protection locked="0"/>
    </xf>
    <xf numFmtId="3" fontId="19" fillId="0" borderId="18" xfId="40" applyNumberFormat="1" applyFont="1" applyFill="1" applyBorder="1" applyAlignment="1" applyProtection="1">
      <alignment horizontal="left" vertical="center" indent="3"/>
    </xf>
    <xf numFmtId="0" fontId="77" fillId="7" borderId="0" xfId="0" applyFont="1" applyFill="1" applyBorder="1" applyAlignment="1">
      <alignment horizontal="left" vertical="center" indent="2"/>
    </xf>
    <xf numFmtId="183" fontId="0" fillId="0" borderId="3" xfId="0" applyNumberFormat="1" applyFill="1" applyBorder="1">
      <alignment vertical="center"/>
    </xf>
    <xf numFmtId="191" fontId="0" fillId="0" borderId="22" xfId="0" applyNumberFormat="1" applyFill="1" applyBorder="1">
      <alignment vertical="center"/>
    </xf>
    <xf numFmtId="183" fontId="0" fillId="0" borderId="22" xfId="0" applyNumberFormat="1" applyFill="1" applyBorder="1">
      <alignment vertical="center"/>
    </xf>
    <xf numFmtId="0" fontId="41" fillId="7" borderId="0" xfId="0" applyFont="1" applyFill="1" applyBorder="1" applyAlignment="1">
      <alignment horizontal="center" vertical="center"/>
    </xf>
    <xf numFmtId="183" fontId="42" fillId="0" borderId="0" xfId="0" applyNumberFormat="1" applyFont="1" applyFill="1" applyBorder="1" applyAlignment="1">
      <alignment horizontal="right" vertical="center"/>
    </xf>
    <xf numFmtId="183" fontId="41" fillId="0" borderId="0" xfId="0" applyNumberFormat="1" applyFont="1" applyBorder="1">
      <alignment vertical="center"/>
    </xf>
    <xf numFmtId="181" fontId="0" fillId="0" borderId="0" xfId="8" applyNumberFormat="1" applyFont="1" applyBorder="1">
      <alignment vertical="center"/>
    </xf>
    <xf numFmtId="3" fontId="108" fillId="0" borderId="18" xfId="40" applyNumberFormat="1" applyFont="1" applyFill="1" applyBorder="1" applyAlignment="1">
      <alignment vertical="center"/>
      <protection locked="0"/>
    </xf>
    <xf numFmtId="49" fontId="78" fillId="0" borderId="18" xfId="40" applyNumberFormat="1" applyFont="1" applyFill="1" applyBorder="1" applyAlignment="1">
      <alignment horizontal="center" vertical="center"/>
      <protection locked="0"/>
    </xf>
    <xf numFmtId="43" fontId="19" fillId="0" borderId="18" xfId="40" applyNumberFormat="1" applyFont="1" applyFill="1" applyBorder="1" applyAlignment="1">
      <alignment vertical="center"/>
      <protection locked="0"/>
    </xf>
    <xf numFmtId="3" fontId="78" fillId="0" borderId="18" xfId="40" applyNumberFormat="1" applyFont="1" applyFill="1" applyBorder="1" applyAlignment="1">
      <alignment vertical="center"/>
      <protection locked="0"/>
    </xf>
    <xf numFmtId="0" fontId="78" fillId="0" borderId="18" xfId="40" applyFont="1" applyFill="1" applyBorder="1" applyAlignment="1">
      <alignment vertical="center"/>
      <protection locked="0"/>
    </xf>
    <xf numFmtId="0" fontId="108" fillId="0" borderId="18" xfId="40" applyFont="1" applyFill="1" applyBorder="1" applyAlignment="1">
      <alignment vertical="center"/>
      <protection locked="0"/>
    </xf>
    <xf numFmtId="0" fontId="109" fillId="0" borderId="18" xfId="40" applyFont="1" applyFill="1" applyBorder="1" applyAlignment="1">
      <alignment vertical="center"/>
      <protection locked="0"/>
    </xf>
    <xf numFmtId="0" fontId="99" fillId="0" borderId="18" xfId="40" applyFont="1" applyFill="1" applyBorder="1" applyAlignment="1">
      <alignment vertical="center"/>
      <protection locked="0"/>
    </xf>
    <xf numFmtId="183" fontId="19" fillId="0" borderId="18" xfId="40" applyNumberFormat="1" applyFont="1" applyBorder="1" applyAlignment="1" applyProtection="1">
      <alignment vertical="center"/>
    </xf>
    <xf numFmtId="43" fontId="19" fillId="0" borderId="0" xfId="40" applyNumberFormat="1" applyFont="1" applyAlignment="1">
      <alignment vertical="center"/>
      <protection locked="0"/>
    </xf>
    <xf numFmtId="0" fontId="115" fillId="0" borderId="0" xfId="30" applyFont="1" applyFill="1" applyBorder="1" applyAlignment="1">
      <alignment horizontal="left" vertical="center"/>
    </xf>
    <xf numFmtId="183" fontId="45" fillId="7" borderId="0" xfId="30" applyNumberFormat="1" applyFont="1" applyFill="1" applyBorder="1" applyAlignment="1">
      <alignment horizontal="right" vertical="center"/>
    </xf>
    <xf numFmtId="0" fontId="52" fillId="7" borderId="0" xfId="30" applyFont="1" applyFill="1" applyBorder="1">
      <alignment vertical="center"/>
    </xf>
    <xf numFmtId="183" fontId="44" fillId="7" borderId="0" xfId="30" applyNumberFormat="1" applyFont="1" applyFill="1" applyBorder="1" applyAlignment="1">
      <alignment horizontal="right" vertical="center"/>
    </xf>
    <xf numFmtId="49" fontId="103" fillId="15" borderId="18" xfId="40" applyNumberFormat="1" applyFont="1" applyFill="1" applyBorder="1" applyAlignment="1">
      <alignment horizontal="center" vertical="center" wrapText="1"/>
      <protection locked="0"/>
    </xf>
    <xf numFmtId="49" fontId="103" fillId="15" borderId="18" xfId="40" applyNumberFormat="1" applyFont="1" applyFill="1" applyBorder="1" applyAlignment="1">
      <alignment horizontal="center" vertical="center"/>
      <protection locked="0"/>
    </xf>
    <xf numFmtId="49" fontId="105" fillId="15" borderId="18" xfId="40" applyNumberFormat="1" applyFont="1" applyFill="1" applyBorder="1" applyAlignment="1">
      <alignment horizontal="center" vertical="center" wrapText="1"/>
      <protection locked="0"/>
    </xf>
    <xf numFmtId="0" fontId="74" fillId="0" borderId="0" xfId="40" applyFont="1" applyBorder="1" applyAlignment="1">
      <alignment horizontal="right" vertical="center"/>
      <protection locked="0"/>
    </xf>
    <xf numFmtId="3" fontId="78" fillId="0" borderId="0" xfId="40" applyNumberFormat="1" applyFont="1" applyBorder="1" applyAlignment="1">
      <alignment horizontal="right" vertical="center"/>
      <protection locked="0"/>
    </xf>
    <xf numFmtId="0" fontId="78" fillId="0" borderId="0" xfId="40" applyFont="1" applyBorder="1" applyAlignment="1">
      <alignment horizontal="right" vertical="center"/>
      <protection locked="0"/>
    </xf>
    <xf numFmtId="183" fontId="52" fillId="0" borderId="0" xfId="0" applyNumberFormat="1" applyFont="1" applyFill="1" applyBorder="1" applyAlignment="1" applyProtection="1">
      <alignment horizontal="left" vertical="center"/>
      <protection locked="0"/>
    </xf>
    <xf numFmtId="39" fontId="69" fillId="18" borderId="18" xfId="40" applyNumberFormat="1" applyFont="1" applyFill="1" applyBorder="1" applyAlignment="1">
      <alignment horizontal="left" vertical="center"/>
      <protection locked="0"/>
    </xf>
    <xf numFmtId="0" fontId="69" fillId="18" borderId="18" xfId="40" applyFont="1" applyFill="1" applyBorder="1" applyAlignment="1">
      <alignment vertical="center"/>
      <protection locked="0"/>
    </xf>
    <xf numFmtId="0" fontId="19" fillId="0" borderId="18" xfId="5" applyFont="1" applyBorder="1" applyAlignment="1" applyProtection="1">
      <alignment horizontal="left" vertical="top" indent="1"/>
    </xf>
    <xf numFmtId="183" fontId="116" fillId="0" borderId="18" xfId="40" applyNumberFormat="1" applyFont="1" applyFill="1" applyBorder="1" applyAlignment="1" applyProtection="1">
      <alignment horizontal="left" vertical="center"/>
    </xf>
    <xf numFmtId="183" fontId="116" fillId="0" borderId="18" xfId="40" applyNumberFormat="1" applyFont="1" applyFill="1" applyBorder="1" applyAlignment="1" applyProtection="1">
      <alignment vertical="center"/>
    </xf>
    <xf numFmtId="39" fontId="19" fillId="0" borderId="18" xfId="40" applyNumberFormat="1" applyFont="1" applyBorder="1" applyAlignment="1">
      <alignment horizontal="left" vertical="center"/>
      <protection locked="0"/>
    </xf>
    <xf numFmtId="3" fontId="19" fillId="0" borderId="18" xfId="40" applyNumberFormat="1" applyFont="1" applyBorder="1" applyAlignment="1" applyProtection="1">
      <alignment horizontal="left" vertical="center" indent="1"/>
    </xf>
    <xf numFmtId="3" fontId="19" fillId="0" borderId="18" xfId="40" applyNumberFormat="1" applyFont="1" applyBorder="1" applyAlignment="1" applyProtection="1">
      <alignment horizontal="left" vertical="center"/>
    </xf>
    <xf numFmtId="0" fontId="70" fillId="7" borderId="4" xfId="9" applyFont="1" applyFill="1" applyAlignment="1" applyProtection="1">
      <alignment horizontal="center"/>
      <protection locked="0"/>
    </xf>
    <xf numFmtId="0" fontId="109" fillId="7" borderId="18" xfId="40" applyFont="1" applyFill="1" applyBorder="1" applyAlignment="1">
      <alignment vertical="center"/>
      <protection locked="0"/>
    </xf>
    <xf numFmtId="49" fontId="78" fillId="7" borderId="18" xfId="40" applyNumberFormat="1" applyFont="1" applyFill="1" applyBorder="1" applyAlignment="1">
      <alignment horizontal="center" vertical="center"/>
      <protection locked="0"/>
    </xf>
    <xf numFmtId="43" fontId="19" fillId="7" borderId="18" xfId="40" applyNumberFormat="1" applyFont="1" applyFill="1" applyBorder="1" applyAlignment="1">
      <alignment vertical="center"/>
      <protection locked="0"/>
    </xf>
    <xf numFmtId="0" fontId="42" fillId="0" borderId="0" xfId="0" applyFont="1" applyBorder="1">
      <alignment vertical="center"/>
    </xf>
    <xf numFmtId="0" fontId="117" fillId="0" borderId="14" xfId="26" applyFont="1" applyFill="1" applyAlignment="1" applyProtection="1">
      <alignment horizontal="left"/>
      <protection locked="0"/>
    </xf>
    <xf numFmtId="190" fontId="117" fillId="0" borderId="14" xfId="26" applyNumberFormat="1" applyFont="1" applyFill="1" applyAlignment="1" applyProtection="1">
      <alignment horizontal="center"/>
      <protection locked="0"/>
    </xf>
    <xf numFmtId="179" fontId="118" fillId="0" borderId="14" xfId="3" applyFont="1" applyFill="1" applyBorder="1" applyAlignment="1" applyProtection="1">
      <alignment horizontal="center"/>
    </xf>
    <xf numFmtId="0" fontId="117" fillId="0" borderId="14" xfId="26" applyFont="1" applyFill="1" applyAlignment="1" applyProtection="1">
      <alignment horizontal="center"/>
      <protection locked="0"/>
    </xf>
    <xf numFmtId="14" fontId="118" fillId="0" borderId="14" xfId="26" applyNumberFormat="1" applyFont="1" applyFill="1" applyAlignment="1" applyProtection="1">
      <alignment horizontal="left"/>
    </xf>
    <xf numFmtId="183" fontId="117" fillId="0" borderId="14" xfId="26" applyNumberFormat="1" applyFont="1" applyFill="1" applyAlignment="1" applyProtection="1">
      <alignment horizontal="center"/>
      <protection locked="0"/>
    </xf>
    <xf numFmtId="188" fontId="117" fillId="0" borderId="14" xfId="26" applyNumberFormat="1" applyFont="1" applyFill="1" applyAlignment="1" applyProtection="1">
      <protection locked="0"/>
    </xf>
    <xf numFmtId="43" fontId="118" fillId="0" borderId="14" xfId="3" applyNumberFormat="1" applyFont="1" applyBorder="1" applyAlignment="1" applyProtection="1"/>
    <xf numFmtId="43" fontId="118" fillId="7" borderId="14" xfId="3" applyNumberFormat="1" applyFont="1" applyFill="1" applyBorder="1" applyAlignment="1" applyProtection="1"/>
    <xf numFmtId="0" fontId="42" fillId="0" borderId="0" xfId="0" applyFont="1" applyFill="1" applyBorder="1">
      <alignment vertical="center"/>
    </xf>
    <xf numFmtId="0" fontId="42" fillId="0" borderId="0" xfId="0" applyFont="1" applyBorder="1" applyProtection="1">
      <alignment vertical="center"/>
      <protection locked="0"/>
    </xf>
    <xf numFmtId="0" fontId="42" fillId="0" borderId="0" xfId="0" applyFont="1" applyBorder="1" applyAlignment="1" applyProtection="1">
      <alignment horizontal="center" vertical="center"/>
      <protection locked="0"/>
    </xf>
    <xf numFmtId="0" fontId="42" fillId="0" borderId="0" xfId="0" applyFont="1" applyBorder="1" applyProtection="1">
      <alignment vertical="center"/>
    </xf>
    <xf numFmtId="10" fontId="0" fillId="0" borderId="0" xfId="8" applyNumberFormat="1" applyFont="1" applyBorder="1">
      <alignment vertical="center"/>
    </xf>
    <xf numFmtId="183" fontId="0" fillId="0" borderId="0" xfId="0" applyNumberFormat="1">
      <alignment vertical="center"/>
    </xf>
    <xf numFmtId="0" fontId="39" fillId="3" borderId="0" xfId="0" applyFont="1" applyFill="1" applyBorder="1" applyAlignment="1">
      <alignment horizontal="center" vertical="center"/>
    </xf>
    <xf numFmtId="4" fontId="0" fillId="0" borderId="0" xfId="0" applyNumberFormat="1" applyBorder="1">
      <alignment vertical="center"/>
    </xf>
    <xf numFmtId="189" fontId="0" fillId="0" borderId="0" xfId="8" applyNumberFormat="1" applyFont="1" applyBorder="1">
      <alignment vertical="center"/>
    </xf>
    <xf numFmtId="189" fontId="0" fillId="0" borderId="0" xfId="0" applyNumberFormat="1" applyBorder="1">
      <alignment vertical="center"/>
    </xf>
    <xf numFmtId="189" fontId="0" fillId="0" borderId="0" xfId="0" applyNumberFormat="1" applyFill="1" applyBorder="1">
      <alignment vertical="center"/>
    </xf>
    <xf numFmtId="0" fontId="0" fillId="0" borderId="36" xfId="0" applyBorder="1">
      <alignment vertical="center"/>
    </xf>
    <xf numFmtId="183" fontId="0" fillId="7" borderId="36" xfId="0" applyNumberFormat="1" applyFill="1" applyBorder="1">
      <alignment vertical="center"/>
    </xf>
    <xf numFmtId="0" fontId="0" fillId="7" borderId="0" xfId="0" applyFont="1" applyFill="1" applyBorder="1" applyAlignment="1">
      <alignment horizontal="left" vertical="center" indent="4"/>
    </xf>
    <xf numFmtId="0" fontId="0" fillId="7" borderId="0" xfId="0" applyFont="1" applyFill="1" applyBorder="1" applyAlignment="1">
      <alignment horizontal="left" vertical="center" indent="3"/>
    </xf>
    <xf numFmtId="0" fontId="0" fillId="0" borderId="0" xfId="0" applyFill="1">
      <alignment vertical="center"/>
    </xf>
    <xf numFmtId="0" fontId="31" fillId="0" borderId="28" xfId="40" applyFont="1" applyBorder="1" applyAlignment="1">
      <alignment vertical="center"/>
      <protection locked="0"/>
    </xf>
    <xf numFmtId="49" fontId="31" fillId="0" borderId="34" xfId="40" applyNumberFormat="1" applyFont="1" applyBorder="1" applyAlignment="1">
      <alignment horizontal="center" vertical="center"/>
      <protection locked="0"/>
    </xf>
    <xf numFmtId="0" fontId="67" fillId="0" borderId="28" xfId="40" applyFont="1" applyBorder="1" applyAlignment="1">
      <alignment vertical="center"/>
      <protection locked="0"/>
    </xf>
    <xf numFmtId="0" fontId="67" fillId="0" borderId="28" xfId="40" applyFont="1" applyBorder="1" applyAlignment="1">
      <alignment vertical="top"/>
      <protection locked="0"/>
    </xf>
    <xf numFmtId="49" fontId="113" fillId="14" borderId="39" xfId="40" applyNumberFormat="1" applyFont="1" applyFill="1" applyBorder="1" applyAlignment="1">
      <alignment horizontal="center" vertical="center" wrapText="1"/>
      <protection locked="0"/>
    </xf>
    <xf numFmtId="49" fontId="111" fillId="14" borderId="18" xfId="40" applyNumberFormat="1" applyFont="1" applyFill="1" applyBorder="1" applyAlignment="1">
      <alignment horizontal="center" vertical="center"/>
      <protection locked="0"/>
    </xf>
    <xf numFmtId="189" fontId="31" fillId="0" borderId="18" xfId="40" applyNumberFormat="1" applyFont="1" applyBorder="1" applyAlignment="1">
      <alignment vertical="center"/>
      <protection locked="0"/>
    </xf>
    <xf numFmtId="0" fontId="74" fillId="0" borderId="18" xfId="5" applyFont="1" applyBorder="1" applyAlignment="1" applyProtection="1">
      <alignment horizontal="left" vertical="top" indent="1"/>
    </xf>
    <xf numFmtId="183" fontId="43" fillId="0" borderId="18" xfId="40" applyNumberFormat="1" applyFont="1" applyFill="1" applyBorder="1" applyAlignment="1" applyProtection="1">
      <alignment horizontal="left" vertical="center"/>
    </xf>
    <xf numFmtId="183" fontId="43" fillId="0" borderId="18" xfId="40" applyNumberFormat="1" applyFont="1" applyFill="1" applyBorder="1" applyAlignment="1" applyProtection="1">
      <alignment vertical="center"/>
    </xf>
    <xf numFmtId="183" fontId="74" fillId="0" borderId="18" xfId="40" applyNumberFormat="1" applyFont="1" applyBorder="1" applyAlignment="1" applyProtection="1">
      <alignment vertical="center"/>
    </xf>
    <xf numFmtId="39" fontId="74" fillId="0" borderId="18" xfId="40" applyNumberFormat="1" applyFont="1" applyBorder="1" applyAlignment="1">
      <alignment horizontal="left" vertical="center"/>
      <protection locked="0"/>
    </xf>
    <xf numFmtId="3" fontId="74" fillId="0" borderId="18" xfId="40" applyNumberFormat="1" applyFont="1" applyBorder="1" applyAlignment="1" applyProtection="1">
      <alignment horizontal="left" vertical="center" indent="1"/>
    </xf>
    <xf numFmtId="3" fontId="74" fillId="0" borderId="18" xfId="40" applyNumberFormat="1" applyFont="1" applyBorder="1" applyAlignment="1" applyProtection="1">
      <alignment horizontal="left" vertical="center"/>
    </xf>
    <xf numFmtId="0" fontId="74" fillId="0" borderId="18" xfId="40" applyFont="1" applyBorder="1" applyAlignment="1">
      <alignment vertical="center"/>
      <protection locked="0"/>
    </xf>
    <xf numFmtId="0" fontId="42" fillId="0" borderId="0" xfId="30" applyBorder="1" applyAlignment="1">
      <alignment horizontal="left" vertical="center" indent="1"/>
    </xf>
    <xf numFmtId="181" fontId="42" fillId="0" borderId="0" xfId="30" applyNumberFormat="1" applyBorder="1" applyAlignment="1">
      <alignment horizontal="right" vertical="center"/>
    </xf>
    <xf numFmtId="183" fontId="73" fillId="0" borderId="0" xfId="0" applyNumberFormat="1" applyFont="1" applyFill="1" applyBorder="1">
      <alignment vertical="center"/>
    </xf>
    <xf numFmtId="183" fontId="73" fillId="7" borderId="0" xfId="0" applyNumberFormat="1" applyFont="1" applyFill="1" applyBorder="1">
      <alignment vertical="center"/>
    </xf>
    <xf numFmtId="10" fontId="36" fillId="7" borderId="0" xfId="8" applyNumberFormat="1" applyFont="1" applyFill="1" applyBorder="1">
      <alignment vertical="center"/>
    </xf>
    <xf numFmtId="0" fontId="36" fillId="7" borderId="35" xfId="0" applyFont="1" applyFill="1" applyBorder="1" applyAlignment="1">
      <alignment horizontal="left" vertical="center" indent="1"/>
    </xf>
    <xf numFmtId="0" fontId="0" fillId="0" borderId="35" xfId="0" applyBorder="1">
      <alignment vertical="center"/>
    </xf>
    <xf numFmtId="183" fontId="0" fillId="7" borderId="35" xfId="0" applyNumberFormat="1" applyFill="1" applyBorder="1">
      <alignment vertical="center"/>
    </xf>
    <xf numFmtId="0" fontId="45" fillId="7" borderId="36" xfId="0" applyFont="1" applyFill="1" applyBorder="1" applyAlignment="1">
      <alignment horizontal="left" vertical="center" indent="1"/>
    </xf>
    <xf numFmtId="0" fontId="36" fillId="0" borderId="35" xfId="0" applyFont="1" applyFill="1" applyBorder="1">
      <alignment vertical="center"/>
    </xf>
    <xf numFmtId="0" fontId="36" fillId="0" borderId="36" xfId="0" applyFont="1" applyFill="1" applyBorder="1">
      <alignment vertical="center"/>
    </xf>
    <xf numFmtId="183" fontId="0" fillId="7" borderId="5" xfId="0" applyNumberFormat="1" applyFill="1" applyBorder="1">
      <alignment vertical="center"/>
    </xf>
    <xf numFmtId="0" fontId="0" fillId="0" borderId="5" xfId="0" applyBorder="1">
      <alignment vertical="center"/>
    </xf>
    <xf numFmtId="183" fontId="0" fillId="7" borderId="40" xfId="0" applyNumberFormat="1" applyFill="1" applyBorder="1">
      <alignment vertical="center"/>
    </xf>
    <xf numFmtId="0" fontId="0" fillId="0" borderId="40" xfId="0" applyBorder="1">
      <alignment vertical="center"/>
    </xf>
    <xf numFmtId="9" fontId="43" fillId="0" borderId="18" xfId="0" applyNumberFormat="1" applyFont="1" applyBorder="1" applyAlignment="1">
      <alignment horizontal="center" vertical="center" wrapText="1"/>
    </xf>
    <xf numFmtId="0" fontId="43" fillId="0" borderId="18" xfId="0" applyFont="1" applyBorder="1" applyAlignment="1">
      <alignment horizontal="left" vertical="center" wrapText="1"/>
    </xf>
    <xf numFmtId="41" fontId="42" fillId="0" borderId="0" xfId="30" applyNumberFormat="1" applyBorder="1">
      <alignment vertical="center"/>
    </xf>
    <xf numFmtId="197" fontId="42" fillId="0" borderId="0" xfId="30" applyNumberFormat="1" applyBorder="1" applyAlignment="1">
      <alignment horizontal="center" vertical="center"/>
    </xf>
    <xf numFmtId="197" fontId="42" fillId="7" borderId="0" xfId="30" applyNumberFormat="1" applyFill="1" applyBorder="1" applyAlignment="1">
      <alignment horizontal="center" vertical="center"/>
    </xf>
    <xf numFmtId="180" fontId="43" fillId="0" borderId="18" xfId="0" applyNumberFormat="1" applyFont="1" applyBorder="1" applyAlignment="1">
      <alignment horizontal="center" vertical="center" wrapText="1"/>
    </xf>
    <xf numFmtId="180" fontId="43" fillId="0" borderId="18" xfId="0" applyNumberFormat="1" applyFont="1" applyBorder="1" applyAlignment="1">
      <alignment horizontal="right" vertical="center" wrapText="1"/>
    </xf>
    <xf numFmtId="1" fontId="43" fillId="0" borderId="18" xfId="0" applyNumberFormat="1" applyFont="1" applyBorder="1" applyAlignment="1">
      <alignment horizontal="right" vertical="center" wrapText="1"/>
    </xf>
    <xf numFmtId="1" fontId="43" fillId="0" borderId="18" xfId="0" applyNumberFormat="1" applyFont="1" applyBorder="1" applyAlignment="1">
      <alignment horizontal="center" vertical="center" wrapText="1"/>
    </xf>
    <xf numFmtId="183" fontId="52" fillId="0" borderId="0" xfId="31" applyNumberFormat="1" applyFont="1" applyFill="1" applyBorder="1" applyProtection="1">
      <alignment vertical="center"/>
      <protection locked="0"/>
    </xf>
    <xf numFmtId="181" fontId="52" fillId="0" borderId="0" xfId="31" applyNumberFormat="1" applyFont="1" applyFill="1" applyBorder="1" applyProtection="1">
      <alignment vertical="center"/>
      <protection locked="0"/>
    </xf>
    <xf numFmtId="176" fontId="87" fillId="0" borderId="0" xfId="1" applyNumberFormat="1" applyFont="1" applyAlignment="1">
      <alignment horizontal="center"/>
    </xf>
    <xf numFmtId="176" fontId="95" fillId="0" borderId="0" xfId="1" applyNumberFormat="1" applyFont="1" applyAlignment="1">
      <alignment vertical="top" wrapText="1"/>
    </xf>
    <xf numFmtId="14" fontId="95" fillId="0" borderId="0" xfId="1" applyNumberFormat="1" applyFont="1" applyAlignment="1">
      <alignment horizontal="left" vertical="top"/>
    </xf>
    <xf numFmtId="176" fontId="95" fillId="0" borderId="0" xfId="1" applyNumberFormat="1" applyFont="1" applyAlignment="1">
      <alignment vertical="top"/>
    </xf>
    <xf numFmtId="176" fontId="21" fillId="9" borderId="0" xfId="1" applyNumberFormat="1" applyFont="1" applyFill="1" applyBorder="1" applyAlignment="1">
      <alignment horizontal="center"/>
    </xf>
    <xf numFmtId="176" fontId="93" fillId="0" borderId="0" xfId="1" applyNumberFormat="1" applyFont="1" applyAlignment="1">
      <alignment horizontal="center"/>
    </xf>
    <xf numFmtId="176" fontId="94" fillId="0" borderId="0" xfId="1" applyNumberFormat="1" applyFont="1" applyAlignment="1">
      <alignment horizontal="center"/>
    </xf>
    <xf numFmtId="14" fontId="95" fillId="0" borderId="0" xfId="1" applyNumberFormat="1" applyFont="1" applyAlignment="1">
      <alignment horizontal="center"/>
    </xf>
    <xf numFmtId="14" fontId="122" fillId="0" borderId="0" xfId="1" applyNumberFormat="1" applyFont="1" applyAlignment="1">
      <alignment horizontal="center" vertical="top"/>
    </xf>
    <xf numFmtId="14" fontId="95" fillId="0" borderId="0" xfId="1" applyNumberFormat="1" applyFont="1" applyAlignment="1">
      <alignment horizontal="center" vertical="top"/>
    </xf>
    <xf numFmtId="14" fontId="95" fillId="0" borderId="3" xfId="1" applyNumberFormat="1" applyFont="1" applyBorder="1" applyAlignment="1">
      <alignment horizontal="center"/>
    </xf>
    <xf numFmtId="14" fontId="89" fillId="0" borderId="0" xfId="1" applyNumberFormat="1" applyFont="1" applyAlignment="1">
      <alignment horizontal="center"/>
    </xf>
    <xf numFmtId="176" fontId="89" fillId="0" borderId="0" xfId="1" applyNumberFormat="1" applyFont="1" applyAlignment="1">
      <alignment horizontal="center"/>
    </xf>
    <xf numFmtId="176" fontId="23" fillId="0" borderId="0" xfId="1" applyNumberFormat="1" applyFont="1" applyAlignment="1">
      <alignment horizontal="center"/>
    </xf>
    <xf numFmtId="0" fontId="45" fillId="7" borderId="7" xfId="0" applyFont="1" applyFill="1" applyBorder="1" applyAlignment="1">
      <alignment horizontal="left" vertical="center" indent="1"/>
    </xf>
    <xf numFmtId="182" fontId="36" fillId="0" borderId="7" xfId="0" applyNumberFormat="1" applyFont="1" applyFill="1" applyBorder="1">
      <alignment vertical="center"/>
    </xf>
    <xf numFmtId="182" fontId="36" fillId="7" borderId="7" xfId="0" applyNumberFormat="1" applyFont="1" applyFill="1" applyBorder="1">
      <alignment vertical="center"/>
    </xf>
    <xf numFmtId="0" fontId="44" fillId="7" borderId="37" xfId="0" applyFont="1" applyFill="1" applyBorder="1" applyAlignment="1">
      <alignment horizontal="left" vertical="center"/>
    </xf>
    <xf numFmtId="0" fontId="0" fillId="0" borderId="37" xfId="0" applyBorder="1">
      <alignment vertical="center"/>
    </xf>
    <xf numFmtId="183" fontId="0" fillId="7" borderId="37" xfId="0" applyNumberFormat="1" applyFill="1" applyBorder="1">
      <alignment vertical="center"/>
    </xf>
    <xf numFmtId="0" fontId="44" fillId="7" borderId="5" xfId="0" applyFont="1" applyFill="1" applyBorder="1">
      <alignment vertical="center"/>
    </xf>
    <xf numFmtId="0" fontId="45" fillId="7" borderId="40" xfId="0" applyFont="1" applyFill="1" applyBorder="1" applyAlignment="1">
      <alignment horizontal="left" vertical="center" indent="1"/>
    </xf>
    <xf numFmtId="197" fontId="52" fillId="0" borderId="0" xfId="31" applyNumberFormat="1" applyFont="1" applyFill="1" applyBorder="1" applyProtection="1">
      <alignment vertical="center"/>
      <protection locked="0"/>
    </xf>
    <xf numFmtId="197" fontId="42" fillId="0" borderId="0" xfId="30" applyNumberFormat="1" applyFont="1" applyFill="1" applyBorder="1" applyAlignment="1">
      <alignment vertical="center"/>
    </xf>
    <xf numFmtId="178" fontId="95" fillId="0" borderId="0" xfId="1" applyNumberFormat="1" applyFont="1" applyAlignment="1">
      <alignment vertical="top"/>
    </xf>
    <xf numFmtId="176" fontId="95" fillId="0" borderId="0" xfId="1" applyNumberFormat="1" applyFont="1" applyAlignment="1">
      <alignment wrapText="1"/>
    </xf>
    <xf numFmtId="1" fontId="52" fillId="0" borderId="0" xfId="0" applyNumberFormat="1" applyFont="1" applyFill="1" applyBorder="1" applyAlignment="1" applyProtection="1">
      <alignment horizontal="right" vertical="center"/>
      <protection locked="0"/>
    </xf>
    <xf numFmtId="1" fontId="52" fillId="7" borderId="0" xfId="0" applyNumberFormat="1" applyFont="1" applyFill="1" applyBorder="1" applyAlignment="1" applyProtection="1">
      <alignment horizontal="right" vertical="center"/>
      <protection locked="0"/>
    </xf>
    <xf numFmtId="1" fontId="52" fillId="0" borderId="3" xfId="0" applyNumberFormat="1" applyFont="1" applyFill="1" applyBorder="1" applyAlignment="1" applyProtection="1">
      <alignment horizontal="right" vertical="center"/>
      <protection locked="0"/>
    </xf>
    <xf numFmtId="1" fontId="45" fillId="0" borderId="0" xfId="0" applyNumberFormat="1" applyFont="1" applyFill="1" applyBorder="1" applyAlignment="1" applyProtection="1">
      <alignment horizontal="right" vertical="center"/>
    </xf>
    <xf numFmtId="1" fontId="0" fillId="0" borderId="0" xfId="0" applyNumberFormat="1" applyFill="1" applyBorder="1">
      <alignment vertical="center"/>
    </xf>
    <xf numFmtId="1" fontId="0" fillId="7" borderId="0" xfId="0" applyNumberFormat="1" applyFill="1" applyBorder="1">
      <alignment vertical="center"/>
    </xf>
    <xf numFmtId="1" fontId="45" fillId="0" borderId="0" xfId="0" applyNumberFormat="1" applyFont="1" applyFill="1" applyBorder="1" applyAlignment="1" applyProtection="1">
      <alignment horizontal="right" vertical="center"/>
      <protection locked="0"/>
    </xf>
    <xf numFmtId="1" fontId="45" fillId="7" borderId="0" xfId="0" applyNumberFormat="1" applyFont="1" applyFill="1" applyBorder="1" applyAlignment="1" applyProtection="1">
      <alignment horizontal="right" vertical="center"/>
      <protection locked="0"/>
    </xf>
    <xf numFmtId="1" fontId="42" fillId="0" borderId="0" xfId="0" applyNumberFormat="1" applyFont="1" applyFill="1" applyBorder="1" applyAlignment="1" applyProtection="1">
      <alignment horizontal="right" vertical="center"/>
      <protection locked="0"/>
    </xf>
    <xf numFmtId="1" fontId="42" fillId="0" borderId="22" xfId="0" applyNumberFormat="1" applyFont="1" applyFill="1" applyBorder="1" applyAlignment="1" applyProtection="1">
      <alignment horizontal="right" vertical="center"/>
      <protection locked="0"/>
    </xf>
    <xf numFmtId="1" fontId="45" fillId="0" borderId="2" xfId="0" applyNumberFormat="1" applyFont="1" applyFill="1" applyBorder="1" applyAlignment="1" applyProtection="1">
      <alignment horizontal="right" vertical="center"/>
      <protection locked="0"/>
    </xf>
    <xf numFmtId="1" fontId="41" fillId="0" borderId="0" xfId="0" applyNumberFormat="1" applyFont="1" applyBorder="1">
      <alignment vertical="center"/>
    </xf>
    <xf numFmtId="197" fontId="52" fillId="0" borderId="0" xfId="30" applyNumberFormat="1" applyFont="1" applyBorder="1" applyAlignment="1">
      <alignment horizontal="center" vertical="center"/>
    </xf>
    <xf numFmtId="197" fontId="52" fillId="7" borderId="0" xfId="30" applyNumberFormat="1" applyFont="1" applyFill="1" applyBorder="1" applyAlignment="1">
      <alignment horizontal="center" vertical="center"/>
    </xf>
    <xf numFmtId="181" fontId="52" fillId="0" borderId="0" xfId="8" applyNumberFormat="1" applyFont="1" applyBorder="1" applyAlignment="1">
      <alignment horizontal="right" vertical="center"/>
    </xf>
    <xf numFmtId="181" fontId="52" fillId="7" borderId="0" xfId="8" applyNumberFormat="1" applyFont="1" applyFill="1" applyBorder="1" applyAlignment="1">
      <alignment horizontal="right" vertical="center"/>
    </xf>
    <xf numFmtId="181" fontId="52" fillId="0" borderId="0" xfId="30" applyNumberFormat="1" applyFont="1" applyBorder="1" applyAlignment="1">
      <alignment horizontal="right" vertical="center"/>
    </xf>
    <xf numFmtId="183" fontId="52" fillId="0" borderId="0" xfId="30" applyNumberFormat="1" applyFont="1" applyBorder="1" applyAlignment="1">
      <alignment horizontal="center" vertical="center"/>
    </xf>
    <xf numFmtId="183" fontId="52" fillId="7" borderId="0" xfId="30" applyNumberFormat="1" applyFont="1" applyFill="1" applyBorder="1" applyAlignment="1">
      <alignment horizontal="center" vertical="center"/>
    </xf>
    <xf numFmtId="1" fontId="42" fillId="0" borderId="0" xfId="30" applyNumberFormat="1" applyBorder="1">
      <alignment vertical="center"/>
    </xf>
    <xf numFmtId="0" fontId="124" fillId="0" borderId="0" xfId="42" applyFont="1" applyFill="1" applyAlignment="1">
      <alignment vertical="center" wrapText="1"/>
    </xf>
    <xf numFmtId="0" fontId="125" fillId="0" borderId="0" xfId="43" applyFont="1" applyFill="1">
      <alignment vertical="center"/>
    </xf>
    <xf numFmtId="0" fontId="125" fillId="0" borderId="0" xfId="43" applyFont="1" applyFill="1" applyAlignment="1">
      <alignment horizontal="left" vertical="top" wrapText="1"/>
    </xf>
    <xf numFmtId="0" fontId="126" fillId="0" borderId="0" xfId="43" applyFont="1">
      <alignment vertical="center"/>
    </xf>
    <xf numFmtId="0" fontId="125" fillId="19" borderId="42" xfId="43" applyFont="1" applyFill="1" applyBorder="1">
      <alignment vertical="center"/>
    </xf>
    <xf numFmtId="0" fontId="125" fillId="19" borderId="43" xfId="43" applyFont="1" applyFill="1" applyBorder="1">
      <alignment vertical="center"/>
    </xf>
    <xf numFmtId="0" fontId="125" fillId="0" borderId="0" xfId="43" applyFont="1" applyFill="1" applyBorder="1">
      <alignment vertical="center"/>
    </xf>
    <xf numFmtId="0" fontId="125" fillId="0" borderId="11" xfId="43" applyFont="1" applyFill="1" applyBorder="1">
      <alignment vertical="center"/>
    </xf>
    <xf numFmtId="0" fontId="125" fillId="0" borderId="0" xfId="43" applyFont="1" applyFill="1" applyBorder="1" applyAlignment="1">
      <alignment horizontal="center" vertical="center"/>
    </xf>
    <xf numFmtId="0" fontId="125" fillId="0" borderId="18" xfId="43" applyFont="1" applyFill="1" applyBorder="1" applyAlignment="1">
      <alignment horizontal="left" vertical="top" wrapText="1"/>
    </xf>
    <xf numFmtId="0" fontId="125" fillId="0" borderId="0" xfId="43" applyFont="1" applyFill="1" applyBorder="1" applyAlignment="1">
      <alignment vertical="center"/>
    </xf>
    <xf numFmtId="0" fontId="131" fillId="0" borderId="0" xfId="45" applyFont="1" applyFill="1" applyBorder="1">
      <alignment vertical="center"/>
    </xf>
    <xf numFmtId="10" fontId="125" fillId="0" borderId="0" xfId="47" applyNumberFormat="1" applyFont="1" applyFill="1" applyBorder="1">
      <alignment vertical="center"/>
    </xf>
    <xf numFmtId="0" fontId="130" fillId="0" borderId="0" xfId="45" applyFont="1" applyFill="1" applyBorder="1">
      <alignment vertical="center"/>
    </xf>
    <xf numFmtId="0" fontId="125" fillId="0" borderId="10" xfId="43" applyFont="1" applyFill="1" applyBorder="1" applyAlignment="1">
      <alignment vertical="center" wrapText="1"/>
    </xf>
    <xf numFmtId="0" fontId="125" fillId="0" borderId="0" xfId="43" applyFont="1" applyFill="1" applyBorder="1" applyAlignment="1">
      <alignment vertical="top"/>
    </xf>
    <xf numFmtId="0" fontId="125" fillId="19" borderId="0" xfId="43" applyFont="1" applyFill="1" applyBorder="1">
      <alignment vertical="center"/>
    </xf>
    <xf numFmtId="0" fontId="125" fillId="19" borderId="11" xfId="43" applyFont="1" applyFill="1" applyBorder="1">
      <alignment vertical="center"/>
    </xf>
    <xf numFmtId="0" fontId="126" fillId="0" borderId="0" xfId="43" applyFont="1" applyAlignment="1">
      <alignment horizontal="center" vertical="center"/>
    </xf>
    <xf numFmtId="0" fontId="125" fillId="0" borderId="0" xfId="43" applyFont="1" applyFill="1" applyBorder="1" applyAlignment="1">
      <alignment horizontal="left" vertical="top"/>
    </xf>
    <xf numFmtId="10" fontId="126" fillId="0" borderId="0" xfId="43" applyNumberFormat="1" applyFont="1" applyAlignment="1">
      <alignment horizontal="center" vertical="center"/>
    </xf>
    <xf numFmtId="199" fontId="125" fillId="0" borderId="0" xfId="48" applyNumberFormat="1" applyFont="1" applyFill="1" applyBorder="1" applyAlignment="1" applyProtection="1">
      <alignment horizontal="center"/>
      <protection hidden="1"/>
    </xf>
    <xf numFmtId="0" fontId="125" fillId="0" borderId="0" xfId="43" applyFont="1" applyFill="1" applyBorder="1" applyAlignment="1">
      <alignment horizontal="left" vertical="top" wrapText="1"/>
    </xf>
    <xf numFmtId="0" fontId="130" fillId="0" borderId="0" xfId="45" applyFont="1" applyFill="1" applyBorder="1" applyAlignment="1">
      <alignment horizontal="left" vertical="top"/>
    </xf>
    <xf numFmtId="0" fontId="125" fillId="0" borderId="0" xfId="49" applyFont="1" applyFill="1" applyBorder="1" applyAlignment="1" applyProtection="1">
      <alignment horizontal="center"/>
      <protection hidden="1"/>
    </xf>
    <xf numFmtId="0" fontId="125" fillId="0" borderId="44" xfId="43" applyFont="1" applyFill="1" applyBorder="1" applyAlignment="1">
      <alignment vertical="center" wrapText="1"/>
    </xf>
    <xf numFmtId="0" fontId="125" fillId="0" borderId="45" xfId="43" applyFont="1" applyFill="1" applyBorder="1" applyAlignment="1">
      <alignment vertical="center" wrapText="1"/>
    </xf>
    <xf numFmtId="0" fontId="125" fillId="0" borderId="20" xfId="43" applyFont="1" applyFill="1" applyBorder="1" applyAlignment="1">
      <alignment vertical="center" wrapText="1"/>
    </xf>
    <xf numFmtId="0" fontId="125" fillId="0" borderId="0" xfId="43" applyFont="1" applyFill="1" applyAlignment="1">
      <alignment vertical="center" wrapText="1"/>
    </xf>
    <xf numFmtId="0" fontId="126" fillId="16" borderId="0" xfId="43" applyFont="1" applyFill="1" applyBorder="1">
      <alignment vertical="center"/>
    </xf>
    <xf numFmtId="0" fontId="126" fillId="0" borderId="0" xfId="43" applyFont="1" applyBorder="1">
      <alignment vertical="center"/>
    </xf>
    <xf numFmtId="0" fontId="126" fillId="0" borderId="0" xfId="43" applyFont="1" applyAlignment="1">
      <alignment horizontal="right" vertical="center"/>
    </xf>
    <xf numFmtId="10" fontId="126" fillId="0" borderId="0" xfId="43" applyNumberFormat="1" applyFont="1">
      <alignment vertical="center"/>
    </xf>
    <xf numFmtId="192" fontId="126" fillId="0" borderId="0" xfId="43" applyNumberFormat="1" applyFont="1">
      <alignment vertical="center"/>
    </xf>
    <xf numFmtId="37" fontId="126" fillId="0" borderId="0" xfId="43" applyNumberFormat="1" applyFont="1">
      <alignment vertical="center"/>
    </xf>
    <xf numFmtId="0" fontId="124" fillId="0" borderId="0" xfId="42" applyFont="1" applyFill="1" applyAlignment="1">
      <alignment vertical="center"/>
    </xf>
    <xf numFmtId="0" fontId="127" fillId="0" borderId="0" xfId="43" applyFont="1" applyFill="1" applyAlignment="1">
      <alignment horizontal="center" vertical="center"/>
    </xf>
    <xf numFmtId="0" fontId="125" fillId="0" borderId="49" xfId="43" applyFont="1" applyFill="1" applyBorder="1">
      <alignment vertical="center"/>
    </xf>
    <xf numFmtId="0" fontId="125" fillId="0" borderId="50" xfId="43" applyFont="1" applyFill="1" applyBorder="1">
      <alignment vertical="center"/>
    </xf>
    <xf numFmtId="0" fontId="125" fillId="0" borderId="51" xfId="43" applyFont="1" applyFill="1" applyBorder="1" applyAlignment="1">
      <alignment horizontal="left" vertical="top" wrapText="1"/>
    </xf>
    <xf numFmtId="0" fontId="125" fillId="0" borderId="18" xfId="43" applyFont="1" applyFill="1" applyBorder="1" applyAlignment="1">
      <alignment horizontal="left" vertical="center"/>
    </xf>
    <xf numFmtId="192" fontId="125" fillId="0" borderId="18" xfId="44" applyNumberFormat="1" applyFont="1" applyFill="1" applyBorder="1" applyAlignment="1">
      <alignment horizontal="center" vertical="center"/>
    </xf>
    <xf numFmtId="0" fontId="125" fillId="0" borderId="18" xfId="43" applyFont="1" applyFill="1" applyBorder="1" applyAlignment="1">
      <alignment horizontal="center" vertical="center"/>
    </xf>
    <xf numFmtId="0" fontId="125" fillId="0" borderId="18" xfId="43" applyFont="1" applyFill="1" applyBorder="1" applyAlignment="1">
      <alignment horizontal="right" vertical="center"/>
    </xf>
    <xf numFmtId="192" fontId="95" fillId="0" borderId="18" xfId="44" applyNumberFormat="1" applyFont="1" applyFill="1" applyBorder="1" applyAlignment="1">
      <alignment horizontal="center" vertical="center"/>
    </xf>
    <xf numFmtId="10" fontId="125" fillId="0" borderId="18" xfId="47" applyNumberFormat="1" applyFont="1" applyFill="1" applyBorder="1" applyAlignment="1">
      <alignment horizontal="right" vertical="center"/>
    </xf>
    <xf numFmtId="0" fontId="95" fillId="0" borderId="18" xfId="43" applyFont="1" applyFill="1" applyBorder="1" applyAlignment="1">
      <alignment horizontal="right" vertical="center"/>
    </xf>
    <xf numFmtId="0" fontId="95" fillId="0" borderId="18" xfId="43" applyFont="1" applyFill="1" applyBorder="1" applyAlignment="1">
      <alignment horizontal="left" vertical="top" wrapText="1"/>
    </xf>
    <xf numFmtId="10" fontId="125" fillId="0" borderId="18" xfId="46" applyNumberFormat="1" applyFont="1" applyFill="1" applyBorder="1" applyAlignment="1">
      <alignment horizontal="right" vertical="center"/>
    </xf>
    <xf numFmtId="192" fontId="125" fillId="0" borderId="18" xfId="44" applyNumberFormat="1" applyFont="1" applyFill="1" applyBorder="1" applyAlignment="1">
      <alignment horizontal="right" vertical="center"/>
    </xf>
    <xf numFmtId="0" fontId="125" fillId="0" borderId="18" xfId="43" applyFont="1" applyFill="1" applyBorder="1" applyAlignment="1">
      <alignment horizontal="left" vertical="center" indent="1"/>
    </xf>
    <xf numFmtId="201" fontId="125" fillId="0" borderId="18" xfId="43" applyNumberFormat="1" applyFont="1" applyFill="1" applyBorder="1" applyAlignment="1">
      <alignment horizontal="left" vertical="top" wrapText="1"/>
    </xf>
    <xf numFmtId="201" fontId="125" fillId="0" borderId="0" xfId="43" applyNumberFormat="1" applyFont="1" applyFill="1">
      <alignment vertical="center"/>
    </xf>
    <xf numFmtId="198" fontId="125" fillId="0" borderId="18" xfId="43" applyNumberFormat="1" applyFont="1" applyFill="1" applyBorder="1" applyAlignment="1">
      <alignment horizontal="left" vertical="top" wrapText="1"/>
    </xf>
    <xf numFmtId="203" fontId="125" fillId="0" borderId="17" xfId="48" applyNumberFormat="1" applyFont="1" applyFill="1" applyBorder="1">
      <alignment vertical="center"/>
    </xf>
    <xf numFmtId="201" fontId="125" fillId="0" borderId="17" xfId="43" applyNumberFormat="1" applyFont="1" applyFill="1" applyBorder="1" applyAlignment="1">
      <alignment horizontal="center" vertical="center"/>
    </xf>
    <xf numFmtId="203" fontId="125" fillId="0" borderId="18" xfId="48" applyNumberFormat="1" applyFont="1" applyFill="1" applyBorder="1" applyAlignment="1">
      <alignment horizontal="center" vertical="center"/>
    </xf>
    <xf numFmtId="204" fontId="125" fillId="0" borderId="0" xfId="43" applyNumberFormat="1" applyFont="1" applyFill="1">
      <alignment vertical="center"/>
    </xf>
    <xf numFmtId="203" fontId="125" fillId="0" borderId="18" xfId="48" applyNumberFormat="1" applyFont="1" applyFill="1" applyBorder="1">
      <alignment vertical="center"/>
    </xf>
    <xf numFmtId="44" fontId="125" fillId="0" borderId="0" xfId="43" applyNumberFormat="1" applyFont="1" applyFill="1">
      <alignment vertical="center"/>
    </xf>
    <xf numFmtId="201" fontId="125" fillId="0" borderId="18" xfId="43" applyNumberFormat="1" applyFont="1" applyFill="1" applyBorder="1">
      <alignment vertical="center"/>
    </xf>
    <xf numFmtId="0" fontId="141" fillId="0" borderId="0" xfId="0" applyFont="1" applyBorder="1">
      <alignment vertical="center"/>
    </xf>
    <xf numFmtId="37" fontId="0" fillId="0" borderId="0" xfId="0" applyNumberFormat="1">
      <alignment vertical="center"/>
    </xf>
    <xf numFmtId="0" fontId="0" fillId="11" borderId="0" xfId="0" applyFill="1">
      <alignment vertical="center"/>
    </xf>
    <xf numFmtId="0" fontId="135" fillId="21" borderId="9" xfId="0" applyFont="1" applyFill="1" applyBorder="1" applyAlignment="1">
      <alignment horizontal="center" vertical="center"/>
    </xf>
    <xf numFmtId="0" fontId="136" fillId="0" borderId="0" xfId="0" applyFont="1">
      <alignment vertical="center"/>
    </xf>
    <xf numFmtId="0" fontId="135" fillId="0" borderId="10" xfId="0" applyFont="1" applyFill="1" applyBorder="1">
      <alignment vertical="center"/>
    </xf>
    <xf numFmtId="198" fontId="136" fillId="0" borderId="0" xfId="48" applyFont="1" applyBorder="1" applyAlignment="1">
      <alignment horizontal="center" vertical="center"/>
    </xf>
    <xf numFmtId="0" fontId="136" fillId="0" borderId="11" xfId="0" applyFont="1" applyBorder="1">
      <alignment vertical="center"/>
    </xf>
    <xf numFmtId="37" fontId="137" fillId="0" borderId="0" xfId="0" applyNumberFormat="1" applyFont="1" applyFill="1" applyBorder="1">
      <alignment vertical="center"/>
    </xf>
    <xf numFmtId="0" fontId="135" fillId="0" borderId="10" xfId="0" applyFont="1" applyBorder="1">
      <alignment vertical="center"/>
    </xf>
    <xf numFmtId="205" fontId="136" fillId="0" borderId="0" xfId="48" applyNumberFormat="1" applyFont="1" applyBorder="1">
      <alignment vertical="center"/>
    </xf>
    <xf numFmtId="205" fontId="135" fillId="0" borderId="0" xfId="48" applyNumberFormat="1" applyFont="1" applyBorder="1">
      <alignment vertical="center"/>
    </xf>
    <xf numFmtId="205" fontId="135" fillId="23" borderId="0" xfId="48" applyNumberFormat="1" applyFont="1" applyFill="1" applyBorder="1">
      <alignment vertical="center"/>
    </xf>
    <xf numFmtId="0" fontId="141" fillId="0" borderId="0" xfId="0" applyFont="1" applyAlignment="1"/>
    <xf numFmtId="0" fontId="136" fillId="0" borderId="53" xfId="0" applyFont="1" applyBorder="1">
      <alignment vertical="center"/>
    </xf>
    <xf numFmtId="0" fontId="136" fillId="0" borderId="11" xfId="0" applyFont="1" applyBorder="1" applyAlignment="1">
      <alignment horizontal="center" vertical="center"/>
    </xf>
    <xf numFmtId="0" fontId="136" fillId="0" borderId="0" xfId="0" applyFont="1" applyBorder="1" applyAlignment="1">
      <alignment horizontal="center" vertical="center"/>
    </xf>
    <xf numFmtId="43" fontId="0" fillId="0" borderId="0" xfId="7" applyFont="1" applyBorder="1">
      <alignment vertical="center"/>
    </xf>
    <xf numFmtId="0" fontId="136" fillId="0" borderId="0" xfId="0" applyFont="1" applyFill="1">
      <alignment vertical="center"/>
    </xf>
    <xf numFmtId="198" fontId="136" fillId="0" borderId="10" xfId="0" applyNumberFormat="1" applyFont="1" applyFill="1" applyBorder="1" applyAlignment="1">
      <alignment horizontal="right" vertical="center"/>
    </xf>
    <xf numFmtId="198" fontId="136" fillId="0" borderId="11" xfId="0" applyNumberFormat="1" applyFont="1" applyFill="1" applyBorder="1" applyAlignment="1">
      <alignment horizontal="right" vertical="center"/>
    </xf>
    <xf numFmtId="0" fontId="145" fillId="0" borderId="0" xfId="0" applyFont="1" applyFill="1" applyAlignment="1"/>
    <xf numFmtId="198" fontId="0" fillId="0" borderId="0" xfId="48" applyFont="1">
      <alignment vertical="center"/>
    </xf>
    <xf numFmtId="0" fontId="142" fillId="0" borderId="10" xfId="0" applyFont="1" applyFill="1" applyBorder="1">
      <alignment vertical="center"/>
    </xf>
    <xf numFmtId="198" fontId="126" fillId="0" borderId="0" xfId="48" applyFont="1" applyBorder="1" applyAlignment="1">
      <alignment horizontal="center" vertical="center"/>
    </xf>
    <xf numFmtId="205" fontId="95" fillId="22" borderId="0" xfId="48" applyNumberFormat="1" applyFont="1" applyFill="1" applyBorder="1">
      <alignment vertical="center"/>
    </xf>
    <xf numFmtId="205" fontId="126" fillId="0" borderId="11" xfId="0" applyNumberFormat="1" applyFont="1" applyBorder="1">
      <alignment vertical="center"/>
    </xf>
    <xf numFmtId="37" fontId="95" fillId="0" borderId="0" xfId="0" applyNumberFormat="1" applyFont="1" applyFill="1" applyBorder="1">
      <alignment vertical="center"/>
    </xf>
    <xf numFmtId="205" fontId="95" fillId="23" borderId="0" xfId="48" applyNumberFormat="1" applyFont="1" applyFill="1" applyBorder="1">
      <alignment vertical="center"/>
    </xf>
    <xf numFmtId="0" fontId="126" fillId="0" borderId="10" xfId="0" applyFont="1" applyFill="1" applyBorder="1">
      <alignment vertical="center"/>
    </xf>
    <xf numFmtId="205" fontId="126" fillId="20" borderId="0" xfId="48" applyNumberFormat="1" applyFont="1" applyFill="1" applyBorder="1">
      <alignment vertical="center"/>
    </xf>
    <xf numFmtId="0" fontId="126" fillId="0" borderId="11" xfId="0" applyFont="1" applyBorder="1">
      <alignment vertical="center"/>
    </xf>
    <xf numFmtId="10" fontId="95" fillId="0" borderId="0" xfId="31" applyNumberFormat="1" applyFont="1" applyFill="1" applyBorder="1">
      <alignment vertical="center"/>
    </xf>
    <xf numFmtId="10" fontId="95" fillId="23" borderId="0" xfId="31" applyNumberFormat="1" applyFont="1" applyFill="1" applyBorder="1">
      <alignment vertical="center"/>
    </xf>
    <xf numFmtId="10" fontId="126" fillId="20" borderId="0" xfId="31" applyNumberFormat="1" applyFont="1" applyFill="1" applyBorder="1">
      <alignment vertical="center"/>
    </xf>
    <xf numFmtId="10" fontId="126" fillId="0" borderId="11" xfId="0" applyNumberFormat="1" applyFont="1" applyBorder="1">
      <alignment vertical="center"/>
    </xf>
    <xf numFmtId="0" fontId="142" fillId="0" borderId="10" xfId="0" applyFont="1" applyBorder="1">
      <alignment vertical="center"/>
    </xf>
    <xf numFmtId="205" fontId="126" fillId="0" borderId="0" xfId="48" applyNumberFormat="1" applyFont="1" applyBorder="1">
      <alignment vertical="center"/>
    </xf>
    <xf numFmtId="205" fontId="142" fillId="0" borderId="0" xfId="48" applyNumberFormat="1" applyFont="1" applyBorder="1">
      <alignment vertical="center"/>
    </xf>
    <xf numFmtId="205" fontId="126" fillId="23" borderId="0" xfId="48" applyNumberFormat="1" applyFont="1" applyFill="1" applyBorder="1">
      <alignment vertical="center"/>
    </xf>
    <xf numFmtId="207" fontId="126" fillId="20" borderId="0" xfId="48" applyNumberFormat="1" applyFont="1" applyFill="1" applyBorder="1">
      <alignment vertical="center"/>
    </xf>
    <xf numFmtId="0" fontId="0" fillId="0" borderId="11" xfId="0" applyBorder="1">
      <alignment vertical="center"/>
    </xf>
    <xf numFmtId="0" fontId="126" fillId="0" borderId="46" xfId="0" applyFont="1" applyFill="1" applyBorder="1">
      <alignment vertical="center"/>
    </xf>
    <xf numFmtId="0" fontId="0" fillId="0" borderId="47" xfId="0" applyBorder="1">
      <alignment vertical="center"/>
    </xf>
    <xf numFmtId="207" fontId="126" fillId="20" borderId="47" xfId="48" applyNumberFormat="1" applyFont="1" applyFill="1" applyBorder="1">
      <alignment vertical="center"/>
    </xf>
    <xf numFmtId="0" fontId="0" fillId="0" borderId="48" xfId="0" applyBorder="1">
      <alignment vertical="center"/>
    </xf>
    <xf numFmtId="0" fontId="143" fillId="0" borderId="0" xfId="0" applyFont="1">
      <alignment vertical="center"/>
    </xf>
    <xf numFmtId="0" fontId="137" fillId="0" borderId="0" xfId="0" applyFont="1">
      <alignment vertical="center"/>
    </xf>
    <xf numFmtId="43" fontId="126" fillId="23" borderId="0" xfId="7" applyFont="1" applyFill="1" applyBorder="1">
      <alignment vertical="center"/>
    </xf>
    <xf numFmtId="43" fontId="126" fillId="20" borderId="0" xfId="7" applyFont="1" applyFill="1" applyBorder="1">
      <alignment vertical="center"/>
    </xf>
    <xf numFmtId="0" fontId="125" fillId="0" borderId="0" xfId="43" applyFont="1" applyFill="1" applyBorder="1" applyAlignment="1">
      <alignment horizontal="right" vertical="center" wrapText="1"/>
    </xf>
    <xf numFmtId="0" fontId="125" fillId="0" borderId="0" xfId="43" applyFont="1" applyFill="1" applyBorder="1" applyAlignment="1">
      <alignment vertical="center" wrapText="1"/>
    </xf>
    <xf numFmtId="0" fontId="41" fillId="0" borderId="41" xfId="0" applyFont="1" applyBorder="1" applyAlignment="1">
      <alignment horizontal="center" vertical="center"/>
    </xf>
    <xf numFmtId="0" fontId="0" fillId="0" borderId="9" xfId="0" applyBorder="1">
      <alignment vertical="center"/>
    </xf>
    <xf numFmtId="0" fontId="0" fillId="0" borderId="43" xfId="0" applyBorder="1">
      <alignment vertical="center"/>
    </xf>
    <xf numFmtId="0" fontId="41" fillId="3" borderId="0" xfId="0" applyFont="1" applyFill="1" applyAlignment="1">
      <alignment horizontal="center" vertical="center"/>
    </xf>
    <xf numFmtId="206" fontId="0" fillId="0" borderId="0" xfId="0" applyNumberFormat="1">
      <alignment vertical="center"/>
    </xf>
    <xf numFmtId="43" fontId="0" fillId="0" borderId="46" xfId="7" applyFont="1" applyBorder="1">
      <alignment vertical="center"/>
    </xf>
    <xf numFmtId="43" fontId="135" fillId="0" borderId="0" xfId="7" applyFont="1" applyFill="1" applyAlignment="1">
      <alignment horizontal="center" vertical="center"/>
    </xf>
    <xf numFmtId="192" fontId="42" fillId="0" borderId="0" xfId="7" applyNumberFormat="1" applyFont="1" applyFill="1" applyBorder="1" applyProtection="1">
      <alignment vertical="center"/>
      <protection locked="0"/>
    </xf>
    <xf numFmtId="0" fontId="42" fillId="0" borderId="0" xfId="43">
      <alignment vertical="center"/>
    </xf>
    <xf numFmtId="0" fontId="127" fillId="0" borderId="0" xfId="43" applyFont="1" applyFill="1" applyAlignment="1">
      <alignment horizontal="center" vertical="center"/>
    </xf>
    <xf numFmtId="0" fontId="125" fillId="0" borderId="50" xfId="43" applyFont="1" applyFill="1" applyBorder="1" applyAlignment="1">
      <alignment horizontal="center" vertical="center"/>
    </xf>
    <xf numFmtId="0" fontId="125" fillId="0" borderId="18" xfId="43" applyFont="1" applyFill="1" applyBorder="1" applyAlignment="1">
      <alignment horizontal="left" vertical="top" wrapText="1"/>
    </xf>
    <xf numFmtId="0" fontId="95" fillId="0" borderId="51" xfId="50" applyFont="1" applyFill="1" applyBorder="1" applyAlignment="1" applyProtection="1">
      <alignment horizontal="left" vertical="center" indent="1"/>
    </xf>
    <xf numFmtId="192" fontId="125" fillId="0" borderId="18" xfId="7" applyNumberFormat="1" applyFont="1" applyFill="1" applyBorder="1" applyAlignment="1">
      <alignment horizontal="center" vertical="center"/>
    </xf>
    <xf numFmtId="192" fontId="125" fillId="0" borderId="18" xfId="7" applyNumberFormat="1" applyFont="1" applyFill="1" applyBorder="1" applyAlignment="1">
      <alignment horizontal="right" vertical="center"/>
    </xf>
    <xf numFmtId="192" fontId="95" fillId="0" borderId="18" xfId="7" applyNumberFormat="1" applyFont="1" applyFill="1" applyBorder="1" applyAlignment="1">
      <alignment horizontal="right" vertical="center"/>
    </xf>
    <xf numFmtId="192" fontId="125" fillId="0" borderId="17" xfId="7" applyNumberFormat="1" applyFont="1" applyFill="1" applyBorder="1" applyAlignment="1">
      <alignment horizontal="center" vertical="center"/>
    </xf>
    <xf numFmtId="0" fontId="101" fillId="0" borderId="10" xfId="0" applyFont="1" applyFill="1" applyBorder="1" applyAlignment="1">
      <alignment horizontal="center" vertical="center"/>
    </xf>
    <xf numFmtId="0" fontId="101" fillId="0" borderId="46" xfId="0" applyFont="1" applyFill="1" applyBorder="1" applyAlignment="1">
      <alignment horizontal="center" vertical="center"/>
    </xf>
    <xf numFmtId="205" fontId="149" fillId="0" borderId="0" xfId="48" applyNumberFormat="1" applyFont="1" applyFill="1" applyBorder="1">
      <alignment vertical="center"/>
    </xf>
    <xf numFmtId="43" fontId="149" fillId="0" borderId="0" xfId="7" applyFont="1" applyFill="1" applyBorder="1">
      <alignment vertical="center"/>
    </xf>
    <xf numFmtId="192" fontId="125" fillId="24" borderId="18" xfId="44" applyNumberFormat="1" applyFont="1" applyFill="1" applyBorder="1" applyAlignment="1">
      <alignment horizontal="center" vertical="center"/>
    </xf>
    <xf numFmtId="10" fontId="125" fillId="24" borderId="18" xfId="47" applyNumberFormat="1" applyFont="1" applyFill="1" applyBorder="1" applyAlignment="1">
      <alignment horizontal="right" vertical="center"/>
    </xf>
    <xf numFmtId="201" fontId="125" fillId="0" borderId="0" xfId="7" applyNumberFormat="1" applyFont="1" applyFill="1" applyBorder="1">
      <alignment vertical="center"/>
    </xf>
    <xf numFmtId="43" fontId="125" fillId="0" borderId="18" xfId="7" applyNumberFormat="1" applyFont="1" applyFill="1" applyBorder="1" applyAlignment="1">
      <alignment horizontal="right" vertical="center"/>
    </xf>
    <xf numFmtId="43" fontId="125" fillId="0" borderId="18" xfId="7" applyFont="1" applyFill="1" applyBorder="1" applyAlignment="1">
      <alignment horizontal="right" vertical="center"/>
    </xf>
    <xf numFmtId="43" fontId="125" fillId="0" borderId="18" xfId="7" applyFont="1" applyFill="1" applyBorder="1">
      <alignment vertical="center"/>
    </xf>
    <xf numFmtId="192" fontId="95" fillId="0" borderId="18" xfId="7" applyNumberFormat="1" applyFont="1" applyFill="1" applyBorder="1" applyAlignment="1">
      <alignment horizontal="center" vertical="center"/>
    </xf>
    <xf numFmtId="0" fontId="125" fillId="0" borderId="18" xfId="43" applyFont="1" applyFill="1" applyBorder="1" applyAlignment="1">
      <alignment vertical="top" wrapText="1"/>
    </xf>
    <xf numFmtId="0" fontId="152" fillId="0" borderId="0" xfId="42" applyFont="1" applyFill="1" applyAlignment="1">
      <alignment vertical="center"/>
    </xf>
    <xf numFmtId="192" fontId="125" fillId="0" borderId="62" xfId="44" applyNumberFormat="1" applyFont="1" applyFill="1" applyBorder="1" applyAlignment="1">
      <alignment horizontal="center" vertical="center"/>
    </xf>
    <xf numFmtId="43" fontId="125" fillId="0" borderId="62" xfId="7" applyFont="1" applyFill="1" applyBorder="1">
      <alignment vertical="center"/>
    </xf>
    <xf numFmtId="0" fontId="127" fillId="0" borderId="18" xfId="43" applyFont="1" applyFill="1" applyBorder="1" applyAlignment="1">
      <alignment horizontal="left" vertical="center"/>
    </xf>
    <xf numFmtId="0" fontId="125" fillId="0" borderId="62" xfId="43" applyFont="1" applyFill="1" applyBorder="1">
      <alignment vertical="center"/>
    </xf>
    <xf numFmtId="0" fontId="125" fillId="3" borderId="62" xfId="43" applyFont="1" applyFill="1" applyBorder="1" applyAlignment="1">
      <alignment horizontal="center" vertical="center"/>
    </xf>
    <xf numFmtId="0" fontId="125" fillId="5" borderId="62" xfId="43" applyFont="1" applyFill="1" applyBorder="1">
      <alignment vertical="center"/>
    </xf>
    <xf numFmtId="0" fontId="127" fillId="5" borderId="62" xfId="43" applyFont="1" applyFill="1" applyBorder="1" applyAlignment="1">
      <alignment horizontal="center" vertical="center"/>
    </xf>
    <xf numFmtId="192" fontId="125" fillId="0" borderId="62" xfId="7" applyNumberFormat="1" applyFont="1" applyFill="1" applyBorder="1">
      <alignment vertical="center"/>
    </xf>
    <xf numFmtId="0" fontId="125" fillId="0" borderId="62" xfId="43" applyFont="1" applyFill="1" applyBorder="1" applyAlignment="1">
      <alignment horizontal="left" vertical="center" indent="1"/>
    </xf>
    <xf numFmtId="0" fontId="122" fillId="0" borderId="0" xfId="43" applyFont="1" applyFill="1">
      <alignment vertical="center"/>
    </xf>
    <xf numFmtId="0" fontId="127" fillId="0" borderId="0" xfId="43" applyFont="1" applyFill="1" applyBorder="1" applyAlignment="1">
      <alignment horizontal="left" vertical="center"/>
    </xf>
    <xf numFmtId="192" fontId="125" fillId="16" borderId="62" xfId="7" applyNumberFormat="1" applyFont="1" applyFill="1" applyBorder="1">
      <alignment vertical="center"/>
    </xf>
    <xf numFmtId="192" fontId="125" fillId="0" borderId="0" xfId="7" applyNumberFormat="1" applyFont="1" applyFill="1" applyBorder="1">
      <alignment vertical="center"/>
    </xf>
    <xf numFmtId="192" fontId="125" fillId="0" borderId="0" xfId="7" applyNumberFormat="1" applyFont="1" applyFill="1" applyBorder="1" applyAlignment="1">
      <alignment horizontal="left" vertical="top" wrapText="1"/>
    </xf>
    <xf numFmtId="192" fontId="125" fillId="0" borderId="0" xfId="7" applyNumberFormat="1" applyFont="1" applyFill="1" applyBorder="1" applyAlignment="1">
      <alignment vertical="center" wrapText="1"/>
    </xf>
    <xf numFmtId="192" fontId="0" fillId="0" borderId="0" xfId="7" applyNumberFormat="1" applyFont="1">
      <alignment vertical="center"/>
    </xf>
    <xf numFmtId="0" fontId="125" fillId="0" borderId="66" xfId="43" applyFont="1" applyFill="1" applyBorder="1" applyAlignment="1">
      <alignment vertical="center" wrapText="1"/>
    </xf>
    <xf numFmtId="0" fontId="125" fillId="0" borderId="67" xfId="43" applyFont="1" applyFill="1" applyBorder="1" applyAlignment="1">
      <alignment horizontal="center" vertical="center" wrapText="1"/>
    </xf>
    <xf numFmtId="0" fontId="125" fillId="0" borderId="68" xfId="43" applyFont="1" applyFill="1" applyBorder="1" applyAlignment="1">
      <alignment horizontal="center" vertical="center" wrapText="1"/>
    </xf>
    <xf numFmtId="0" fontId="127" fillId="0" borderId="10" xfId="43" applyFont="1" applyFill="1" applyBorder="1">
      <alignment vertical="center"/>
    </xf>
    <xf numFmtId="192" fontId="125" fillId="16" borderId="0" xfId="7" applyNumberFormat="1" applyFont="1" applyFill="1" applyBorder="1">
      <alignment vertical="center"/>
    </xf>
    <xf numFmtId="0" fontId="127" fillId="0" borderId="10" xfId="43" applyFont="1" applyFill="1" applyBorder="1" applyAlignment="1">
      <alignment vertical="center"/>
    </xf>
    <xf numFmtId="10" fontId="125" fillId="16" borderId="0" xfId="8" applyNumberFormat="1" applyFont="1" applyFill="1" applyBorder="1">
      <alignment vertical="center"/>
    </xf>
    <xf numFmtId="0" fontId="41" fillId="0" borderId="10" xfId="0" applyFont="1" applyBorder="1">
      <alignment vertical="center"/>
    </xf>
    <xf numFmtId="0" fontId="0" fillId="0" borderId="10" xfId="0" applyBorder="1" applyAlignment="1">
      <alignment horizontal="left" vertical="center" indent="1"/>
    </xf>
    <xf numFmtId="192" fontId="0" fillId="16" borderId="0" xfId="7" applyNumberFormat="1" applyFont="1" applyFill="1" applyBorder="1">
      <alignment vertical="center"/>
    </xf>
    <xf numFmtId="0" fontId="0" fillId="0" borderId="46" xfId="0" applyBorder="1" applyAlignment="1">
      <alignment horizontal="left" vertical="center" indent="1"/>
    </xf>
    <xf numFmtId="192" fontId="0" fillId="16" borderId="47" xfId="7" applyNumberFormat="1" applyFont="1" applyFill="1" applyBorder="1">
      <alignment vertical="center"/>
    </xf>
    <xf numFmtId="0" fontId="41" fillId="0" borderId="10" xfId="0" applyFont="1" applyFill="1" applyBorder="1" applyAlignment="1">
      <alignment horizontal="left" vertical="center" indent="1"/>
    </xf>
    <xf numFmtId="0" fontId="41" fillId="0" borderId="41" xfId="0" applyFont="1" applyFill="1" applyBorder="1" applyAlignment="1">
      <alignment horizontal="left" vertical="center" indent="1"/>
    </xf>
    <xf numFmtId="0" fontId="41" fillId="0" borderId="46" xfId="0" applyFont="1" applyFill="1" applyBorder="1" applyAlignment="1">
      <alignment horizontal="left" vertical="center" indent="1"/>
    </xf>
    <xf numFmtId="192" fontId="125" fillId="0" borderId="10" xfId="7" applyNumberFormat="1" applyFont="1" applyFill="1" applyBorder="1">
      <alignment vertical="center"/>
    </xf>
    <xf numFmtId="192" fontId="125" fillId="0" borderId="11" xfId="7" applyNumberFormat="1" applyFont="1" applyFill="1" applyBorder="1">
      <alignment vertical="center"/>
    </xf>
    <xf numFmtId="10" fontId="125" fillId="0" borderId="10" xfId="8" applyNumberFormat="1" applyFont="1" applyFill="1" applyBorder="1">
      <alignment vertical="center"/>
    </xf>
    <xf numFmtId="10" fontId="125" fillId="0" borderId="0" xfId="8" applyNumberFormat="1" applyFont="1" applyFill="1" applyBorder="1">
      <alignment vertical="center"/>
    </xf>
    <xf numFmtId="10" fontId="125" fillId="0" borderId="11" xfId="8" applyNumberFormat="1" applyFont="1" applyFill="1" applyBorder="1">
      <alignment vertical="center"/>
    </xf>
    <xf numFmtId="0" fontId="0" fillId="0" borderId="10" xfId="0" applyBorder="1">
      <alignment vertical="center"/>
    </xf>
    <xf numFmtId="192" fontId="0" fillId="0" borderId="10" xfId="7" applyNumberFormat="1" applyFont="1" applyBorder="1">
      <alignment vertical="center"/>
    </xf>
    <xf numFmtId="192" fontId="0" fillId="0" borderId="0" xfId="7" applyNumberFormat="1" applyFont="1" applyBorder="1">
      <alignment vertical="center"/>
    </xf>
    <xf numFmtId="192" fontId="0" fillId="0" borderId="11" xfId="7" applyNumberFormat="1" applyFont="1" applyBorder="1">
      <alignment vertical="center"/>
    </xf>
    <xf numFmtId="43" fontId="0" fillId="0" borderId="10" xfId="7" applyFont="1" applyBorder="1">
      <alignment vertical="center"/>
    </xf>
    <xf numFmtId="192" fontId="0" fillId="0" borderId="9" xfId="7" applyNumberFormat="1" applyFont="1" applyBorder="1">
      <alignment vertical="center"/>
    </xf>
    <xf numFmtId="192" fontId="0" fillId="0" borderId="41" xfId="7" applyNumberFormat="1" applyFont="1" applyBorder="1">
      <alignment vertical="center"/>
    </xf>
    <xf numFmtId="0" fontId="125" fillId="0" borderId="47" xfId="43" applyFont="1" applyFill="1" applyBorder="1">
      <alignment vertical="center"/>
    </xf>
    <xf numFmtId="192" fontId="0" fillId="0" borderId="43" xfId="7" applyNumberFormat="1" applyFont="1" applyBorder="1">
      <alignment vertical="center"/>
    </xf>
    <xf numFmtId="192" fontId="0" fillId="0" borderId="46" xfId="7" applyNumberFormat="1" applyFont="1" applyBorder="1">
      <alignment vertical="center"/>
    </xf>
    <xf numFmtId="192" fontId="0" fillId="0" borderId="47" xfId="7" applyNumberFormat="1" applyFont="1" applyBorder="1">
      <alignment vertical="center"/>
    </xf>
    <xf numFmtId="192" fontId="0" fillId="0" borderId="48" xfId="7" applyNumberFormat="1" applyFont="1" applyBorder="1">
      <alignment vertical="center"/>
    </xf>
    <xf numFmtId="0" fontId="125" fillId="0" borderId="52" xfId="43" applyFont="1" applyFill="1" applyBorder="1">
      <alignment vertical="center"/>
    </xf>
    <xf numFmtId="0" fontId="125" fillId="0" borderId="53" xfId="43" applyFont="1" applyFill="1" applyBorder="1">
      <alignment vertical="center"/>
    </xf>
    <xf numFmtId="0" fontId="0" fillId="0" borderId="53" xfId="0" applyBorder="1" applyAlignment="1">
      <alignment horizontal="left" vertical="center" indent="1"/>
    </xf>
    <xf numFmtId="0" fontId="0" fillId="0" borderId="54" xfId="0" applyBorder="1" applyAlignment="1">
      <alignment horizontal="left" vertical="center" indent="1"/>
    </xf>
    <xf numFmtId="192" fontId="0" fillId="16" borderId="9" xfId="7" applyNumberFormat="1" applyFont="1" applyFill="1" applyBorder="1">
      <alignment vertical="center"/>
    </xf>
    <xf numFmtId="0" fontId="0" fillId="0" borderId="9" xfId="0" applyFill="1" applyBorder="1">
      <alignment vertical="center"/>
    </xf>
    <xf numFmtId="0" fontId="0" fillId="0" borderId="47" xfId="0" applyFill="1" applyBorder="1">
      <alignment vertical="center"/>
    </xf>
    <xf numFmtId="43" fontId="125" fillId="0" borderId="0" xfId="7" applyFont="1" applyFill="1" applyBorder="1">
      <alignment vertical="center"/>
    </xf>
    <xf numFmtId="43" fontId="125" fillId="0" borderId="11" xfId="7" applyFont="1" applyFill="1" applyBorder="1">
      <alignment vertical="center"/>
    </xf>
    <xf numFmtId="0" fontId="125" fillId="0" borderId="0" xfId="43" applyFont="1" applyFill="1" applyBorder="1" applyAlignment="1">
      <alignment horizontal="left" vertical="center"/>
    </xf>
    <xf numFmtId="192" fontId="125" fillId="0" borderId="0" xfId="44" applyNumberFormat="1" applyFont="1" applyFill="1" applyBorder="1" applyAlignment="1">
      <alignment horizontal="center" vertical="center"/>
    </xf>
    <xf numFmtId="193" fontId="136" fillId="23" borderId="11" xfId="48" applyNumberFormat="1" applyFont="1" applyFill="1" applyBorder="1">
      <alignment vertical="center"/>
    </xf>
    <xf numFmtId="43" fontId="136" fillId="7" borderId="0" xfId="7" applyFont="1" applyFill="1" applyBorder="1">
      <alignment vertical="center"/>
    </xf>
    <xf numFmtId="43" fontId="136" fillId="3" borderId="0" xfId="7" applyFont="1" applyFill="1" applyBorder="1">
      <alignment vertical="center"/>
    </xf>
    <xf numFmtId="10" fontId="136" fillId="7" borderId="0" xfId="7" applyNumberFormat="1" applyFont="1" applyFill="1" applyBorder="1">
      <alignment vertical="center"/>
    </xf>
    <xf numFmtId="10" fontId="136" fillId="23" borderId="11" xfId="8" applyNumberFormat="1" applyFont="1" applyFill="1" applyBorder="1">
      <alignment vertical="center"/>
    </xf>
    <xf numFmtId="0" fontId="0" fillId="0" borderId="62" xfId="0" applyBorder="1">
      <alignment vertical="center"/>
    </xf>
    <xf numFmtId="0" fontId="0" fillId="0" borderId="62" xfId="0" applyBorder="1" applyAlignment="1">
      <alignment horizontal="center" vertical="center"/>
    </xf>
    <xf numFmtId="0" fontId="0" fillId="0" borderId="62" xfId="0" applyBorder="1" applyAlignment="1">
      <alignment horizontal="center" vertical="center" wrapText="1"/>
    </xf>
    <xf numFmtId="0" fontId="0" fillId="0" borderId="12" xfId="0" applyBorder="1" applyAlignment="1">
      <alignment vertical="center"/>
    </xf>
    <xf numFmtId="43" fontId="0" fillId="0" borderId="0" xfId="7" applyFont="1">
      <alignment vertical="center"/>
    </xf>
    <xf numFmtId="43" fontId="0" fillId="0" borderId="65" xfId="7" applyFont="1" applyBorder="1">
      <alignment vertical="center"/>
    </xf>
    <xf numFmtId="43" fontId="0" fillId="0" borderId="62" xfId="7" applyFont="1" applyBorder="1">
      <alignment vertical="center"/>
    </xf>
    <xf numFmtId="0" fontId="155" fillId="0" borderId="62" xfId="0" applyFont="1" applyBorder="1" applyAlignment="1">
      <alignment vertical="center" wrapText="1"/>
    </xf>
    <xf numFmtId="0" fontId="0" fillId="3" borderId="62" xfId="0" applyFill="1" applyBorder="1" applyAlignment="1">
      <alignment horizontal="center" vertical="center"/>
    </xf>
    <xf numFmtId="43" fontId="54" fillId="0" borderId="62" xfId="7" applyFont="1" applyBorder="1" applyAlignment="1">
      <alignment vertical="center"/>
    </xf>
    <xf numFmtId="10" fontId="54" fillId="0" borderId="62" xfId="8" applyNumberFormat="1" applyFont="1" applyBorder="1" applyAlignment="1">
      <alignment vertical="center"/>
    </xf>
    <xf numFmtId="43" fontId="0" fillId="0" borderId="0" xfId="7" applyFont="1" applyAlignment="1">
      <alignment horizontal="center" vertical="center"/>
    </xf>
    <xf numFmtId="9" fontId="0" fillId="0" borderId="0" xfId="7" applyNumberFormat="1" applyFont="1" applyAlignment="1">
      <alignment horizontal="center" vertical="center"/>
    </xf>
    <xf numFmtId="0" fontId="53" fillId="0" borderId="62" xfId="0" applyFont="1" applyBorder="1" applyAlignment="1">
      <alignment horizontal="center" vertical="center"/>
    </xf>
    <xf numFmtId="0" fontId="53" fillId="0" borderId="62" xfId="0" applyFont="1" applyBorder="1">
      <alignment vertical="center"/>
    </xf>
    <xf numFmtId="10" fontId="0" fillId="0" borderId="62" xfId="8" applyNumberFormat="1" applyFont="1" applyBorder="1">
      <alignment vertical="center"/>
    </xf>
    <xf numFmtId="10" fontId="0" fillId="0" borderId="65" xfId="8" applyNumberFormat="1" applyFont="1" applyBorder="1">
      <alignment vertical="center"/>
    </xf>
    <xf numFmtId="0" fontId="0" fillId="3" borderId="62" xfId="0" applyFill="1" applyBorder="1" applyAlignment="1">
      <alignment horizontal="center" vertical="center"/>
    </xf>
    <xf numFmtId="0" fontId="0" fillId="3" borderId="62" xfId="0" applyFill="1" applyBorder="1" applyAlignment="1">
      <alignment horizontal="center" vertical="center"/>
    </xf>
    <xf numFmtId="0" fontId="0" fillId="3" borderId="12" xfId="0" applyFill="1" applyBorder="1" applyAlignment="1">
      <alignment horizontal="center" vertical="center"/>
    </xf>
    <xf numFmtId="43" fontId="0" fillId="3" borderId="62" xfId="7" applyFont="1" applyFill="1" applyBorder="1" applyAlignment="1">
      <alignment horizontal="center" vertical="center"/>
    </xf>
    <xf numFmtId="43" fontId="0" fillId="0" borderId="65" xfId="7" applyFont="1" applyBorder="1" applyAlignment="1">
      <alignment vertical="center"/>
    </xf>
    <xf numFmtId="43" fontId="0" fillId="0" borderId="62" xfId="7" applyFont="1" applyBorder="1" applyAlignment="1">
      <alignment vertical="center" wrapText="1"/>
    </xf>
    <xf numFmtId="0" fontId="0" fillId="0" borderId="62" xfId="0" applyFill="1" applyBorder="1" applyAlignment="1">
      <alignment horizontal="center" vertical="center"/>
    </xf>
    <xf numFmtId="0" fontId="0" fillId="0" borderId="12" xfId="0" applyBorder="1" applyAlignment="1">
      <alignment horizontal="center" vertical="center"/>
    </xf>
    <xf numFmtId="43" fontId="0" fillId="0" borderId="62" xfId="7" applyFont="1" applyBorder="1" applyAlignment="1">
      <alignment horizontal="center" vertical="center"/>
    </xf>
    <xf numFmtId="209" fontId="0" fillId="0" borderId="62" xfId="0" applyNumberFormat="1" applyBorder="1" applyAlignment="1">
      <alignment horizontal="center" vertical="center"/>
    </xf>
    <xf numFmtId="2" fontId="0" fillId="0" borderId="62" xfId="0" applyNumberFormat="1" applyBorder="1" applyAlignment="1">
      <alignment horizontal="center" vertical="center"/>
    </xf>
    <xf numFmtId="9" fontId="0" fillId="0" borderId="62" xfId="8" applyFont="1" applyBorder="1" applyAlignment="1">
      <alignment horizontal="center" vertical="center"/>
    </xf>
    <xf numFmtId="10" fontId="0" fillId="0" borderId="62" xfId="8" applyNumberFormat="1" applyFont="1" applyBorder="1" applyAlignment="1">
      <alignment horizontal="center" vertical="center"/>
    </xf>
    <xf numFmtId="201" fontId="0" fillId="0" borderId="62" xfId="7" applyNumberFormat="1" applyFont="1" applyBorder="1" applyAlignment="1">
      <alignment horizontal="center" vertical="center"/>
    </xf>
    <xf numFmtId="0" fontId="133" fillId="0" borderId="62" xfId="0" applyFont="1" applyBorder="1">
      <alignment vertical="center"/>
    </xf>
    <xf numFmtId="192" fontId="0" fillId="0" borderId="62" xfId="7" applyNumberFormat="1" applyFont="1" applyBorder="1">
      <alignment vertical="center"/>
    </xf>
    <xf numFmtId="43" fontId="133" fillId="0" borderId="62" xfId="7" applyFont="1" applyBorder="1">
      <alignment vertical="center"/>
    </xf>
    <xf numFmtId="43" fontId="0" fillId="0" borderId="12" xfId="7" applyNumberFormat="1" applyFont="1" applyBorder="1" applyAlignment="1">
      <alignment horizontal="center" vertical="center"/>
    </xf>
    <xf numFmtId="0" fontId="0" fillId="3" borderId="62" xfId="0" applyFill="1" applyBorder="1" applyAlignment="1">
      <alignment horizontal="center" vertical="center"/>
    </xf>
    <xf numFmtId="0" fontId="156" fillId="0" borderId="62" xfId="0" applyFont="1" applyBorder="1" applyAlignment="1">
      <alignment horizontal="left" vertical="center" wrapText="1"/>
    </xf>
    <xf numFmtId="0" fontId="45" fillId="0" borderId="62" xfId="0" applyFont="1" applyBorder="1" applyAlignment="1">
      <alignment horizontal="center" vertical="center" wrapText="1"/>
    </xf>
    <xf numFmtId="0" fontId="45" fillId="0" borderId="62" xfId="0" applyFont="1" applyBorder="1" applyAlignment="1">
      <alignment vertical="center" wrapText="1"/>
    </xf>
    <xf numFmtId="0" fontId="45" fillId="0" borderId="62" xfId="0" applyFont="1" applyBorder="1">
      <alignment vertical="center"/>
    </xf>
    <xf numFmtId="0" fontId="45" fillId="0" borderId="0" xfId="0" applyFont="1">
      <alignment vertical="center"/>
    </xf>
    <xf numFmtId="43" fontId="72" fillId="11" borderId="0" xfId="7" applyFont="1" applyFill="1" applyAlignment="1">
      <alignment vertical="center"/>
    </xf>
    <xf numFmtId="10" fontId="157" fillId="0" borderId="62" xfId="8" applyNumberFormat="1" applyFont="1" applyBorder="1">
      <alignment vertical="center"/>
    </xf>
    <xf numFmtId="43" fontId="157" fillId="0" borderId="62" xfId="7" applyFont="1" applyBorder="1">
      <alignment vertical="center"/>
    </xf>
    <xf numFmtId="0" fontId="142" fillId="21" borderId="41" xfId="0" applyFont="1" applyFill="1" applyBorder="1" applyAlignment="1">
      <alignment horizontal="center" vertical="center"/>
    </xf>
    <xf numFmtId="0" fontId="142" fillId="21" borderId="42" xfId="0" applyFont="1" applyFill="1" applyBorder="1" applyAlignment="1">
      <alignment horizontal="center" vertical="center"/>
    </xf>
    <xf numFmtId="0" fontId="142" fillId="21" borderId="43" xfId="0" applyFont="1" applyFill="1" applyBorder="1" applyAlignment="1">
      <alignment horizontal="center" vertical="center"/>
    </xf>
    <xf numFmtId="0" fontId="0" fillId="0" borderId="0" xfId="0" applyFill="1">
      <alignment vertical="center"/>
    </xf>
    <xf numFmtId="0" fontId="0" fillId="0" borderId="0" xfId="0">
      <alignment vertical="center"/>
    </xf>
    <xf numFmtId="0" fontId="0" fillId="0" borderId="62" xfId="0" applyFill="1" applyBorder="1">
      <alignment vertical="center"/>
    </xf>
    <xf numFmtId="206" fontId="133" fillId="0" borderId="62" xfId="8" applyNumberFormat="1" applyFont="1" applyBorder="1">
      <alignment vertical="center"/>
    </xf>
    <xf numFmtId="206" fontId="0" fillId="0" borderId="62" xfId="7" applyNumberFormat="1" applyFont="1" applyBorder="1">
      <alignment vertical="center"/>
    </xf>
    <xf numFmtId="43" fontId="0" fillId="0" borderId="62" xfId="7" applyNumberFormat="1" applyFont="1" applyBorder="1">
      <alignment vertical="center"/>
    </xf>
    <xf numFmtId="43" fontId="0" fillId="0" borderId="62" xfId="7" applyFont="1" applyFill="1" applyBorder="1">
      <alignment vertical="center"/>
    </xf>
    <xf numFmtId="43" fontId="0" fillId="0" borderId="62" xfId="7" applyFont="1" applyFill="1" applyBorder="1" applyAlignment="1">
      <alignment vertical="center"/>
    </xf>
    <xf numFmtId="206" fontId="0" fillId="0" borderId="62" xfId="0" applyNumberFormat="1" applyBorder="1">
      <alignment vertical="center"/>
    </xf>
    <xf numFmtId="210" fontId="0" fillId="0" borderId="62" xfId="0" applyNumberFormat="1" applyBorder="1">
      <alignment vertical="center"/>
    </xf>
    <xf numFmtId="206" fontId="0" fillId="0" borderId="0" xfId="0" applyNumberFormat="1" applyBorder="1">
      <alignment vertical="center"/>
    </xf>
    <xf numFmtId="176" fontId="56" fillId="0" borderId="2" xfId="1" applyNumberFormat="1" applyFont="1" applyBorder="1" applyAlignment="1">
      <alignment horizontal="center" vertical="center" wrapText="1"/>
    </xf>
    <xf numFmtId="0" fontId="0" fillId="3" borderId="62" xfId="0" applyFill="1" applyBorder="1" applyAlignment="1">
      <alignment horizontal="center" vertical="center"/>
    </xf>
    <xf numFmtId="177" fontId="158" fillId="0" borderId="0" xfId="1" applyNumberFormat="1" applyFont="1" applyAlignment="1"/>
    <xf numFmtId="176" fontId="158" fillId="0" borderId="0" xfId="1" applyNumberFormat="1" applyFont="1" applyAlignment="1"/>
    <xf numFmtId="0" fontId="127" fillId="5" borderId="62" xfId="43" applyFont="1" applyFill="1" applyBorder="1" applyAlignment="1">
      <alignment horizontal="center" vertical="center"/>
    </xf>
    <xf numFmtId="0" fontId="41" fillId="0" borderId="9" xfId="0" applyFont="1" applyBorder="1">
      <alignment vertical="center"/>
    </xf>
    <xf numFmtId="0" fontId="41" fillId="0" borderId="47" xfId="0" applyFont="1" applyBorder="1">
      <alignment vertical="center"/>
    </xf>
    <xf numFmtId="43" fontId="0" fillId="0" borderId="65" xfId="7" applyFont="1" applyBorder="1" applyAlignment="1">
      <alignment horizontal="center" vertical="center"/>
    </xf>
    <xf numFmtId="0" fontId="0" fillId="0" borderId="65" xfId="0" applyBorder="1" applyAlignment="1">
      <alignment horizontal="center" vertical="center" wrapText="1"/>
    </xf>
    <xf numFmtId="176" fontId="27" fillId="10" borderId="41" xfId="1" applyNumberFormat="1" applyFont="1" applyFill="1" applyBorder="1" applyAlignment="1">
      <alignment vertical="center"/>
    </xf>
    <xf numFmtId="176" fontId="24" fillId="10" borderId="43" xfId="1" applyNumberFormat="1" applyFont="1" applyFill="1" applyBorder="1" applyAlignment="1"/>
    <xf numFmtId="176" fontId="64" fillId="0" borderId="46" xfId="1" applyNumberFormat="1" applyFont="1" applyBorder="1" applyAlignment="1">
      <alignment vertical="center"/>
    </xf>
    <xf numFmtId="176" fontId="23" fillId="0" borderId="48" xfId="1" applyNumberFormat="1" applyFont="1" applyBorder="1" applyAlignment="1"/>
    <xf numFmtId="176" fontId="43" fillId="28" borderId="47" xfId="1" applyNumberFormat="1" applyFont="1" applyFill="1" applyBorder="1" applyAlignment="1">
      <alignment horizontal="center" vertical="center"/>
    </xf>
    <xf numFmtId="176" fontId="43" fillId="29" borderId="47" xfId="1" applyNumberFormat="1" applyFont="1" applyFill="1" applyBorder="1" applyAlignment="1">
      <alignment horizontal="center" vertical="center"/>
    </xf>
    <xf numFmtId="176" fontId="159" fillId="22" borderId="47" xfId="1" applyNumberFormat="1" applyFont="1" applyFill="1" applyBorder="1" applyAlignment="1">
      <alignment horizontal="center"/>
    </xf>
    <xf numFmtId="10" fontId="41" fillId="0" borderId="0" xfId="8" applyNumberFormat="1" applyFont="1" applyBorder="1">
      <alignment vertical="center"/>
    </xf>
    <xf numFmtId="192" fontId="54" fillId="0" borderId="62" xfId="7" applyNumberFormat="1" applyFont="1" applyBorder="1" applyAlignment="1">
      <alignment vertical="center"/>
    </xf>
    <xf numFmtId="181" fontId="54" fillId="0" borderId="62" xfId="8" applyNumberFormat="1" applyFont="1" applyBorder="1" applyAlignment="1">
      <alignment horizontal="center" vertical="center"/>
    </xf>
    <xf numFmtId="10" fontId="54" fillId="0" borderId="62" xfId="8" applyNumberFormat="1" applyFont="1" applyBorder="1" applyAlignment="1">
      <alignment horizontal="center" vertical="center"/>
    </xf>
    <xf numFmtId="43" fontId="54" fillId="0" borderId="62" xfId="7" applyFont="1" applyBorder="1" applyAlignment="1">
      <alignment horizontal="center" vertical="center"/>
    </xf>
    <xf numFmtId="0" fontId="42" fillId="0" borderId="12" xfId="0" applyFont="1" applyFill="1" applyBorder="1" applyAlignment="1">
      <alignment vertical="center"/>
    </xf>
    <xf numFmtId="43" fontId="42" fillId="0" borderId="62" xfId="7" applyFont="1" applyFill="1" applyBorder="1" applyAlignment="1">
      <alignment vertical="center"/>
    </xf>
    <xf numFmtId="43" fontId="42" fillId="0" borderId="65" xfId="7" applyFont="1" applyFill="1" applyBorder="1" applyAlignment="1">
      <alignment horizontal="center" vertical="center" wrapText="1"/>
    </xf>
    <xf numFmtId="9" fontId="42" fillId="0" borderId="65" xfId="7" applyNumberFormat="1" applyFont="1" applyFill="1" applyBorder="1" applyAlignment="1">
      <alignment horizontal="center" vertical="center" wrapText="1"/>
    </xf>
    <xf numFmtId="43" fontId="42" fillId="0" borderId="65" xfId="7" applyFont="1" applyFill="1" applyBorder="1">
      <alignment vertical="center"/>
    </xf>
    <xf numFmtId="10" fontId="42" fillId="0" borderId="62" xfId="8" applyNumberFormat="1" applyFont="1" applyFill="1" applyBorder="1">
      <alignment vertical="center"/>
    </xf>
    <xf numFmtId="43" fontId="42" fillId="0" borderId="62" xfId="7" applyFont="1" applyFill="1" applyBorder="1">
      <alignment vertical="center"/>
    </xf>
    <xf numFmtId="10" fontId="42" fillId="0" borderId="62" xfId="8" applyNumberFormat="1" applyFont="1" applyFill="1" applyBorder="1" applyAlignment="1">
      <alignment vertical="center"/>
    </xf>
    <xf numFmtId="10" fontId="42" fillId="0" borderId="65" xfId="8" applyNumberFormat="1" applyFont="1" applyFill="1" applyBorder="1">
      <alignment vertical="center"/>
    </xf>
    <xf numFmtId="43" fontId="42" fillId="0" borderId="65" xfId="7" applyFont="1" applyFill="1" applyBorder="1" applyAlignment="1">
      <alignment horizontal="center" vertical="center" wrapText="1"/>
    </xf>
    <xf numFmtId="0" fontId="42" fillId="0" borderId="62" xfId="0" applyFont="1" applyFill="1" applyBorder="1">
      <alignment vertical="center"/>
    </xf>
    <xf numFmtId="9" fontId="42" fillId="0" borderId="62" xfId="8" applyFont="1" applyFill="1" applyBorder="1" applyAlignment="1">
      <alignment vertical="center" wrapText="1"/>
    </xf>
    <xf numFmtId="9" fontId="42" fillId="0" borderId="62" xfId="8" applyFont="1" applyFill="1" applyBorder="1" applyAlignment="1">
      <alignment horizontal="center" vertical="center" wrapText="1"/>
    </xf>
    <xf numFmtId="0" fontId="42" fillId="0" borderId="65" xfId="0" applyFont="1" applyFill="1" applyBorder="1" applyAlignment="1">
      <alignment horizontal="center" vertical="center" wrapText="1"/>
    </xf>
    <xf numFmtId="0" fontId="42" fillId="0" borderId="62" xfId="0" applyFont="1" applyFill="1" applyBorder="1" applyAlignment="1">
      <alignment vertical="center" wrapText="1"/>
    </xf>
    <xf numFmtId="0" fontId="42" fillId="0" borderId="62" xfId="0" applyFont="1" applyFill="1" applyBorder="1" applyAlignment="1">
      <alignment horizontal="center" vertical="center" wrapText="1"/>
    </xf>
    <xf numFmtId="0" fontId="160" fillId="0" borderId="62" xfId="0" applyFont="1" applyFill="1" applyBorder="1" applyAlignment="1">
      <alignment horizontal="center" vertical="center"/>
    </xf>
    <xf numFmtId="0" fontId="160" fillId="0" borderId="62" xfId="0" applyFont="1" applyFill="1" applyBorder="1">
      <alignment vertical="center"/>
    </xf>
    <xf numFmtId="43" fontId="0" fillId="0" borderId="62" xfId="7" applyFont="1" applyFill="1" applyBorder="1" applyAlignment="1">
      <alignment horizontal="center" vertical="center"/>
    </xf>
    <xf numFmtId="43" fontId="72" fillId="0" borderId="62" xfId="7" applyFont="1" applyFill="1" applyBorder="1" applyAlignment="1">
      <alignment horizontal="center" vertical="center" wrapText="1"/>
    </xf>
    <xf numFmtId="181" fontId="72" fillId="0" borderId="62" xfId="8" applyNumberFormat="1" applyFont="1" applyFill="1" applyBorder="1" applyAlignment="1">
      <alignment horizontal="center" vertical="center" wrapText="1"/>
    </xf>
    <xf numFmtId="176" fontId="159" fillId="30" borderId="47" xfId="1" applyNumberFormat="1" applyFont="1" applyFill="1" applyBorder="1" applyAlignment="1">
      <alignment horizontal="center"/>
    </xf>
    <xf numFmtId="0" fontId="0" fillId="0" borderId="62" xfId="0" applyBorder="1" applyAlignment="1">
      <alignment horizontal="left" vertical="center"/>
    </xf>
    <xf numFmtId="176" fontId="40" fillId="10" borderId="62" xfId="1" applyNumberFormat="1" applyFont="1" applyFill="1" applyBorder="1" applyAlignment="1">
      <alignment horizontal="center" vertical="center"/>
    </xf>
    <xf numFmtId="192" fontId="126" fillId="0" borderId="0" xfId="7" applyNumberFormat="1" applyFont="1" applyAlignment="1">
      <alignment horizontal="center" vertical="center"/>
    </xf>
    <xf numFmtId="0" fontId="145" fillId="0" borderId="0" xfId="0" applyFont="1" applyFill="1" applyAlignment="1">
      <alignment vertical="center"/>
    </xf>
    <xf numFmtId="206" fontId="149" fillId="0" borderId="10" xfId="0" applyNumberFormat="1" applyFont="1" applyBorder="1" applyAlignment="1">
      <alignment horizontal="center" vertical="center"/>
    </xf>
    <xf numFmtId="206" fontId="149" fillId="0" borderId="11" xfId="0" applyNumberFormat="1" applyFont="1" applyBorder="1" applyAlignment="1">
      <alignment horizontal="center" vertical="center"/>
    </xf>
    <xf numFmtId="206" fontId="149" fillId="0" borderId="11" xfId="0" applyNumberFormat="1" applyFont="1" applyFill="1" applyBorder="1" applyAlignment="1">
      <alignment horizontal="center" vertical="center"/>
    </xf>
    <xf numFmtId="181" fontId="149" fillId="0" borderId="10" xfId="8" applyNumberFormat="1" applyFont="1" applyBorder="1" applyAlignment="1">
      <alignment horizontal="center" vertical="center"/>
    </xf>
    <xf numFmtId="181" fontId="149" fillId="0" borderId="11" xfId="8" applyNumberFormat="1" applyFont="1" applyFill="1" applyBorder="1" applyAlignment="1">
      <alignment horizontal="center" vertical="center"/>
    </xf>
    <xf numFmtId="181" fontId="149" fillId="0" borderId="10" xfId="8" applyNumberFormat="1" applyFont="1" applyFill="1" applyBorder="1" applyAlignment="1">
      <alignment horizontal="center" vertical="center"/>
    </xf>
    <xf numFmtId="43" fontId="136" fillId="0" borderId="0" xfId="7" applyFont="1">
      <alignment vertical="center"/>
    </xf>
    <xf numFmtId="193" fontId="136" fillId="0" borderId="10" xfId="48" applyNumberFormat="1" applyFont="1" applyBorder="1">
      <alignment vertical="center"/>
    </xf>
    <xf numFmtId="0" fontId="19" fillId="24" borderId="0" xfId="40" applyFont="1" applyFill="1" applyAlignment="1">
      <alignment vertical="center"/>
      <protection locked="0"/>
    </xf>
    <xf numFmtId="0" fontId="31" fillId="24" borderId="28" xfId="40" applyFont="1" applyFill="1" applyBorder="1" applyAlignment="1">
      <alignment vertical="center"/>
      <protection locked="0"/>
    </xf>
    <xf numFmtId="49" fontId="31" fillId="24" borderId="34" xfId="40" applyNumberFormat="1" applyFont="1" applyFill="1" applyBorder="1" applyAlignment="1">
      <alignment horizontal="center" vertical="center"/>
      <protection locked="0"/>
    </xf>
    <xf numFmtId="189" fontId="31" fillId="24" borderId="18" xfId="40" applyNumberFormat="1" applyFont="1" applyFill="1" applyBorder="1" applyAlignment="1">
      <alignment vertical="center"/>
      <protection locked="0"/>
    </xf>
    <xf numFmtId="183" fontId="19" fillId="24" borderId="18" xfId="40" applyNumberFormat="1" applyFont="1" applyFill="1" applyBorder="1" applyAlignment="1">
      <alignment vertical="center"/>
      <protection locked="0"/>
    </xf>
    <xf numFmtId="195" fontId="78" fillId="24" borderId="34" xfId="40" applyNumberFormat="1" applyFont="1" applyFill="1" applyBorder="1" applyAlignment="1">
      <alignment horizontal="right" vertical="center"/>
      <protection locked="0"/>
    </xf>
    <xf numFmtId="0" fontId="19" fillId="24" borderId="0" xfId="40" applyFont="1" applyFill="1" applyAlignment="1" applyProtection="1">
      <alignment vertical="center"/>
    </xf>
    <xf numFmtId="0" fontId="78" fillId="24" borderId="28" xfId="40" applyFont="1" applyFill="1" applyBorder="1" applyAlignment="1">
      <alignment vertical="center"/>
      <protection locked="0"/>
    </xf>
    <xf numFmtId="49" fontId="78" fillId="24" borderId="34" xfId="40" applyNumberFormat="1" applyFont="1" applyFill="1" applyBorder="1" applyAlignment="1">
      <alignment horizontal="center" vertical="center"/>
      <protection locked="0"/>
    </xf>
    <xf numFmtId="43" fontId="78" fillId="0" borderId="0" xfId="7" applyFont="1" applyBorder="1" applyAlignment="1" applyProtection="1">
      <alignment horizontal="right" vertical="center"/>
      <protection locked="0"/>
    </xf>
    <xf numFmtId="176" fontId="37" fillId="0" borderId="0" xfId="6" quotePrefix="1" applyNumberFormat="1" applyAlignment="1"/>
    <xf numFmtId="0" fontId="0" fillId="0" borderId="62" xfId="0" applyBorder="1" applyAlignment="1">
      <alignment horizontal="center" vertical="center"/>
    </xf>
    <xf numFmtId="0" fontId="0" fillId="3" borderId="62" xfId="0" applyFill="1" applyBorder="1" applyAlignment="1">
      <alignment horizontal="center" vertical="center"/>
    </xf>
    <xf numFmtId="192" fontId="0" fillId="0" borderId="62" xfId="7" applyNumberFormat="1" applyFont="1" applyFill="1" applyBorder="1">
      <alignment vertical="center"/>
    </xf>
    <xf numFmtId="192" fontId="0" fillId="0" borderId="62" xfId="7" applyNumberFormat="1" applyFont="1" applyBorder="1" applyProtection="1">
      <alignment vertical="center"/>
      <protection locked="0"/>
    </xf>
    <xf numFmtId="192" fontId="133" fillId="0" borderId="62" xfId="7" applyNumberFormat="1" applyFont="1" applyBorder="1">
      <alignment vertical="center"/>
    </xf>
    <xf numFmtId="192" fontId="52" fillId="0" borderId="62" xfId="7" applyNumberFormat="1" applyFont="1" applyBorder="1">
      <alignment vertical="center"/>
    </xf>
    <xf numFmtId="0" fontId="52" fillId="0" borderId="0" xfId="0" applyFont="1" applyBorder="1" applyAlignment="1">
      <alignment horizontal="right" vertical="center"/>
    </xf>
    <xf numFmtId="0" fontId="0" fillId="16" borderId="62" xfId="0" applyFill="1" applyBorder="1" applyAlignment="1">
      <alignment horizontal="center" vertical="center"/>
    </xf>
    <xf numFmtId="181" fontId="0" fillId="0" borderId="62" xfId="8" applyNumberFormat="1" applyFont="1" applyBorder="1">
      <alignment vertical="center"/>
    </xf>
    <xf numFmtId="192" fontId="0" fillId="0" borderId="62" xfId="7" applyNumberFormat="1" applyFont="1" applyBorder="1" applyAlignment="1">
      <alignment vertical="center"/>
    </xf>
    <xf numFmtId="192" fontId="0" fillId="16" borderId="62" xfId="7" applyNumberFormat="1" applyFont="1" applyFill="1" applyBorder="1">
      <alignment vertical="center"/>
    </xf>
    <xf numFmtId="43" fontId="0" fillId="16" borderId="62" xfId="7" applyFont="1" applyFill="1" applyBorder="1">
      <alignment vertical="center"/>
    </xf>
    <xf numFmtId="201" fontId="0" fillId="0" borderId="62" xfId="7" applyNumberFormat="1" applyFont="1" applyBorder="1">
      <alignment vertical="center"/>
    </xf>
    <xf numFmtId="192" fontId="166" fillId="0" borderId="62" xfId="7" applyNumberFormat="1" applyFont="1" applyBorder="1">
      <alignment vertical="center"/>
    </xf>
    <xf numFmtId="192" fontId="166" fillId="30" borderId="62" xfId="7" applyNumberFormat="1" applyFont="1" applyFill="1" applyBorder="1">
      <alignment vertical="center"/>
    </xf>
    <xf numFmtId="43" fontId="166" fillId="30" borderId="62" xfId="7" applyFont="1" applyFill="1" applyBorder="1">
      <alignment vertical="center"/>
    </xf>
    <xf numFmtId="181" fontId="166" fillId="30" borderId="62" xfId="8" applyNumberFormat="1" applyFont="1" applyFill="1" applyBorder="1">
      <alignment vertical="center"/>
    </xf>
    <xf numFmtId="10" fontId="166" fillId="30" borderId="62" xfId="8" applyNumberFormat="1" applyFont="1" applyFill="1" applyBorder="1">
      <alignment vertical="center"/>
    </xf>
    <xf numFmtId="43" fontId="126" fillId="0" borderId="62" xfId="7" applyFont="1" applyBorder="1">
      <alignment vertical="center"/>
    </xf>
    <xf numFmtId="201" fontId="126" fillId="0" borderId="62" xfId="7" applyNumberFormat="1" applyFont="1" applyBorder="1">
      <alignment vertical="center"/>
    </xf>
    <xf numFmtId="0" fontId="41" fillId="0" borderId="0" xfId="0" applyFont="1">
      <alignment vertical="center"/>
    </xf>
    <xf numFmtId="0" fontId="45" fillId="30" borderId="0" xfId="0" applyFont="1" applyFill="1" applyBorder="1" applyAlignment="1">
      <alignment horizontal="left" vertical="center" indent="2"/>
    </xf>
    <xf numFmtId="0" fontId="45" fillId="30" borderId="3" xfId="0" applyFont="1" applyFill="1" applyBorder="1" applyAlignment="1">
      <alignment horizontal="left" vertical="center" indent="2"/>
    </xf>
    <xf numFmtId="0" fontId="127" fillId="0" borderId="0" xfId="43" applyFont="1" applyFill="1" applyAlignment="1">
      <alignment horizontal="center" vertical="center"/>
    </xf>
    <xf numFmtId="0" fontId="125" fillId="0" borderId="50" xfId="43" applyFont="1" applyFill="1" applyBorder="1" applyAlignment="1">
      <alignment horizontal="center" vertical="center"/>
    </xf>
    <xf numFmtId="0" fontId="133" fillId="0" borderId="12" xfId="0" applyFont="1" applyBorder="1">
      <alignment vertical="center"/>
    </xf>
    <xf numFmtId="200" fontId="125" fillId="0" borderId="18" xfId="44" applyNumberFormat="1" applyFont="1" applyFill="1" applyBorder="1" applyAlignment="1">
      <alignment horizontal="right" vertical="center"/>
    </xf>
    <xf numFmtId="202" fontId="125" fillId="0" borderId="18" xfId="43" applyNumberFormat="1" applyFont="1" applyFill="1" applyBorder="1">
      <alignment vertical="center"/>
    </xf>
    <xf numFmtId="0" fontId="0" fillId="0" borderId="0" xfId="0" applyFill="1">
      <alignment vertical="center"/>
    </xf>
    <xf numFmtId="0" fontId="0" fillId="0" borderId="0" xfId="0">
      <alignment vertical="center"/>
    </xf>
    <xf numFmtId="43" fontId="0" fillId="0" borderId="0" xfId="7" applyFont="1" applyFill="1">
      <alignment vertical="center"/>
    </xf>
    <xf numFmtId="10" fontId="0" fillId="0" borderId="0" xfId="8" applyNumberFormat="1" applyFont="1">
      <alignment vertical="center"/>
    </xf>
    <xf numFmtId="43" fontId="126" fillId="0" borderId="0" xfId="7" applyFont="1" applyBorder="1">
      <alignment vertical="center"/>
    </xf>
    <xf numFmtId="0" fontId="126" fillId="0" borderId="0" xfId="43" applyFont="1" applyBorder="1" applyAlignment="1">
      <alignment horizontal="right" vertical="center"/>
    </xf>
    <xf numFmtId="10" fontId="126" fillId="0" borderId="0" xfId="43" applyNumberFormat="1" applyFont="1" applyBorder="1">
      <alignment vertical="center"/>
    </xf>
    <xf numFmtId="0" fontId="18" fillId="0" borderId="0" xfId="43" applyFont="1">
      <alignment vertical="center"/>
    </xf>
    <xf numFmtId="0" fontId="0" fillId="33" borderId="62" xfId="0" applyFill="1" applyBorder="1">
      <alignment vertical="center"/>
    </xf>
    <xf numFmtId="0" fontId="0" fillId="33" borderId="12" xfId="0" applyFill="1" applyBorder="1" applyAlignment="1">
      <alignment horizontal="center" vertical="center"/>
    </xf>
    <xf numFmtId="0" fontId="18" fillId="33" borderId="62" xfId="43" applyFont="1" applyFill="1" applyBorder="1">
      <alignment vertical="center"/>
    </xf>
    <xf numFmtId="206" fontId="126" fillId="33" borderId="12" xfId="7" applyNumberFormat="1" applyFont="1" applyFill="1" applyBorder="1">
      <alignment vertical="center"/>
    </xf>
    <xf numFmtId="206" fontId="126" fillId="33" borderId="62" xfId="7" applyNumberFormat="1" applyFont="1" applyFill="1" applyBorder="1">
      <alignment vertical="center"/>
    </xf>
    <xf numFmtId="206" fontId="126" fillId="33" borderId="62" xfId="43" applyNumberFormat="1" applyFont="1" applyFill="1" applyBorder="1">
      <alignment vertical="center"/>
    </xf>
    <xf numFmtId="0" fontId="126" fillId="33" borderId="0" xfId="43" applyFont="1" applyFill="1">
      <alignment vertical="center"/>
    </xf>
    <xf numFmtId="0" fontId="126" fillId="33" borderId="0" xfId="43" applyFont="1" applyFill="1" applyAlignment="1">
      <alignment horizontal="right" vertical="center"/>
    </xf>
    <xf numFmtId="0" fontId="133" fillId="33" borderId="12" xfId="0" applyFont="1" applyFill="1" applyBorder="1">
      <alignment vertical="center"/>
    </xf>
    <xf numFmtId="192" fontId="125" fillId="0" borderId="0" xfId="7" applyNumberFormat="1" applyFont="1" applyFill="1" applyBorder="1" applyAlignment="1">
      <alignment horizontal="center" vertical="center"/>
    </xf>
    <xf numFmtId="203" fontId="125" fillId="0" borderId="0" xfId="48" applyNumberFormat="1" applyFont="1" applyFill="1" applyBorder="1">
      <alignment vertical="center"/>
    </xf>
    <xf numFmtId="198" fontId="149" fillId="0" borderId="0" xfId="48" applyFont="1" applyBorder="1" applyAlignment="1">
      <alignment horizontal="center" vertical="center"/>
    </xf>
    <xf numFmtId="0" fontId="72" fillId="0" borderId="0" xfId="0" applyFont="1">
      <alignment vertical="center"/>
    </xf>
    <xf numFmtId="206" fontId="0" fillId="0" borderId="62" xfId="0" applyNumberFormat="1" applyBorder="1" applyAlignment="1">
      <alignment horizontal="center" vertical="center"/>
    </xf>
    <xf numFmtId="198" fontId="137" fillId="23" borderId="0" xfId="48" applyNumberFormat="1" applyFont="1" applyFill="1" applyBorder="1">
      <alignment vertical="center"/>
    </xf>
    <xf numFmtId="10" fontId="125" fillId="0" borderId="18" xfId="8" applyNumberFormat="1" applyFont="1" applyFill="1" applyBorder="1" applyAlignment="1">
      <alignment horizontal="center" vertical="center"/>
    </xf>
    <xf numFmtId="43" fontId="126" fillId="0" borderId="0" xfId="7" applyFont="1">
      <alignment vertical="center"/>
    </xf>
    <xf numFmtId="0" fontId="125" fillId="0" borderId="0" xfId="43" applyFont="1" applyFill="1" applyAlignment="1">
      <alignment horizontal="right" vertical="center" wrapText="1"/>
    </xf>
    <xf numFmtId="0" fontId="18" fillId="0" borderId="0" xfId="43" applyFont="1" applyAlignment="1">
      <alignment horizontal="right" vertical="center"/>
    </xf>
    <xf numFmtId="0" fontId="125" fillId="0" borderId="0" xfId="43" applyFont="1" applyFill="1" applyAlignment="1">
      <alignment horizontal="right" vertical="center"/>
    </xf>
    <xf numFmtId="43" fontId="18" fillId="0" borderId="0" xfId="7" applyFont="1" applyAlignment="1">
      <alignment horizontal="right" vertical="center"/>
    </xf>
    <xf numFmtId="43" fontId="125" fillId="16" borderId="0" xfId="7" applyFont="1" applyFill="1" applyAlignment="1">
      <alignment vertical="center" wrapText="1"/>
    </xf>
    <xf numFmtId="192" fontId="125" fillId="34" borderId="18" xfId="44" applyNumberFormat="1" applyFont="1" applyFill="1" applyBorder="1" applyAlignment="1">
      <alignment horizontal="center" vertical="center"/>
    </xf>
    <xf numFmtId="43" fontId="125" fillId="0" borderId="18" xfId="7" applyFont="1" applyFill="1" applyBorder="1" applyAlignment="1">
      <alignment horizontal="left" vertical="top" wrapText="1"/>
    </xf>
    <xf numFmtId="192" fontId="126" fillId="0" borderId="0" xfId="7" applyNumberFormat="1" applyFont="1">
      <alignment vertical="center"/>
    </xf>
    <xf numFmtId="206" fontId="0" fillId="0" borderId="18" xfId="0" applyNumberFormat="1" applyBorder="1">
      <alignment vertical="center"/>
    </xf>
    <xf numFmtId="10" fontId="0" fillId="0" borderId="18" xfId="8" applyNumberFormat="1" applyFont="1" applyBorder="1">
      <alignment vertical="center"/>
    </xf>
    <xf numFmtId="192" fontId="0" fillId="0" borderId="18" xfId="7" applyNumberFormat="1" applyFont="1" applyBorder="1">
      <alignment vertical="center"/>
    </xf>
    <xf numFmtId="192" fontId="125" fillId="35" borderId="18" xfId="44" applyNumberFormat="1" applyFont="1" applyFill="1" applyBorder="1" applyAlignment="1">
      <alignment horizontal="center" vertical="center"/>
    </xf>
    <xf numFmtId="0" fontId="127" fillId="3" borderId="62" xfId="43" applyFont="1" applyFill="1" applyBorder="1" applyAlignment="1">
      <alignment horizontal="center" vertical="center"/>
    </xf>
    <xf numFmtId="0" fontId="127" fillId="3" borderId="62" xfId="43" applyFont="1" applyFill="1" applyBorder="1">
      <alignment vertical="center"/>
    </xf>
    <xf numFmtId="0" fontId="125" fillId="3" borderId="62" xfId="43" applyFont="1" applyFill="1" applyBorder="1" applyAlignment="1">
      <alignment vertical="center"/>
    </xf>
    <xf numFmtId="192" fontId="130" fillId="0" borderId="0" xfId="7" applyNumberFormat="1" applyFont="1" applyFill="1" applyBorder="1">
      <alignment vertical="center"/>
    </xf>
    <xf numFmtId="43" fontId="53" fillId="11" borderId="65" xfId="7" applyFont="1" applyFill="1" applyBorder="1">
      <alignment vertical="center"/>
    </xf>
    <xf numFmtId="43" fontId="160" fillId="11" borderId="65" xfId="7" applyFont="1" applyFill="1" applyBorder="1">
      <alignment vertical="center"/>
    </xf>
    <xf numFmtId="43" fontId="53" fillId="11" borderId="65" xfId="7" applyFont="1" applyFill="1" applyBorder="1" applyAlignment="1">
      <alignment vertical="center" wrapText="1"/>
    </xf>
    <xf numFmtId="43" fontId="53" fillId="11" borderId="62" xfId="7" applyFont="1" applyFill="1" applyBorder="1" applyAlignment="1">
      <alignment vertical="center" wrapText="1"/>
    </xf>
    <xf numFmtId="43" fontId="0" fillId="30" borderId="62" xfId="7" applyFont="1" applyFill="1" applyBorder="1">
      <alignment vertical="center"/>
    </xf>
    <xf numFmtId="9" fontId="0" fillId="0" borderId="62" xfId="8" applyFont="1" applyBorder="1">
      <alignment vertical="center"/>
    </xf>
    <xf numFmtId="0" fontId="42" fillId="3" borderId="0" xfId="30" applyFill="1" applyBorder="1">
      <alignment vertical="center"/>
    </xf>
    <xf numFmtId="0" fontId="42" fillId="0" borderId="0" xfId="30" applyBorder="1">
      <alignment vertical="center"/>
    </xf>
    <xf numFmtId="192" fontId="0" fillId="16" borderId="12" xfId="7" applyNumberFormat="1" applyFont="1" applyFill="1" applyBorder="1">
      <alignment vertical="center"/>
    </xf>
    <xf numFmtId="0" fontId="42" fillId="3" borderId="0" xfId="30" applyFill="1" applyBorder="1" applyProtection="1">
      <alignment vertical="center"/>
      <protection locked="0"/>
    </xf>
    <xf numFmtId="0" fontId="125" fillId="0" borderId="0" xfId="43" applyFont="1" applyFill="1">
      <alignment vertical="center"/>
    </xf>
    <xf numFmtId="0" fontId="127" fillId="26" borderId="41" xfId="43" applyFont="1" applyFill="1" applyBorder="1">
      <alignment vertical="center"/>
    </xf>
    <xf numFmtId="0" fontId="127" fillId="25" borderId="9" xfId="43" applyFont="1" applyFill="1" applyBorder="1" applyAlignment="1">
      <alignment horizontal="center" vertical="center"/>
    </xf>
    <xf numFmtId="0" fontId="127" fillId="25" borderId="43" xfId="43" applyFont="1" applyFill="1" applyBorder="1" applyAlignment="1">
      <alignment horizontal="center" vertical="center"/>
    </xf>
    <xf numFmtId="0" fontId="127" fillId="25" borderId="41" xfId="43" applyFont="1" applyFill="1" applyBorder="1" applyAlignment="1">
      <alignment horizontal="center" vertical="center"/>
    </xf>
    <xf numFmtId="0" fontId="136" fillId="0" borderId="0" xfId="0" applyFont="1" applyFill="1" applyBorder="1">
      <alignment vertical="center"/>
    </xf>
    <xf numFmtId="0" fontId="136" fillId="0" borderId="0" xfId="0" applyFont="1" applyFill="1" applyBorder="1" applyAlignment="1">
      <alignment horizontal="center" vertical="center"/>
    </xf>
    <xf numFmtId="198" fontId="136" fillId="0" borderId="0" xfId="0" applyNumberFormat="1" applyFont="1" applyFill="1" applyBorder="1" applyAlignment="1">
      <alignment horizontal="right" vertical="center"/>
    </xf>
    <xf numFmtId="43" fontId="0" fillId="0" borderId="75" xfId="7" applyFont="1" applyBorder="1">
      <alignment vertical="center"/>
    </xf>
    <xf numFmtId="43" fontId="136" fillId="0" borderId="0" xfId="7" applyFont="1" applyFill="1" applyBorder="1">
      <alignment vertical="center"/>
    </xf>
    <xf numFmtId="1" fontId="52" fillId="3" borderId="0" xfId="0" applyNumberFormat="1" applyFont="1" applyFill="1" applyBorder="1" applyAlignment="1" applyProtection="1">
      <alignment horizontal="right" vertical="center"/>
      <protection locked="0"/>
    </xf>
    <xf numFmtId="1" fontId="52" fillId="3" borderId="63" xfId="0" applyNumberFormat="1" applyFont="1" applyFill="1" applyBorder="1" applyAlignment="1" applyProtection="1">
      <alignment horizontal="right" vertical="center"/>
      <protection locked="0"/>
    </xf>
    <xf numFmtId="1" fontId="45" fillId="0" borderId="47" xfId="0" applyNumberFormat="1" applyFont="1" applyFill="1" applyBorder="1" applyAlignment="1" applyProtection="1">
      <alignment horizontal="right" vertical="center"/>
      <protection locked="0"/>
    </xf>
    <xf numFmtId="43" fontId="0" fillId="36" borderId="0" xfId="7" applyFont="1" applyFill="1">
      <alignment vertical="center"/>
    </xf>
    <xf numFmtId="43" fontId="72" fillId="0" borderId="0" xfId="7" applyFont="1">
      <alignment vertical="center"/>
    </xf>
    <xf numFmtId="206" fontId="72" fillId="0" borderId="0" xfId="0" applyNumberFormat="1" applyFont="1">
      <alignment vertical="center"/>
    </xf>
    <xf numFmtId="43" fontId="0" fillId="36" borderId="62" xfId="7" applyFont="1" applyFill="1" applyBorder="1">
      <alignment vertical="center"/>
    </xf>
    <xf numFmtId="43" fontId="0" fillId="34" borderId="41" xfId="7" applyFont="1" applyFill="1" applyBorder="1">
      <alignment vertical="center"/>
    </xf>
    <xf numFmtId="43" fontId="0" fillId="0" borderId="9" xfId="7" applyFont="1" applyBorder="1">
      <alignment vertical="center"/>
    </xf>
    <xf numFmtId="43" fontId="0" fillId="0" borderId="43" xfId="7" applyFont="1" applyBorder="1" applyAlignment="1">
      <alignment horizontal="center" vertical="center"/>
    </xf>
    <xf numFmtId="43" fontId="0" fillId="0" borderId="10" xfId="7" applyFont="1" applyBorder="1" applyAlignment="1">
      <alignment horizontal="center" vertical="center"/>
    </xf>
    <xf numFmtId="43" fontId="0" fillId="0" borderId="11" xfId="7" applyFont="1" applyBorder="1">
      <alignment vertical="center"/>
    </xf>
    <xf numFmtId="10" fontId="0" fillId="0" borderId="11" xfId="8" applyNumberFormat="1" applyFont="1" applyBorder="1">
      <alignment vertical="center"/>
    </xf>
    <xf numFmtId="43" fontId="0" fillId="0" borderId="75" xfId="7" applyFont="1" applyBorder="1" applyAlignment="1">
      <alignment horizontal="center" vertical="center"/>
    </xf>
    <xf numFmtId="10" fontId="0" fillId="0" borderId="77" xfId="8" applyNumberFormat="1" applyFont="1" applyBorder="1">
      <alignment vertical="center"/>
    </xf>
    <xf numFmtId="10" fontId="0" fillId="0" borderId="76" xfId="8" applyNumberFormat="1" applyFont="1" applyBorder="1">
      <alignment vertical="center"/>
    </xf>
    <xf numFmtId="43" fontId="0" fillId="34" borderId="41" xfId="7" applyFont="1" applyFill="1" applyBorder="1" applyAlignment="1">
      <alignment horizontal="center" vertical="center"/>
    </xf>
    <xf numFmtId="43" fontId="0" fillId="0" borderId="76" xfId="7" applyFont="1" applyBorder="1">
      <alignment vertical="center"/>
    </xf>
    <xf numFmtId="43" fontId="0" fillId="36" borderId="41" xfId="7" applyFont="1" applyFill="1" applyBorder="1">
      <alignment vertical="center"/>
    </xf>
    <xf numFmtId="9" fontId="0" fillId="0" borderId="11" xfId="7" applyNumberFormat="1" applyFont="1" applyBorder="1">
      <alignment vertical="center"/>
    </xf>
    <xf numFmtId="43" fontId="0" fillId="0" borderId="77" xfId="7" applyFont="1" applyBorder="1">
      <alignment vertical="center"/>
    </xf>
    <xf numFmtId="196" fontId="0" fillId="0" borderId="76" xfId="8" applyNumberFormat="1" applyFont="1" applyBorder="1">
      <alignment vertical="center"/>
    </xf>
    <xf numFmtId="10" fontId="0" fillId="0" borderId="77" xfId="8" applyNumberFormat="1" applyFont="1" applyBorder="1" applyAlignment="1">
      <alignment horizontal="center" vertical="center"/>
    </xf>
    <xf numFmtId="0" fontId="125" fillId="0" borderId="0" xfId="43" applyFont="1" applyFill="1">
      <alignment vertical="center"/>
    </xf>
    <xf numFmtId="211" fontId="136" fillId="0" borderId="0" xfId="7" applyNumberFormat="1" applyFont="1" applyFill="1">
      <alignment vertical="center"/>
    </xf>
    <xf numFmtId="0" fontId="136" fillId="0" borderId="11" xfId="0" quotePrefix="1" applyFont="1" applyBorder="1" applyAlignment="1">
      <alignment horizontal="center" vertical="center"/>
    </xf>
    <xf numFmtId="181" fontId="0" fillId="0" borderId="76" xfId="8" applyNumberFormat="1" applyFont="1" applyBorder="1">
      <alignment vertical="center"/>
    </xf>
    <xf numFmtId="43" fontId="0" fillId="0" borderId="0" xfId="7" applyFont="1" applyBorder="1">
      <alignment vertical="center"/>
    </xf>
    <xf numFmtId="43" fontId="0" fillId="3" borderId="0" xfId="7" applyFont="1" applyFill="1" applyBorder="1">
      <alignment vertical="center"/>
    </xf>
    <xf numFmtId="43" fontId="41" fillId="3" borderId="0" xfId="7" applyFont="1" applyFill="1" applyBorder="1">
      <alignment vertical="center"/>
    </xf>
    <xf numFmtId="43" fontId="41" fillId="3" borderId="0" xfId="7" applyFont="1" applyFill="1" applyBorder="1" applyAlignment="1">
      <alignment horizontal="center" vertical="center"/>
    </xf>
    <xf numFmtId="43" fontId="0" fillId="0" borderId="9" xfId="7" applyFont="1" applyBorder="1" applyAlignment="1">
      <alignment horizontal="center" vertical="center"/>
    </xf>
    <xf numFmtId="0" fontId="39" fillId="5" borderId="0" xfId="0" applyFont="1" applyFill="1" applyBorder="1" applyAlignment="1">
      <alignment horizontal="center" vertical="center"/>
    </xf>
    <xf numFmtId="0" fontId="0" fillId="3" borderId="0" xfId="0" applyFill="1" applyBorder="1">
      <alignment vertical="center"/>
    </xf>
    <xf numFmtId="0" fontId="41" fillId="3" borderId="0" xfId="0" applyFont="1" applyFill="1" applyBorder="1">
      <alignment vertical="center"/>
    </xf>
    <xf numFmtId="0" fontId="41" fillId="3" borderId="0" xfId="0" applyFont="1" applyFill="1" applyBorder="1" applyAlignment="1">
      <alignment horizontal="right" vertical="center"/>
    </xf>
    <xf numFmtId="0" fontId="41" fillId="5" borderId="0" xfId="0" applyFont="1" applyFill="1" applyBorder="1" applyAlignment="1">
      <alignment horizontal="right" vertical="center"/>
    </xf>
    <xf numFmtId="0" fontId="41" fillId="3" borderId="0" xfId="0" applyFont="1" applyFill="1" applyBorder="1" applyAlignment="1">
      <alignment horizontal="center" vertical="center"/>
    </xf>
    <xf numFmtId="0" fontId="0" fillId="0" borderId="0" xfId="0" applyBorder="1">
      <alignment vertical="center"/>
    </xf>
    <xf numFmtId="0" fontId="42" fillId="3" borderId="0" xfId="30" applyFill="1" applyBorder="1">
      <alignment vertical="center"/>
    </xf>
    <xf numFmtId="0" fontId="41" fillId="3" borderId="0" xfId="30" applyFont="1" applyFill="1" applyBorder="1">
      <alignment vertical="center"/>
    </xf>
    <xf numFmtId="0" fontId="44" fillId="3" borderId="0" xfId="30" applyFont="1" applyFill="1" applyBorder="1" applyAlignment="1">
      <alignment horizontal="right" vertical="center"/>
    </xf>
    <xf numFmtId="0" fontId="44" fillId="5" borderId="0" xfId="30" applyFont="1" applyFill="1" applyBorder="1" applyAlignment="1">
      <alignment horizontal="right" vertical="center"/>
    </xf>
    <xf numFmtId="0" fontId="44" fillId="3" borderId="0" xfId="30" applyFont="1" applyFill="1" applyBorder="1" applyAlignment="1">
      <alignment horizontal="center" vertical="center"/>
    </xf>
    <xf numFmtId="0" fontId="45" fillId="0" borderId="0" xfId="30" applyFont="1" applyBorder="1">
      <alignment vertical="center"/>
    </xf>
    <xf numFmtId="0" fontId="42" fillId="0" borderId="0" xfId="30" applyBorder="1">
      <alignment vertical="center"/>
    </xf>
    <xf numFmtId="0" fontId="127" fillId="5" borderId="17" xfId="43" applyFont="1" applyFill="1" applyBorder="1" applyAlignment="1">
      <alignment horizontal="center" vertical="center"/>
    </xf>
    <xf numFmtId="0" fontId="127" fillId="4" borderId="17" xfId="43" applyFont="1" applyFill="1" applyBorder="1" applyAlignment="1">
      <alignment horizontal="center" vertical="center"/>
    </xf>
    <xf numFmtId="0" fontId="127" fillId="5" borderId="17" xfId="43" applyFont="1" applyFill="1" applyBorder="1" applyAlignment="1">
      <alignment horizontal="center" vertical="center" wrapText="1"/>
    </xf>
    <xf numFmtId="0" fontId="125" fillId="0" borderId="0" xfId="43" applyFont="1" applyFill="1">
      <alignment vertical="center"/>
    </xf>
    <xf numFmtId="43" fontId="127" fillId="5" borderId="17" xfId="7" applyFont="1" applyFill="1" applyBorder="1" applyAlignment="1">
      <alignment horizontal="center" vertical="center"/>
    </xf>
    <xf numFmtId="0" fontId="127" fillId="0" borderId="17" xfId="43" applyFont="1" applyFill="1" applyBorder="1" applyAlignment="1">
      <alignment horizontal="center" vertical="center"/>
    </xf>
    <xf numFmtId="206" fontId="17" fillId="0" borderId="0" xfId="0" applyNumberFormat="1" applyFont="1">
      <alignment vertical="center"/>
    </xf>
    <xf numFmtId="0" fontId="41" fillId="3" borderId="0" xfId="30" applyFont="1" applyFill="1" applyBorder="1" applyAlignment="1">
      <alignment horizontal="right" vertical="center"/>
    </xf>
    <xf numFmtId="0" fontId="41" fillId="5" borderId="0" xfId="30" applyFont="1" applyFill="1" applyBorder="1" applyAlignment="1">
      <alignment horizontal="right" vertical="center"/>
    </xf>
    <xf numFmtId="0" fontId="41" fillId="3" borderId="0" xfId="30" applyFont="1" applyFill="1" applyBorder="1" applyAlignment="1" applyProtection="1">
      <alignment horizontal="right" vertical="center"/>
      <protection locked="0"/>
    </xf>
    <xf numFmtId="0" fontId="41" fillId="5" borderId="0" xfId="30" applyFont="1" applyFill="1" applyBorder="1" applyAlignment="1" applyProtection="1">
      <alignment horizontal="right" vertical="center"/>
      <protection locked="0"/>
    </xf>
    <xf numFmtId="0" fontId="41" fillId="5" borderId="0" xfId="30" applyFont="1" applyFill="1" applyBorder="1" applyAlignment="1">
      <alignment vertical="center"/>
    </xf>
    <xf numFmtId="0" fontId="41" fillId="5" borderId="0" xfId="30" applyFont="1" applyFill="1" applyBorder="1" applyAlignment="1" applyProtection="1">
      <alignment vertical="center"/>
      <protection locked="0"/>
    </xf>
    <xf numFmtId="0" fontId="127" fillId="3" borderId="17" xfId="43" applyFont="1" applyFill="1" applyBorder="1" applyAlignment="1">
      <alignment horizontal="center" vertical="center"/>
    </xf>
    <xf numFmtId="43" fontId="142" fillId="21" borderId="42" xfId="7" applyFont="1" applyFill="1" applyBorder="1" applyAlignment="1">
      <alignment horizontal="center" vertical="center"/>
    </xf>
    <xf numFmtId="206" fontId="17" fillId="0" borderId="62" xfId="0" applyNumberFormat="1" applyFont="1" applyBorder="1">
      <alignment vertical="center"/>
    </xf>
    <xf numFmtId="43" fontId="17" fillId="20" borderId="62" xfId="32" applyFont="1" applyFill="1" applyBorder="1" applyAlignment="1"/>
    <xf numFmtId="206" fontId="17" fillId="0" borderId="62" xfId="0" applyNumberFormat="1" applyFont="1" applyBorder="1" applyAlignment="1">
      <alignment horizontal="left" vertical="center" indent="1"/>
    </xf>
    <xf numFmtId="206" fontId="17" fillId="0" borderId="62" xfId="0" applyNumberFormat="1" applyFont="1" applyBorder="1" applyAlignment="1">
      <alignment horizontal="left" vertical="center"/>
    </xf>
    <xf numFmtId="43" fontId="17" fillId="0" borderId="62" xfId="32" applyFont="1" applyFill="1" applyBorder="1" applyAlignment="1"/>
    <xf numFmtId="3" fontId="99" fillId="0" borderId="79" xfId="0" applyNumberFormat="1" applyFont="1" applyBorder="1" applyAlignment="1" applyProtection="1">
      <alignment vertical="center"/>
      <protection locked="0"/>
    </xf>
    <xf numFmtId="3" fontId="78" fillId="0" borderId="79" xfId="0" applyNumberFormat="1" applyFont="1" applyBorder="1" applyAlignment="1" applyProtection="1">
      <alignment vertical="center"/>
      <protection locked="0"/>
    </xf>
    <xf numFmtId="0" fontId="78" fillId="0" borderId="79" xfId="0" applyFont="1" applyBorder="1" applyAlignment="1" applyProtection="1">
      <alignment vertical="center"/>
      <protection locked="0"/>
    </xf>
    <xf numFmtId="0" fontId="99" fillId="0" borderId="79" xfId="0" applyFont="1" applyBorder="1" applyAlignment="1" applyProtection="1">
      <alignment vertical="center"/>
      <protection locked="0"/>
    </xf>
    <xf numFmtId="0" fontId="168" fillId="0" borderId="79" xfId="0" applyFont="1" applyBorder="1" applyAlignment="1" applyProtection="1">
      <alignment vertical="center"/>
      <protection locked="0"/>
    </xf>
    <xf numFmtId="43" fontId="0" fillId="8" borderId="62" xfId="7" applyFont="1" applyFill="1" applyBorder="1">
      <alignment vertical="center"/>
    </xf>
    <xf numFmtId="181" fontId="0" fillId="0" borderId="0" xfId="8" applyNumberFormat="1" applyFont="1">
      <alignment vertical="center"/>
    </xf>
    <xf numFmtId="0" fontId="105" fillId="15" borderId="24" xfId="0" applyFont="1" applyFill="1" applyBorder="1" applyAlignment="1" applyProtection="1">
      <alignment horizontal="center" vertical="center" wrapText="1"/>
      <protection locked="0"/>
    </xf>
    <xf numFmtId="49" fontId="105" fillId="15" borderId="81" xfId="0" applyNumberFormat="1" applyFont="1" applyFill="1" applyBorder="1" applyAlignment="1" applyProtection="1">
      <alignment horizontal="center" vertical="center" wrapText="1"/>
      <protection locked="0"/>
    </xf>
    <xf numFmtId="195" fontId="78" fillId="8" borderId="79" xfId="0" applyNumberFormat="1" applyFont="1" applyFill="1" applyBorder="1" applyAlignment="1" applyProtection="1">
      <alignment horizontal="center" vertical="center"/>
      <protection locked="0"/>
    </xf>
    <xf numFmtId="192" fontId="0" fillId="8" borderId="62" xfId="7" applyNumberFormat="1" applyFont="1" applyFill="1" applyBorder="1">
      <alignment vertical="center"/>
    </xf>
    <xf numFmtId="0" fontId="114" fillId="7" borderId="0" xfId="30" applyFont="1" applyFill="1" applyBorder="1">
      <alignment vertical="center"/>
    </xf>
    <xf numFmtId="43" fontId="51" fillId="8" borderId="0" xfId="7" applyFont="1" applyFill="1" applyBorder="1" applyAlignment="1" applyProtection="1">
      <alignment horizontal="left" vertical="center"/>
      <protection locked="0"/>
    </xf>
    <xf numFmtId="43" fontId="45" fillId="0" borderId="0" xfId="7" applyFont="1" applyFill="1" applyBorder="1">
      <alignment vertical="center"/>
    </xf>
    <xf numFmtId="43" fontId="42" fillId="0" borderId="0" xfId="7" applyFont="1" applyFill="1" applyBorder="1">
      <alignment vertical="center"/>
    </xf>
    <xf numFmtId="0" fontId="78" fillId="0" borderId="80" xfId="0" applyFont="1" applyBorder="1" applyAlignment="1" applyProtection="1">
      <alignment vertical="center"/>
      <protection locked="0"/>
    </xf>
    <xf numFmtId="181" fontId="78" fillId="8" borderId="79" xfId="8" applyNumberFormat="1" applyFont="1" applyFill="1" applyBorder="1" applyAlignment="1" applyProtection="1">
      <alignment horizontal="center" vertical="center"/>
      <protection locked="0"/>
    </xf>
    <xf numFmtId="3" fontId="99" fillId="0" borderId="80" xfId="0" applyNumberFormat="1" applyFont="1" applyBorder="1" applyAlignment="1" applyProtection="1">
      <alignment vertical="center"/>
      <protection locked="0"/>
    </xf>
    <xf numFmtId="3" fontId="78" fillId="0" borderId="80" xfId="0" applyNumberFormat="1" applyFont="1" applyBorder="1" applyAlignment="1" applyProtection="1">
      <alignment vertical="center"/>
      <protection locked="0"/>
    </xf>
    <xf numFmtId="0" fontId="99" fillId="0" borderId="80" xfId="0" applyFont="1" applyBorder="1" applyAlignment="1" applyProtection="1">
      <alignment vertical="center"/>
      <protection locked="0"/>
    </xf>
    <xf numFmtId="0" fontId="168" fillId="0" borderId="80" xfId="0" applyFont="1" applyBorder="1" applyAlignment="1" applyProtection="1">
      <alignment vertical="center"/>
      <protection locked="0"/>
    </xf>
    <xf numFmtId="0" fontId="99" fillId="0" borderId="80" xfId="0" applyFont="1" applyBorder="1" applyAlignment="1" applyProtection="1">
      <alignment horizontal="center" vertical="center"/>
      <protection locked="0"/>
    </xf>
    <xf numFmtId="0" fontId="114" fillId="0" borderId="0" xfId="30" applyFont="1" applyBorder="1">
      <alignment vertical="center"/>
    </xf>
    <xf numFmtId="0" fontId="114" fillId="0" borderId="0" xfId="30" applyFont="1" applyFill="1" applyBorder="1">
      <alignment vertical="center"/>
    </xf>
    <xf numFmtId="0" fontId="39" fillId="5" borderId="0" xfId="0" applyFont="1" applyFill="1" applyBorder="1" applyAlignment="1">
      <alignment vertical="center"/>
    </xf>
    <xf numFmtId="0" fontId="44" fillId="5" borderId="0" xfId="30" applyFont="1" applyFill="1" applyBorder="1" applyAlignment="1">
      <alignment vertical="center"/>
    </xf>
    <xf numFmtId="10" fontId="17" fillId="20" borderId="62" xfId="8" applyNumberFormat="1" applyFont="1" applyFill="1" applyBorder="1" applyAlignment="1"/>
    <xf numFmtId="192" fontId="17" fillId="20" borderId="62" xfId="32" applyNumberFormat="1" applyFont="1" applyFill="1" applyBorder="1" applyAlignment="1"/>
    <xf numFmtId="9" fontId="17" fillId="0" borderId="62" xfId="8" applyFont="1" applyBorder="1">
      <alignment vertical="center"/>
    </xf>
    <xf numFmtId="10" fontId="17" fillId="0" borderId="62" xfId="8" applyNumberFormat="1" applyFont="1" applyBorder="1">
      <alignment vertical="center"/>
    </xf>
    <xf numFmtId="206" fontId="142" fillId="5" borderId="62" xfId="0" applyNumberFormat="1" applyFont="1" applyFill="1" applyBorder="1" applyAlignment="1">
      <alignment horizontal="center" vertical="center"/>
    </xf>
    <xf numFmtId="43" fontId="17" fillId="0" borderId="62" xfId="7" applyFont="1" applyFill="1" applyBorder="1" applyAlignment="1"/>
    <xf numFmtId="206" fontId="17" fillId="5" borderId="62" xfId="0" applyNumberFormat="1" applyFont="1" applyFill="1" applyBorder="1">
      <alignment vertical="center"/>
    </xf>
    <xf numFmtId="206" fontId="17" fillId="37" borderId="62" xfId="0" applyNumberFormat="1" applyFont="1" applyFill="1" applyBorder="1" applyAlignment="1">
      <alignment horizontal="center" vertical="center"/>
    </xf>
    <xf numFmtId="192" fontId="17" fillId="0" borderId="62" xfId="32" applyNumberFormat="1" applyFont="1" applyFill="1" applyBorder="1" applyAlignment="1"/>
    <xf numFmtId="10" fontId="17" fillId="0" borderId="62" xfId="8" applyNumberFormat="1" applyFont="1" applyFill="1" applyBorder="1" applyAlignment="1"/>
    <xf numFmtId="0" fontId="62" fillId="4" borderId="0" xfId="0" applyFont="1" applyFill="1" applyBorder="1" applyAlignment="1">
      <alignment vertical="center"/>
    </xf>
    <xf numFmtId="0" fontId="127" fillId="25" borderId="9" xfId="43" applyFont="1" applyFill="1" applyBorder="1" applyAlignment="1">
      <alignment horizontal="center" vertical="center"/>
    </xf>
    <xf numFmtId="0" fontId="127" fillId="25" borderId="43" xfId="43" applyFont="1" applyFill="1" applyBorder="1" applyAlignment="1">
      <alignment horizontal="center" vertical="center"/>
    </xf>
    <xf numFmtId="195" fontId="78" fillId="0" borderId="79" xfId="0" applyNumberFormat="1" applyFont="1" applyFill="1" applyBorder="1" applyAlignment="1" applyProtection="1">
      <alignment horizontal="center" vertical="center"/>
      <protection locked="0"/>
    </xf>
    <xf numFmtId="181" fontId="171" fillId="0" borderId="36" xfId="8" applyNumberFormat="1" applyFont="1" applyBorder="1" applyProtection="1">
      <alignment vertical="center"/>
    </xf>
    <xf numFmtId="181" fontId="172" fillId="24" borderId="36" xfId="8" applyNumberFormat="1" applyFont="1" applyFill="1" applyBorder="1" applyProtection="1">
      <alignment vertical="center"/>
      <protection locked="0"/>
    </xf>
    <xf numFmtId="181" fontId="172" fillId="7" borderId="36" xfId="8" applyNumberFormat="1" applyFont="1" applyFill="1" applyBorder="1" applyProtection="1">
      <alignment vertical="center"/>
      <protection locked="0"/>
    </xf>
    <xf numFmtId="181" fontId="172" fillId="7" borderId="36" xfId="8" applyNumberFormat="1" applyFont="1" applyFill="1" applyBorder="1" applyProtection="1">
      <alignment vertical="center"/>
    </xf>
    <xf numFmtId="181" fontId="173" fillId="7" borderId="36" xfId="8" applyNumberFormat="1" applyFont="1" applyFill="1" applyBorder="1" applyProtection="1">
      <alignment vertical="center"/>
      <protection locked="0"/>
    </xf>
    <xf numFmtId="181" fontId="171" fillId="0" borderId="36" xfId="8" applyNumberFormat="1" applyFont="1" applyBorder="1" applyAlignment="1" applyProtection="1">
      <alignment vertical="center"/>
    </xf>
    <xf numFmtId="181" fontId="171" fillId="0" borderId="0" xfId="8" applyNumberFormat="1" applyFont="1" applyBorder="1" applyAlignment="1" applyProtection="1">
      <alignment vertical="center"/>
    </xf>
    <xf numFmtId="181" fontId="172" fillId="7" borderId="0" xfId="8" applyNumberFormat="1" applyFont="1" applyFill="1" applyBorder="1" applyAlignment="1" applyProtection="1">
      <alignment vertical="center"/>
    </xf>
    <xf numFmtId="0" fontId="16" fillId="2" borderId="0" xfId="0" applyFont="1" applyFill="1" applyBorder="1">
      <alignment vertical="center"/>
    </xf>
    <xf numFmtId="0" fontId="170" fillId="2" borderId="0" xfId="0" applyFont="1" applyFill="1" applyBorder="1">
      <alignment vertical="center"/>
    </xf>
    <xf numFmtId="43" fontId="16" fillId="2" borderId="0" xfId="7" applyFont="1" applyFill="1" applyBorder="1">
      <alignment vertical="center"/>
    </xf>
    <xf numFmtId="2" fontId="170" fillId="2" borderId="0" xfId="0" applyNumberFormat="1" applyFont="1" applyFill="1" applyBorder="1">
      <alignment vertical="center"/>
    </xf>
    <xf numFmtId="0" fontId="95" fillId="2" borderId="0" xfId="0" applyFont="1" applyFill="1" applyBorder="1" applyAlignment="1">
      <alignment vertical="center"/>
    </xf>
    <xf numFmtId="0" fontId="16" fillId="0" borderId="0" xfId="0" applyFont="1">
      <alignment vertical="center"/>
    </xf>
    <xf numFmtId="0" fontId="16" fillId="0" borderId="0" xfId="0" applyFont="1" applyBorder="1">
      <alignment vertical="center"/>
    </xf>
    <xf numFmtId="0" fontId="16" fillId="5" borderId="0" xfId="0" applyFont="1" applyFill="1" applyBorder="1">
      <alignment vertical="center"/>
    </xf>
    <xf numFmtId="0" fontId="169" fillId="5" borderId="0" xfId="0" applyFont="1" applyFill="1" applyBorder="1">
      <alignment vertical="center"/>
    </xf>
    <xf numFmtId="0" fontId="142" fillId="5" borderId="0" xfId="0" applyFont="1" applyFill="1" applyBorder="1" applyAlignment="1">
      <alignment vertical="center"/>
    </xf>
    <xf numFmtId="0" fontId="174" fillId="3" borderId="0" xfId="0" applyFont="1" applyFill="1" applyBorder="1" applyAlignment="1">
      <alignment horizontal="center" vertical="center"/>
    </xf>
    <xf numFmtId="0" fontId="16" fillId="5" borderId="0" xfId="0" applyFont="1" applyFill="1" applyBorder="1">
      <alignment vertical="center"/>
    </xf>
    <xf numFmtId="0" fontId="142" fillId="5" borderId="0" xfId="0" applyFont="1" applyFill="1" applyBorder="1">
      <alignment vertical="center"/>
    </xf>
    <xf numFmtId="43" fontId="142" fillId="3" borderId="0" xfId="7" applyFont="1" applyFill="1" applyBorder="1" applyAlignment="1">
      <alignment horizontal="right" vertical="center"/>
    </xf>
    <xf numFmtId="43" fontId="142" fillId="5" borderId="0" xfId="7" applyFont="1" applyFill="1" applyBorder="1" applyAlignment="1">
      <alignment horizontal="right" vertical="center"/>
    </xf>
    <xf numFmtId="0" fontId="95" fillId="3" borderId="0" xfId="0" applyFont="1" applyFill="1" applyBorder="1" applyAlignment="1">
      <alignment horizontal="center" vertical="center"/>
    </xf>
    <xf numFmtId="0" fontId="16" fillId="0" borderId="0" xfId="0" applyFont="1" applyBorder="1">
      <alignment vertical="center"/>
    </xf>
    <xf numFmtId="0" fontId="142" fillId="7" borderId="2" xfId="0" applyFont="1" applyFill="1" applyBorder="1">
      <alignment vertical="center"/>
    </xf>
    <xf numFmtId="0" fontId="16" fillId="7" borderId="2" xfId="0" applyFont="1" applyFill="1" applyBorder="1">
      <alignment vertical="center"/>
    </xf>
    <xf numFmtId="0" fontId="16" fillId="0" borderId="2" xfId="0" applyFont="1" applyBorder="1" applyProtection="1">
      <alignment vertical="center"/>
    </xf>
    <xf numFmtId="183" fontId="16" fillId="7" borderId="2" xfId="0" applyNumberFormat="1" applyFont="1" applyFill="1" applyBorder="1" applyProtection="1">
      <alignment vertical="center"/>
    </xf>
    <xf numFmtId="0" fontId="95" fillId="0" borderId="2" xfId="0" applyFont="1" applyFill="1" applyBorder="1" applyAlignment="1" applyProtection="1">
      <alignment vertical="center"/>
      <protection locked="0"/>
    </xf>
    <xf numFmtId="0" fontId="16" fillId="7" borderId="0" xfId="0" applyFont="1" applyFill="1" applyBorder="1">
      <alignment vertical="center"/>
    </xf>
    <xf numFmtId="0" fontId="142" fillId="7" borderId="13" xfId="0" applyFont="1" applyFill="1" applyBorder="1">
      <alignment vertical="center"/>
    </xf>
    <xf numFmtId="0" fontId="16" fillId="0" borderId="13" xfId="0" applyFont="1" applyBorder="1" applyProtection="1">
      <alignment vertical="center"/>
    </xf>
    <xf numFmtId="0" fontId="16" fillId="0" borderId="13" xfId="0" applyFont="1" applyFill="1" applyBorder="1" applyProtection="1">
      <alignment vertical="center"/>
    </xf>
    <xf numFmtId="43" fontId="16" fillId="7" borderId="13" xfId="7" applyFont="1" applyFill="1" applyBorder="1" applyProtection="1">
      <alignment vertical="center"/>
    </xf>
    <xf numFmtId="10" fontId="95" fillId="0" borderId="13" xfId="8" applyNumberFormat="1" applyFont="1" applyFill="1" applyBorder="1" applyAlignment="1" applyProtection="1">
      <alignment vertical="center"/>
      <protection locked="0"/>
    </xf>
    <xf numFmtId="0" fontId="122" fillId="7" borderId="0" xfId="0" applyFont="1" applyFill="1" applyBorder="1">
      <alignment vertical="center"/>
    </xf>
    <xf numFmtId="0" fontId="95" fillId="7" borderId="35" xfId="0" applyFont="1" applyFill="1" applyBorder="1" applyAlignment="1">
      <alignment horizontal="left" vertical="center" indent="2"/>
    </xf>
    <xf numFmtId="180" fontId="95" fillId="0" borderId="35" xfId="0" applyNumberFormat="1" applyFont="1" applyFill="1" applyBorder="1" applyAlignment="1" applyProtection="1">
      <alignment vertical="center"/>
      <protection locked="0"/>
    </xf>
    <xf numFmtId="180" fontId="16" fillId="0" borderId="0" xfId="0" applyNumberFormat="1" applyFont="1" applyBorder="1">
      <alignment vertical="center"/>
    </xf>
    <xf numFmtId="0" fontId="95" fillId="24" borderId="36" xfId="0" applyFont="1" applyFill="1" applyBorder="1" applyAlignment="1">
      <alignment horizontal="left" vertical="center" indent="3"/>
    </xf>
    <xf numFmtId="183" fontId="16" fillId="0" borderId="36" xfId="0" applyNumberFormat="1" applyFont="1" applyBorder="1" applyProtection="1">
      <alignment vertical="center"/>
    </xf>
    <xf numFmtId="0" fontId="95" fillId="0" borderId="36" xfId="0" applyFont="1" applyBorder="1" applyAlignment="1" applyProtection="1">
      <alignment vertical="center"/>
      <protection locked="0"/>
    </xf>
    <xf numFmtId="0" fontId="95" fillId="7" borderId="36" xfId="0" applyFont="1" applyFill="1" applyBorder="1" applyAlignment="1">
      <alignment horizontal="left" vertical="center" indent="3"/>
    </xf>
    <xf numFmtId="0" fontId="95" fillId="7" borderId="36" xfId="0" applyFont="1" applyFill="1" applyBorder="1" applyAlignment="1">
      <alignment horizontal="left" vertical="center" indent="2"/>
    </xf>
    <xf numFmtId="43" fontId="16" fillId="0" borderId="0" xfId="0" applyNumberFormat="1" applyFont="1" applyBorder="1">
      <alignment vertical="center"/>
    </xf>
    <xf numFmtId="0" fontId="175" fillId="0" borderId="36" xfId="0" applyFont="1" applyFill="1" applyBorder="1" applyProtection="1">
      <alignment vertical="center"/>
    </xf>
    <xf numFmtId="0" fontId="95" fillId="0" borderId="36" xfId="0" applyFont="1" applyFill="1" applyBorder="1" applyAlignment="1" applyProtection="1">
      <alignment vertical="center"/>
      <protection locked="0"/>
    </xf>
    <xf numFmtId="180" fontId="95" fillId="0" borderId="36" xfId="0" applyNumberFormat="1" applyFont="1" applyFill="1" applyBorder="1" applyAlignment="1" applyProtection="1">
      <alignment vertical="center"/>
      <protection locked="0"/>
    </xf>
    <xf numFmtId="0" fontId="95" fillId="24" borderId="36" xfId="0" applyFont="1" applyFill="1" applyBorder="1" applyAlignment="1">
      <alignment horizontal="left" vertical="center" indent="2"/>
    </xf>
    <xf numFmtId="183" fontId="150" fillId="0" borderId="36" xfId="8" applyNumberFormat="1" applyFont="1" applyBorder="1" applyProtection="1">
      <alignment vertical="center"/>
      <protection locked="0"/>
    </xf>
    <xf numFmtId="183" fontId="175" fillId="7" borderId="36" xfId="8" applyNumberFormat="1" applyFont="1" applyFill="1" applyBorder="1" applyProtection="1">
      <alignment vertical="center"/>
      <protection locked="0"/>
    </xf>
    <xf numFmtId="0" fontId="122" fillId="0" borderId="36" xfId="0" applyFont="1" applyBorder="1" applyAlignment="1" applyProtection="1">
      <alignment vertical="center"/>
      <protection locked="0"/>
    </xf>
    <xf numFmtId="183" fontId="16" fillId="0" borderId="36" xfId="8" applyNumberFormat="1" applyFont="1" applyBorder="1" applyAlignment="1" applyProtection="1">
      <alignment vertical="center"/>
    </xf>
    <xf numFmtId="183" fontId="16" fillId="7" borderId="36" xfId="0" applyNumberFormat="1" applyFont="1" applyFill="1" applyBorder="1" applyProtection="1">
      <alignment vertical="center"/>
    </xf>
    <xf numFmtId="181" fontId="150" fillId="0" borderId="36" xfId="8" applyNumberFormat="1" applyFont="1" applyBorder="1" applyProtection="1">
      <alignment vertical="center"/>
    </xf>
    <xf numFmtId="181" fontId="95" fillId="0" borderId="36" xfId="8" applyNumberFormat="1" applyFont="1" applyBorder="1" applyProtection="1">
      <alignment vertical="center"/>
    </xf>
    <xf numFmtId="181" fontId="95" fillId="0" borderId="36" xfId="8" applyNumberFormat="1" applyFont="1" applyFill="1" applyBorder="1" applyProtection="1">
      <alignment vertical="center"/>
    </xf>
    <xf numFmtId="0" fontId="95" fillId="0" borderId="0" xfId="0" applyFont="1" applyBorder="1" applyAlignment="1">
      <alignment vertical="center"/>
    </xf>
    <xf numFmtId="183" fontId="95" fillId="0" borderId="36" xfId="0" applyNumberFormat="1" applyFont="1" applyFill="1" applyBorder="1">
      <alignment vertical="center"/>
    </xf>
    <xf numFmtId="0" fontId="95" fillId="7" borderId="0" xfId="0" applyFont="1" applyFill="1" applyBorder="1">
      <alignment vertical="center"/>
    </xf>
    <xf numFmtId="0" fontId="16" fillId="0" borderId="0" xfId="0" applyFont="1" applyBorder="1" applyProtection="1">
      <alignment vertical="center"/>
    </xf>
    <xf numFmtId="0" fontId="16" fillId="0" borderId="0" xfId="0" applyFont="1" applyFill="1" applyBorder="1" applyProtection="1">
      <alignment vertical="center"/>
    </xf>
    <xf numFmtId="2" fontId="95" fillId="7" borderId="0" xfId="0" applyNumberFormat="1" applyFont="1" applyFill="1" applyBorder="1" applyProtection="1">
      <alignment vertical="center"/>
    </xf>
    <xf numFmtId="0" fontId="95" fillId="0" borderId="0" xfId="0" applyFont="1" applyFill="1" applyBorder="1" applyAlignment="1" applyProtection="1">
      <alignment vertical="center"/>
      <protection locked="0"/>
    </xf>
    <xf numFmtId="0" fontId="174" fillId="7" borderId="3" xfId="0" applyFont="1" applyFill="1" applyBorder="1">
      <alignment vertical="center"/>
    </xf>
    <xf numFmtId="0" fontId="16" fillId="0" borderId="3" xfId="0" applyFont="1" applyBorder="1" applyProtection="1">
      <alignment vertical="center"/>
    </xf>
    <xf numFmtId="2" fontId="95" fillId="7" borderId="3" xfId="0" applyNumberFormat="1" applyFont="1" applyFill="1" applyBorder="1" applyProtection="1">
      <alignment vertical="center"/>
    </xf>
    <xf numFmtId="0" fontId="95" fillId="0" borderId="3" xfId="0" applyFont="1" applyFill="1" applyBorder="1" applyAlignment="1" applyProtection="1">
      <alignment vertical="center"/>
      <protection locked="0"/>
    </xf>
    <xf numFmtId="0" fontId="174" fillId="7" borderId="0" xfId="0" applyFont="1" applyFill="1" applyBorder="1" applyAlignment="1">
      <alignment horizontal="left" vertical="center" indent="1"/>
    </xf>
    <xf numFmtId="0" fontId="95" fillId="7" borderId="0" xfId="0" applyFont="1" applyFill="1" applyBorder="1" applyProtection="1">
      <alignment vertical="center"/>
    </xf>
    <xf numFmtId="0" fontId="16" fillId="7" borderId="0" xfId="0" applyFont="1" applyFill="1" applyBorder="1" applyAlignment="1">
      <alignment vertical="center"/>
    </xf>
    <xf numFmtId="0" fontId="16" fillId="0" borderId="0" xfId="0" applyFont="1" applyBorder="1" applyAlignment="1">
      <alignment vertical="center"/>
    </xf>
    <xf numFmtId="181" fontId="16" fillId="0" borderId="36" xfId="8" applyNumberFormat="1" applyFont="1" applyBorder="1" applyAlignment="1" applyProtection="1">
      <alignment vertical="center"/>
    </xf>
    <xf numFmtId="0" fontId="95" fillId="7" borderId="0" xfId="0" applyFont="1" applyFill="1" applyBorder="1" applyAlignment="1">
      <alignment horizontal="left" vertical="center" indent="3"/>
    </xf>
    <xf numFmtId="180" fontId="150" fillId="0" borderId="0" xfId="0" applyNumberFormat="1" applyFont="1" applyBorder="1" applyAlignment="1" applyProtection="1">
      <alignment vertical="center"/>
    </xf>
    <xf numFmtId="180" fontId="95" fillId="7" borderId="0" xfId="0" applyNumberFormat="1" applyFont="1" applyFill="1" applyBorder="1" applyAlignment="1" applyProtection="1">
      <alignment vertical="center"/>
    </xf>
    <xf numFmtId="181" fontId="95" fillId="7" borderId="36" xfId="8" applyNumberFormat="1" applyFont="1" applyFill="1" applyBorder="1" applyAlignment="1" applyProtection="1">
      <alignment vertical="center"/>
    </xf>
    <xf numFmtId="181" fontId="150" fillId="7" borderId="36" xfId="8" applyNumberFormat="1" applyFont="1" applyFill="1" applyBorder="1" applyAlignment="1" applyProtection="1">
      <alignment vertical="center"/>
      <protection locked="0"/>
    </xf>
    <xf numFmtId="181" fontId="150" fillId="0" borderId="36" xfId="8" applyNumberFormat="1" applyFont="1" applyBorder="1" applyAlignment="1" applyProtection="1">
      <alignment vertical="center"/>
    </xf>
    <xf numFmtId="183" fontId="95" fillId="0" borderId="36" xfId="30" applyNumberFormat="1" applyFont="1" applyFill="1" applyBorder="1" applyAlignment="1" applyProtection="1">
      <alignment horizontal="right" vertical="center"/>
    </xf>
    <xf numFmtId="183" fontId="150" fillId="7" borderId="36" xfId="8" applyNumberFormat="1" applyFont="1" applyFill="1" applyBorder="1" applyAlignment="1" applyProtection="1">
      <alignment vertical="center"/>
      <protection locked="0"/>
    </xf>
    <xf numFmtId="0" fontId="174" fillId="7" borderId="36" xfId="0" applyFont="1" applyFill="1" applyBorder="1" applyAlignment="1">
      <alignment horizontal="left" vertical="center" indent="1"/>
    </xf>
    <xf numFmtId="43" fontId="95" fillId="0" borderId="36" xfId="7" applyFont="1" applyBorder="1" applyAlignment="1" applyProtection="1">
      <alignment vertical="center"/>
      <protection locked="0"/>
    </xf>
    <xf numFmtId="0" fontId="95" fillId="7" borderId="3" xfId="0" applyFont="1" applyFill="1" applyBorder="1" applyProtection="1">
      <alignment vertical="center"/>
    </xf>
    <xf numFmtId="0" fontId="95" fillId="0" borderId="3" xfId="0" applyFont="1" applyBorder="1" applyAlignment="1" applyProtection="1">
      <alignment vertical="center"/>
      <protection locked="0"/>
    </xf>
    <xf numFmtId="0" fontId="176" fillId="7" borderId="0" xfId="0" applyFont="1" applyFill="1" applyBorder="1" applyAlignment="1">
      <alignment horizontal="left" vertical="center" indent="1"/>
    </xf>
    <xf numFmtId="0" fontId="95" fillId="0" borderId="0" xfId="0" applyFont="1" applyBorder="1" applyAlignment="1" applyProtection="1">
      <alignment vertical="center"/>
      <protection locked="0"/>
    </xf>
    <xf numFmtId="0" fontId="16" fillId="7" borderId="0" xfId="0" applyFont="1" applyFill="1" applyBorder="1" applyAlignment="1">
      <alignment horizontal="left" vertical="center" indent="1"/>
    </xf>
    <xf numFmtId="181" fontId="16" fillId="0" borderId="5" xfId="8" applyNumberFormat="1" applyFont="1" applyBorder="1" applyAlignment="1" applyProtection="1">
      <alignment vertical="center"/>
    </xf>
    <xf numFmtId="181" fontId="95" fillId="7" borderId="5" xfId="8" applyNumberFormat="1" applyFont="1" applyFill="1" applyBorder="1" applyAlignment="1" applyProtection="1">
      <alignment vertical="center"/>
    </xf>
    <xf numFmtId="0" fontId="95" fillId="0" borderId="5" xfId="0" applyFont="1" applyBorder="1" applyAlignment="1" applyProtection="1">
      <alignment vertical="center"/>
      <protection locked="0"/>
    </xf>
    <xf numFmtId="191" fontId="150" fillId="7" borderId="36" xfId="8" applyNumberFormat="1" applyFont="1" applyFill="1" applyBorder="1" applyProtection="1">
      <alignment vertical="center"/>
      <protection locked="0"/>
    </xf>
    <xf numFmtId="191" fontId="95" fillId="7" borderId="36" xfId="0" applyNumberFormat="1" applyFont="1" applyFill="1" applyBorder="1" applyProtection="1">
      <alignment vertical="center"/>
    </xf>
    <xf numFmtId="191" fontId="122" fillId="7" borderId="36" xfId="8" applyNumberFormat="1" applyFont="1" applyFill="1" applyBorder="1" applyProtection="1">
      <alignment vertical="center"/>
    </xf>
    <xf numFmtId="0" fontId="95" fillId="7" borderId="37" xfId="0" applyFont="1" applyFill="1" applyBorder="1" applyAlignment="1">
      <alignment horizontal="left" vertical="center" indent="2"/>
    </xf>
    <xf numFmtId="183" fontId="95" fillId="0" borderId="37" xfId="30" applyNumberFormat="1" applyFont="1" applyFill="1" applyBorder="1" applyAlignment="1" applyProtection="1">
      <alignment horizontal="right" vertical="center"/>
    </xf>
    <xf numFmtId="191" fontId="95" fillId="7" borderId="37" xfId="8" applyNumberFormat="1" applyFont="1" applyFill="1" applyBorder="1" applyProtection="1">
      <alignment vertical="center"/>
    </xf>
    <xf numFmtId="0" fontId="95" fillId="0" borderId="37" xfId="0" applyFont="1" applyBorder="1" applyAlignment="1" applyProtection="1">
      <alignment vertical="center"/>
      <protection locked="0"/>
    </xf>
    <xf numFmtId="0" fontId="150" fillId="0" borderId="0" xfId="0" applyFont="1" applyBorder="1" applyProtection="1">
      <alignment vertical="center"/>
    </xf>
    <xf numFmtId="0" fontId="95" fillId="7" borderId="5" xfId="0" applyFont="1" applyFill="1" applyBorder="1" applyAlignment="1">
      <alignment horizontal="left" vertical="center" indent="2"/>
    </xf>
    <xf numFmtId="0" fontId="16" fillId="7" borderId="0" xfId="0" applyFont="1" applyFill="1" applyBorder="1" applyAlignment="1">
      <alignment horizontal="left" vertical="center"/>
    </xf>
    <xf numFmtId="191" fontId="95" fillId="0" borderId="36" xfId="30" applyNumberFormat="1" applyFont="1" applyFill="1" applyBorder="1" applyAlignment="1" applyProtection="1">
      <alignment horizontal="right" vertical="center"/>
    </xf>
    <xf numFmtId="191" fontId="95" fillId="7" borderId="36" xfId="8" applyNumberFormat="1" applyFont="1" applyFill="1" applyBorder="1" applyProtection="1">
      <alignment vertical="center"/>
    </xf>
    <xf numFmtId="191" fontId="95" fillId="0" borderId="37" xfId="30" applyNumberFormat="1" applyFont="1" applyFill="1" applyBorder="1" applyAlignment="1" applyProtection="1">
      <alignment horizontal="right" vertical="center"/>
    </xf>
    <xf numFmtId="183" fontId="95" fillId="0" borderId="0" xfId="30" applyNumberFormat="1" applyFont="1" applyFill="1" applyBorder="1" applyAlignment="1" applyProtection="1">
      <alignment horizontal="right" vertical="center"/>
    </xf>
    <xf numFmtId="183" fontId="95" fillId="7" borderId="0" xfId="0" applyNumberFormat="1" applyFont="1" applyFill="1" applyBorder="1" applyProtection="1">
      <alignment vertical="center"/>
    </xf>
    <xf numFmtId="183" fontId="150" fillId="7" borderId="36" xfId="0" applyNumberFormat="1" applyFont="1" applyFill="1" applyBorder="1" applyProtection="1">
      <alignment vertical="center"/>
      <protection locked="0"/>
    </xf>
    <xf numFmtId="183" fontId="95" fillId="7" borderId="36" xfId="8" applyNumberFormat="1" applyFont="1" applyFill="1" applyBorder="1" applyProtection="1">
      <alignment vertical="center"/>
    </xf>
    <xf numFmtId="0" fontId="150" fillId="7" borderId="0" xfId="0" applyFont="1" applyFill="1" applyBorder="1" applyProtection="1">
      <alignment vertical="center"/>
    </xf>
    <xf numFmtId="0" fontId="150" fillId="7" borderId="3" xfId="0" applyFont="1" applyFill="1" applyBorder="1" applyProtection="1">
      <alignment vertical="center"/>
    </xf>
    <xf numFmtId="0" fontId="95" fillId="0" borderId="35" xfId="0" applyFont="1" applyFill="1" applyBorder="1" applyAlignment="1" applyProtection="1">
      <alignment vertical="center"/>
      <protection locked="0"/>
    </xf>
    <xf numFmtId="0" fontId="175" fillId="7" borderId="0" xfId="0" applyFont="1" applyFill="1" applyBorder="1" applyProtection="1">
      <alignment vertical="center"/>
    </xf>
    <xf numFmtId="0" fontId="95" fillId="7" borderId="2" xfId="0" applyFont="1" applyFill="1" applyBorder="1">
      <alignment vertical="center"/>
    </xf>
    <xf numFmtId="0" fontId="95" fillId="7" borderId="2" xfId="0" applyFont="1" applyFill="1" applyBorder="1" applyProtection="1">
      <alignment vertical="center"/>
    </xf>
    <xf numFmtId="0" fontId="142" fillId="7" borderId="0" xfId="0" applyFont="1" applyFill="1" applyBorder="1">
      <alignment vertical="center"/>
    </xf>
    <xf numFmtId="0" fontId="174" fillId="7" borderId="13" xfId="0" applyFont="1" applyFill="1" applyBorder="1" applyAlignment="1">
      <alignment horizontal="left" vertical="center"/>
    </xf>
    <xf numFmtId="0" fontId="95" fillId="7" borderId="13" xfId="0" applyFont="1" applyFill="1" applyBorder="1" applyProtection="1">
      <alignment vertical="center"/>
    </xf>
    <xf numFmtId="0" fontId="95" fillId="0" borderId="13" xfId="0" applyFont="1" applyFill="1" applyBorder="1" applyAlignment="1" applyProtection="1">
      <alignment vertical="center"/>
      <protection locked="0"/>
    </xf>
    <xf numFmtId="183" fontId="150" fillId="0" borderId="36" xfId="0" applyNumberFormat="1" applyFont="1" applyFill="1" applyBorder="1" applyProtection="1">
      <alignment vertical="center"/>
      <protection locked="0"/>
    </xf>
    <xf numFmtId="183" fontId="150" fillId="24" borderId="36" xfId="0" applyNumberFormat="1" applyFont="1" applyFill="1" applyBorder="1" applyProtection="1">
      <alignment vertical="center"/>
      <protection locked="0"/>
    </xf>
    <xf numFmtId="0" fontId="176" fillId="7" borderId="36" xfId="0" applyFont="1" applyFill="1" applyBorder="1" applyAlignment="1">
      <alignment horizontal="left" vertical="center" indent="1"/>
    </xf>
    <xf numFmtId="183" fontId="150" fillId="0" borderId="0" xfId="0" applyNumberFormat="1" applyFont="1" applyFill="1" applyBorder="1" applyAlignment="1" applyProtection="1">
      <alignment horizontal="right" vertical="center"/>
      <protection locked="0"/>
    </xf>
    <xf numFmtId="180" fontId="150" fillId="0" borderId="0" xfId="0" applyNumberFormat="1" applyFont="1" applyFill="1" applyBorder="1" applyAlignment="1" applyProtection="1">
      <alignment horizontal="right" vertical="center"/>
      <protection locked="0"/>
    </xf>
    <xf numFmtId="181" fontId="150" fillId="7" borderId="0" xfId="8" applyNumberFormat="1" applyFont="1" applyFill="1" applyBorder="1" applyProtection="1">
      <alignment vertical="center"/>
      <protection locked="0"/>
    </xf>
    <xf numFmtId="183" fontId="95" fillId="7" borderId="36" xfId="0" applyNumberFormat="1" applyFont="1" applyFill="1" applyBorder="1" applyAlignment="1" applyProtection="1">
      <alignment horizontal="right" vertical="center"/>
      <protection locked="0"/>
    </xf>
    <xf numFmtId="0" fontId="174" fillId="7" borderId="7" xfId="0" applyFont="1" applyFill="1" applyBorder="1" applyAlignment="1">
      <alignment horizontal="left" vertical="center" indent="2"/>
    </xf>
    <xf numFmtId="0" fontId="142" fillId="0" borderId="7" xfId="0" applyFont="1" applyFill="1" applyBorder="1" applyAlignment="1" applyProtection="1">
      <alignment horizontal="right" vertical="center"/>
    </xf>
    <xf numFmtId="0" fontId="95" fillId="7" borderId="0" xfId="0" applyFont="1" applyFill="1" applyBorder="1" applyAlignment="1">
      <alignment horizontal="left" vertical="center" indent="2"/>
    </xf>
    <xf numFmtId="0" fontId="95" fillId="7" borderId="3" xfId="0" applyFont="1" applyFill="1" applyBorder="1" applyAlignment="1">
      <alignment horizontal="left" vertical="center" indent="2"/>
    </xf>
    <xf numFmtId="9" fontId="150" fillId="0" borderId="0" xfId="8" applyNumberFormat="1" applyFont="1" applyFill="1" applyBorder="1" applyProtection="1">
      <alignment vertical="center"/>
    </xf>
    <xf numFmtId="0" fontId="142" fillId="7" borderId="3" xfId="0" applyFont="1" applyFill="1" applyBorder="1">
      <alignment vertical="center"/>
    </xf>
    <xf numFmtId="0" fontId="16" fillId="7" borderId="0" xfId="0" applyFont="1" applyFill="1" applyBorder="1" applyAlignment="1">
      <alignment horizontal="left" vertical="center" indent="2"/>
    </xf>
    <xf numFmtId="0" fontId="16" fillId="0" borderId="0" xfId="0" applyFont="1" applyBorder="1" applyAlignment="1" applyProtection="1">
      <alignment vertical="center"/>
    </xf>
    <xf numFmtId="0" fontId="95" fillId="7" borderId="0" xfId="0" applyFont="1" applyFill="1" applyBorder="1" applyAlignment="1" applyProtection="1">
      <alignment vertical="center"/>
    </xf>
    <xf numFmtId="0" fontId="16" fillId="7" borderId="7" xfId="0" applyFont="1" applyFill="1" applyBorder="1" applyAlignment="1">
      <alignment horizontal="left" vertical="center" indent="2"/>
    </xf>
    <xf numFmtId="0" fontId="16" fillId="7" borderId="3" xfId="0" applyFont="1" applyFill="1" applyBorder="1" applyAlignment="1">
      <alignment horizontal="left" vertical="center" indent="2"/>
    </xf>
    <xf numFmtId="2" fontId="95" fillId="7" borderId="0" xfId="0" applyNumberFormat="1" applyFont="1" applyFill="1" applyBorder="1" applyAlignment="1" applyProtection="1">
      <alignment vertical="center"/>
    </xf>
    <xf numFmtId="0" fontId="142" fillId="7" borderId="2" xfId="0" applyFont="1" applyFill="1" applyBorder="1" applyAlignment="1">
      <alignment vertical="center"/>
    </xf>
    <xf numFmtId="0" fontId="16" fillId="0" borderId="2" xfId="0" applyFont="1" applyBorder="1" applyAlignment="1" applyProtection="1">
      <alignment vertical="center"/>
    </xf>
    <xf numFmtId="0" fontId="95" fillId="7" borderId="2" xfId="0" applyFont="1" applyFill="1" applyBorder="1" applyAlignment="1" applyProtection="1">
      <alignment vertical="center"/>
    </xf>
    <xf numFmtId="0" fontId="95" fillId="0" borderId="2" xfId="0" applyFont="1" applyBorder="1" applyAlignment="1" applyProtection="1">
      <alignment vertical="center"/>
      <protection locked="0"/>
    </xf>
    <xf numFmtId="0" fontId="142" fillId="7" borderId="3" xfId="0" applyFont="1" applyFill="1" applyBorder="1" applyAlignment="1">
      <alignment horizontal="left" vertical="center" indent="1"/>
    </xf>
    <xf numFmtId="0" fontId="16" fillId="0" borderId="3" xfId="0" applyFont="1" applyBorder="1" applyAlignment="1" applyProtection="1">
      <alignment vertical="center"/>
    </xf>
    <xf numFmtId="0" fontId="95" fillId="7" borderId="3" xfId="0" applyFont="1" applyFill="1" applyBorder="1" applyAlignment="1" applyProtection="1">
      <alignment vertical="center"/>
    </xf>
    <xf numFmtId="0" fontId="16" fillId="7" borderId="35" xfId="0" applyFont="1" applyFill="1" applyBorder="1" applyAlignment="1">
      <alignment horizontal="left" vertical="center" indent="2"/>
    </xf>
    <xf numFmtId="0" fontId="95" fillId="0" borderId="35" xfId="0" applyFont="1" applyBorder="1" applyAlignment="1" applyProtection="1">
      <alignment vertical="center"/>
      <protection locked="0"/>
    </xf>
    <xf numFmtId="0" fontId="16" fillId="7" borderId="36" xfId="0" applyFont="1" applyFill="1" applyBorder="1" applyAlignment="1">
      <alignment horizontal="left" vertical="center" indent="2"/>
    </xf>
    <xf numFmtId="0" fontId="16" fillId="0" borderId="0" xfId="0" applyFont="1" applyBorder="1" applyAlignment="1" applyProtection="1">
      <alignment vertical="center"/>
      <protection locked="0"/>
    </xf>
    <xf numFmtId="0" fontId="150" fillId="7" borderId="0" xfId="0" applyFont="1" applyFill="1" applyBorder="1" applyAlignment="1" applyProtection="1">
      <alignment vertical="center"/>
      <protection locked="0"/>
    </xf>
    <xf numFmtId="0" fontId="142" fillId="7" borderId="36" xfId="0" applyFont="1" applyFill="1" applyBorder="1" applyAlignment="1">
      <alignment horizontal="left" vertical="center" indent="1"/>
    </xf>
    <xf numFmtId="0" fontId="95" fillId="7" borderId="0" xfId="0" applyFont="1" applyFill="1" applyBorder="1" applyAlignment="1" applyProtection="1">
      <alignment vertical="center"/>
      <protection locked="0"/>
    </xf>
    <xf numFmtId="180" fontId="16" fillId="0" borderId="0" xfId="0" applyNumberFormat="1" applyFont="1" applyBorder="1" applyAlignment="1" applyProtection="1">
      <alignment vertical="center"/>
      <protection locked="0"/>
    </xf>
    <xf numFmtId="180" fontId="95" fillId="7" borderId="0" xfId="0" applyNumberFormat="1" applyFont="1" applyFill="1" applyBorder="1" applyAlignment="1" applyProtection="1">
      <alignment vertical="center"/>
      <protection locked="0"/>
    </xf>
    <xf numFmtId="180" fontId="95" fillId="0" borderId="0" xfId="0" applyNumberFormat="1" applyFont="1" applyBorder="1" applyAlignment="1" applyProtection="1">
      <alignment vertical="center"/>
      <protection locked="0"/>
    </xf>
    <xf numFmtId="0" fontId="16" fillId="0" borderId="3" xfId="0" applyFont="1" applyBorder="1" applyAlignment="1" applyProtection="1">
      <alignment vertical="center"/>
      <protection locked="0"/>
    </xf>
    <xf numFmtId="0" fontId="95" fillId="7" borderId="3" xfId="0" applyFont="1" applyFill="1" applyBorder="1" applyAlignment="1" applyProtection="1">
      <alignment vertical="center"/>
      <protection locked="0"/>
    </xf>
    <xf numFmtId="181" fontId="95" fillId="0" borderId="35" xfId="8" applyNumberFormat="1" applyFont="1" applyBorder="1" applyAlignment="1" applyProtection="1">
      <alignment vertical="center"/>
      <protection locked="0"/>
    </xf>
    <xf numFmtId="181" fontId="95" fillId="0" borderId="36" xfId="8" applyNumberFormat="1" applyFont="1" applyBorder="1" applyAlignment="1" applyProtection="1">
      <alignment vertical="center"/>
      <protection locked="0"/>
    </xf>
    <xf numFmtId="181" fontId="16" fillId="0" borderId="0" xfId="8" applyNumberFormat="1" applyFont="1" applyBorder="1" applyAlignment="1" applyProtection="1">
      <alignment vertical="center"/>
      <protection locked="0"/>
    </xf>
    <xf numFmtId="181" fontId="150" fillId="0" borderId="0" xfId="8" applyNumberFormat="1" applyFont="1" applyBorder="1" applyAlignment="1" applyProtection="1">
      <alignment vertical="center"/>
      <protection locked="0"/>
    </xf>
    <xf numFmtId="181" fontId="150" fillId="7" borderId="0" xfId="8" applyNumberFormat="1" applyFont="1" applyFill="1" applyBorder="1" applyAlignment="1" applyProtection="1">
      <alignment vertical="center"/>
      <protection locked="0"/>
    </xf>
    <xf numFmtId="181" fontId="95" fillId="0" borderId="0" xfId="8" applyNumberFormat="1" applyFont="1" applyBorder="1" applyAlignment="1" applyProtection="1">
      <alignment vertical="center"/>
      <protection locked="0"/>
    </xf>
    <xf numFmtId="183" fontId="150" fillId="0" borderId="0" xfId="8" applyNumberFormat="1" applyFont="1" applyBorder="1" applyAlignment="1" applyProtection="1">
      <alignment vertical="center"/>
      <protection locked="0"/>
    </xf>
    <xf numFmtId="183" fontId="150" fillId="7" borderId="0" xfId="8" applyNumberFormat="1" applyFont="1" applyFill="1" applyBorder="1" applyAlignment="1" applyProtection="1">
      <alignment vertical="center"/>
      <protection locked="0"/>
    </xf>
    <xf numFmtId="0" fontId="16" fillId="0" borderId="62" xfId="0" applyFont="1" applyBorder="1">
      <alignment vertical="center"/>
    </xf>
    <xf numFmtId="0" fontId="16" fillId="0" borderId="62" xfId="0" applyFont="1" applyBorder="1" applyAlignment="1">
      <alignment horizontal="center" vertical="center"/>
    </xf>
    <xf numFmtId="0" fontId="16" fillId="3" borderId="62" xfId="0" applyFont="1" applyFill="1" applyBorder="1" applyAlignment="1">
      <alignment horizontal="center" vertical="center"/>
    </xf>
    <xf numFmtId="10" fontId="16" fillId="0" borderId="62" xfId="0" applyNumberFormat="1" applyFont="1" applyBorder="1">
      <alignment vertical="center"/>
    </xf>
    <xf numFmtId="10" fontId="16" fillId="0" borderId="62" xfId="8" applyNumberFormat="1" applyFont="1" applyBorder="1">
      <alignment vertical="center"/>
    </xf>
    <xf numFmtId="206" fontId="16" fillId="0" borderId="62" xfId="0" applyNumberFormat="1" applyFont="1" applyFill="1" applyBorder="1">
      <alignment vertical="center"/>
    </xf>
    <xf numFmtId="10" fontId="16" fillId="16" borderId="62" xfId="7" applyNumberFormat="1" applyFont="1" applyFill="1" applyBorder="1">
      <alignment vertical="center"/>
    </xf>
    <xf numFmtId="10" fontId="16" fillId="16" borderId="62" xfId="0" applyNumberFormat="1" applyFont="1" applyFill="1" applyBorder="1">
      <alignment vertical="center"/>
    </xf>
    <xf numFmtId="206" fontId="16" fillId="0" borderId="62" xfId="0" applyNumberFormat="1" applyFont="1" applyBorder="1">
      <alignment vertical="center"/>
    </xf>
    <xf numFmtId="43" fontId="16" fillId="16" borderId="62" xfId="7" applyNumberFormat="1" applyFont="1" applyFill="1" applyBorder="1">
      <alignment vertical="center"/>
    </xf>
    <xf numFmtId="43" fontId="16" fillId="16" borderId="62" xfId="0" applyNumberFormat="1" applyFont="1" applyFill="1" applyBorder="1">
      <alignment vertical="center"/>
    </xf>
    <xf numFmtId="43" fontId="16" fillId="0" borderId="62" xfId="8" applyNumberFormat="1" applyFont="1" applyBorder="1">
      <alignment vertical="center"/>
    </xf>
    <xf numFmtId="0" fontId="16" fillId="0" borderId="0" xfId="0" applyFont="1" applyFill="1" applyBorder="1">
      <alignment vertical="center"/>
    </xf>
    <xf numFmtId="206" fontId="16" fillId="0" borderId="62" xfId="8" applyNumberFormat="1" applyFont="1" applyBorder="1">
      <alignment vertical="center"/>
    </xf>
    <xf numFmtId="192" fontId="16" fillId="0" borderId="62" xfId="7" applyNumberFormat="1" applyFont="1" applyBorder="1">
      <alignment vertical="center"/>
    </xf>
    <xf numFmtId="192" fontId="16" fillId="0" borderId="62" xfId="7" applyNumberFormat="1" applyFont="1" applyFill="1" applyBorder="1">
      <alignment vertical="center"/>
    </xf>
    <xf numFmtId="192" fontId="16" fillId="0" borderId="62" xfId="7" applyNumberFormat="1" applyFont="1" applyBorder="1" applyProtection="1">
      <alignment vertical="center"/>
      <protection locked="0"/>
    </xf>
    <xf numFmtId="181" fontId="16" fillId="16" borderId="62" xfId="7" applyNumberFormat="1" applyFont="1" applyFill="1" applyBorder="1">
      <alignment vertical="center"/>
    </xf>
    <xf numFmtId="10" fontId="16" fillId="16" borderId="62" xfId="8" applyNumberFormat="1" applyFont="1" applyFill="1" applyBorder="1">
      <alignment vertical="center"/>
    </xf>
    <xf numFmtId="192" fontId="150" fillId="0" borderId="62" xfId="7" applyNumberFormat="1" applyFont="1" applyBorder="1">
      <alignment vertical="center"/>
    </xf>
    <xf numFmtId="0" fontId="150" fillId="0" borderId="0" xfId="0" applyFont="1" applyBorder="1">
      <alignment vertical="center"/>
    </xf>
    <xf numFmtId="0" fontId="150" fillId="0" borderId="0" xfId="0" applyFont="1" applyBorder="1" applyAlignment="1">
      <alignment horizontal="right" vertical="center"/>
    </xf>
    <xf numFmtId="43" fontId="16" fillId="16" borderId="62" xfId="7" applyFont="1" applyFill="1" applyBorder="1">
      <alignment vertical="center"/>
    </xf>
    <xf numFmtId="192" fontId="16" fillId="16" borderId="62" xfId="7" applyNumberFormat="1" applyFont="1" applyFill="1" applyBorder="1">
      <alignment vertical="center"/>
    </xf>
    <xf numFmtId="43" fontId="150" fillId="0" borderId="62" xfId="7" applyNumberFormat="1" applyFont="1" applyBorder="1">
      <alignment vertical="center"/>
    </xf>
    <xf numFmtId="43" fontId="16" fillId="0" borderId="62" xfId="7" applyFont="1" applyBorder="1">
      <alignment vertical="center"/>
    </xf>
    <xf numFmtId="43" fontId="16" fillId="0" borderId="0" xfId="7" applyFont="1" applyBorder="1">
      <alignment vertical="center"/>
    </xf>
    <xf numFmtId="181" fontId="150" fillId="27" borderId="36" xfId="8" applyNumberFormat="1" applyFont="1" applyFill="1" applyBorder="1" applyAlignment="1" applyProtection="1">
      <alignment vertical="center"/>
      <protection locked="0"/>
    </xf>
    <xf numFmtId="183" fontId="150" fillId="27" borderId="36" xfId="0" applyNumberFormat="1" applyFont="1" applyFill="1" applyBorder="1" applyAlignment="1" applyProtection="1">
      <alignment horizontal="right" vertical="center"/>
      <protection locked="0"/>
    </xf>
    <xf numFmtId="183" fontId="150" fillId="27" borderId="36" xfId="0" applyNumberFormat="1" applyFont="1" applyFill="1" applyBorder="1" applyProtection="1">
      <alignment vertical="center"/>
      <protection locked="0"/>
    </xf>
    <xf numFmtId="0" fontId="142" fillId="3" borderId="0" xfId="0" applyFont="1" applyFill="1" applyBorder="1" applyAlignment="1">
      <alignment horizontal="center" vertical="center"/>
    </xf>
    <xf numFmtId="0" fontId="142" fillId="3" borderId="0" xfId="0" applyFont="1" applyFill="1" applyBorder="1" applyAlignment="1">
      <alignment horizontal="center" vertical="center"/>
    </xf>
    <xf numFmtId="0" fontId="15" fillId="2" borderId="0" xfId="0" applyFont="1" applyFill="1" applyBorder="1">
      <alignment vertical="center"/>
    </xf>
    <xf numFmtId="0" fontId="15" fillId="0" borderId="0" xfId="0" applyFont="1" applyBorder="1">
      <alignment vertical="center"/>
    </xf>
    <xf numFmtId="0" fontId="15" fillId="3" borderId="0" xfId="0" applyFont="1" applyFill="1" applyBorder="1">
      <alignment vertical="center"/>
    </xf>
    <xf numFmtId="0" fontId="169" fillId="3" borderId="0" xfId="0" applyFont="1" applyFill="1" applyBorder="1">
      <alignment vertical="center"/>
    </xf>
    <xf numFmtId="0" fontId="142" fillId="3" borderId="0" xfId="0" applyFont="1" applyFill="1" applyBorder="1" applyAlignment="1">
      <alignment vertical="center"/>
    </xf>
    <xf numFmtId="0" fontId="15" fillId="3" borderId="0" xfId="0" applyFont="1" applyFill="1" applyBorder="1">
      <alignment vertical="center"/>
    </xf>
    <xf numFmtId="0" fontId="142" fillId="3" borderId="0" xfId="0" applyFont="1" applyFill="1" applyBorder="1">
      <alignment vertical="center"/>
    </xf>
    <xf numFmtId="0" fontId="142" fillId="3" borderId="0" xfId="0" applyFont="1" applyFill="1" applyBorder="1" applyAlignment="1">
      <alignment horizontal="right" vertical="center"/>
    </xf>
    <xf numFmtId="0" fontId="15" fillId="0" borderId="0" xfId="0" applyFont="1" applyBorder="1">
      <alignment vertical="center"/>
    </xf>
    <xf numFmtId="183" fontId="142" fillId="0" borderId="2" xfId="0" applyNumberFormat="1" applyFont="1" applyFill="1" applyBorder="1" applyAlignment="1">
      <alignment horizontal="right" vertical="center"/>
    </xf>
    <xf numFmtId="0" fontId="15" fillId="7" borderId="0" xfId="0" applyFont="1" applyFill="1" applyBorder="1">
      <alignment vertical="center"/>
    </xf>
    <xf numFmtId="0" fontId="95" fillId="7" borderId="0" xfId="0" applyFont="1" applyFill="1" applyBorder="1" applyAlignment="1">
      <alignment horizontal="left" vertical="center"/>
    </xf>
    <xf numFmtId="183" fontId="15" fillId="0" borderId="0" xfId="7" applyNumberFormat="1" applyFont="1" applyFill="1" applyBorder="1" applyAlignment="1" applyProtection="1">
      <alignment horizontal="right" vertical="center"/>
    </xf>
    <xf numFmtId="0" fontId="142" fillId="0" borderId="0" xfId="0" applyFont="1" applyBorder="1">
      <alignment vertical="center"/>
    </xf>
    <xf numFmtId="183" fontId="95" fillId="0" borderId="0" xfId="0" applyNumberFormat="1" applyFont="1" applyBorder="1" applyAlignment="1" applyProtection="1">
      <alignment horizontal="right" vertical="center"/>
    </xf>
    <xf numFmtId="0" fontId="142" fillId="0" borderId="0" xfId="0" applyFont="1" applyFill="1" applyBorder="1">
      <alignment vertical="center"/>
    </xf>
    <xf numFmtId="0" fontId="15" fillId="0" borderId="0" xfId="0" applyFont="1" applyFill="1" applyBorder="1">
      <alignment vertical="center"/>
    </xf>
    <xf numFmtId="0" fontId="174" fillId="7" borderId="0" xfId="0" applyFont="1" applyFill="1" applyBorder="1" applyAlignment="1">
      <alignment horizontal="left" vertical="center"/>
    </xf>
    <xf numFmtId="183" fontId="95" fillId="0" borderId="0" xfId="0" applyNumberFormat="1" applyFont="1" applyFill="1" applyBorder="1" applyAlignment="1" applyProtection="1">
      <alignment horizontal="right" vertical="center"/>
    </xf>
    <xf numFmtId="183" fontId="15" fillId="0" borderId="0" xfId="0" applyNumberFormat="1" applyFont="1" applyFill="1" applyBorder="1">
      <alignment vertical="center"/>
    </xf>
    <xf numFmtId="183" fontId="95" fillId="0" borderId="0" xfId="0" applyNumberFormat="1" applyFont="1" applyFill="1" applyBorder="1" applyAlignment="1" applyProtection="1">
      <alignment horizontal="right" vertical="center"/>
      <protection locked="0"/>
    </xf>
    <xf numFmtId="0" fontId="142" fillId="7" borderId="2" xfId="0" applyFont="1" applyFill="1" applyBorder="1" applyAlignment="1">
      <alignment horizontal="left" vertical="center"/>
    </xf>
    <xf numFmtId="0" fontId="15" fillId="7" borderId="2" xfId="0" applyFont="1" applyFill="1" applyBorder="1">
      <alignment vertical="center"/>
    </xf>
    <xf numFmtId="0" fontId="15" fillId="7" borderId="0" xfId="0" applyFont="1" applyFill="1" applyBorder="1" applyAlignment="1">
      <alignment horizontal="left" vertical="center"/>
    </xf>
    <xf numFmtId="0" fontId="174" fillId="7" borderId="0" xfId="0" applyFont="1" applyFill="1" applyBorder="1">
      <alignment vertical="center"/>
    </xf>
    <xf numFmtId="0" fontId="174" fillId="0" borderId="0" xfId="0" applyFont="1" applyFill="1" applyBorder="1">
      <alignment vertical="center"/>
    </xf>
    <xf numFmtId="0" fontId="174" fillId="0" borderId="0" xfId="0" applyFont="1" applyBorder="1">
      <alignment vertical="center"/>
    </xf>
    <xf numFmtId="0" fontId="95" fillId="7" borderId="0" xfId="0" applyFont="1" applyFill="1" applyBorder="1" applyAlignment="1">
      <alignment horizontal="left" vertical="center" indent="1"/>
    </xf>
    <xf numFmtId="183" fontId="150" fillId="0" borderId="0" xfId="0" applyNumberFormat="1" applyFont="1" applyFill="1" applyBorder="1" applyAlignment="1" applyProtection="1">
      <alignment horizontal="left" vertical="center"/>
      <protection locked="0"/>
    </xf>
    <xf numFmtId="180" fontId="15" fillId="0" borderId="0" xfId="0" applyNumberFormat="1" applyFont="1" applyFill="1" applyBorder="1">
      <alignment vertical="center"/>
    </xf>
    <xf numFmtId="183" fontId="15" fillId="0" borderId="2" xfId="0" applyNumberFormat="1" applyFont="1" applyFill="1" applyBorder="1" applyAlignment="1" applyProtection="1">
      <alignment horizontal="right" vertical="center"/>
    </xf>
    <xf numFmtId="183" fontId="15" fillId="7" borderId="2" xfId="0" applyNumberFormat="1" applyFont="1" applyFill="1" applyBorder="1" applyAlignment="1" applyProtection="1">
      <alignment horizontal="right" vertical="center"/>
    </xf>
    <xf numFmtId="183" fontId="150" fillId="7" borderId="0" xfId="0" applyNumberFormat="1" applyFont="1" applyFill="1" applyBorder="1" applyAlignment="1" applyProtection="1">
      <alignment horizontal="right" vertical="center"/>
      <protection locked="0"/>
    </xf>
    <xf numFmtId="183" fontId="150" fillId="0" borderId="0" xfId="8" applyNumberFormat="1" applyFont="1" applyFill="1" applyBorder="1" applyAlignment="1" applyProtection="1">
      <alignment horizontal="right" vertical="center"/>
      <protection locked="0"/>
    </xf>
    <xf numFmtId="0" fontId="150" fillId="0" borderId="0" xfId="0" applyFont="1" applyFill="1" applyBorder="1">
      <alignment vertical="center"/>
    </xf>
    <xf numFmtId="0" fontId="174" fillId="0" borderId="0" xfId="18" applyFont="1" applyFill="1" applyBorder="1" applyAlignment="1">
      <alignment horizontal="left" vertical="center"/>
    </xf>
    <xf numFmtId="185" fontId="95" fillId="0" borderId="0" xfId="19" applyNumberFormat="1" applyFont="1" applyFill="1" applyBorder="1" applyAlignment="1">
      <alignment horizontal="left" vertical="center" indent="1"/>
    </xf>
    <xf numFmtId="185" fontId="95" fillId="0" borderId="0" xfId="19" applyNumberFormat="1" applyFont="1" applyFill="1" applyBorder="1" applyAlignment="1">
      <alignment horizontal="left" vertical="center" indent="2"/>
    </xf>
    <xf numFmtId="185" fontId="174" fillId="0" borderId="0" xfId="19" applyNumberFormat="1" applyFont="1" applyFill="1" applyBorder="1" applyAlignment="1">
      <alignment horizontal="center" vertical="center"/>
    </xf>
    <xf numFmtId="0" fontId="95" fillId="0" borderId="0" xfId="18" applyFont="1" applyFill="1" applyBorder="1" applyAlignment="1">
      <alignment horizontal="left" vertical="center" indent="1"/>
    </xf>
    <xf numFmtId="0" fontId="174" fillId="0" borderId="0" xfId="18" applyFont="1" applyFill="1" applyBorder="1" applyAlignment="1">
      <alignment horizontal="center" vertical="center"/>
    </xf>
    <xf numFmtId="0" fontId="95" fillId="0" borderId="0" xfId="18" applyFont="1" applyFill="1" applyBorder="1" applyAlignment="1">
      <alignment vertical="center"/>
    </xf>
    <xf numFmtId="0" fontId="95" fillId="0" borderId="0" xfId="19" applyFont="1" applyFill="1" applyBorder="1" applyAlignment="1">
      <alignment horizontal="left" vertical="center" indent="1" shrinkToFit="1"/>
    </xf>
    <xf numFmtId="185" fontId="174" fillId="0" borderId="0" xfId="19" applyNumberFormat="1" applyFont="1" applyFill="1" applyBorder="1" applyAlignment="1">
      <alignment horizontal="left" vertical="center"/>
    </xf>
    <xf numFmtId="0" fontId="177" fillId="2" borderId="0" xfId="6" applyFont="1" applyFill="1" applyBorder="1">
      <alignment vertical="center"/>
    </xf>
    <xf numFmtId="0" fontId="15" fillId="0" borderId="12" xfId="0" applyFont="1" applyBorder="1">
      <alignment vertical="center"/>
    </xf>
    <xf numFmtId="180" fontId="150" fillId="0" borderId="0" xfId="0" applyNumberFormat="1" applyFont="1" applyBorder="1" applyProtection="1">
      <alignment vertical="center"/>
      <protection locked="0"/>
    </xf>
    <xf numFmtId="0" fontId="178" fillId="0" borderId="0" xfId="0" applyFont="1" applyBorder="1" applyProtection="1">
      <alignment vertical="center"/>
      <protection locked="0"/>
    </xf>
    <xf numFmtId="0" fontId="15" fillId="0" borderId="12" xfId="0" applyFont="1" applyFill="1" applyBorder="1">
      <alignment vertical="center"/>
    </xf>
    <xf numFmtId="183" fontId="150" fillId="0" borderId="0" xfId="0" applyNumberFormat="1" applyFont="1" applyBorder="1" applyProtection="1">
      <alignment vertical="center"/>
      <protection locked="0"/>
    </xf>
    <xf numFmtId="0" fontId="150" fillId="0" borderId="0" xfId="0" applyFont="1" applyBorder="1" applyProtection="1">
      <alignment vertical="center"/>
      <protection locked="0"/>
    </xf>
    <xf numFmtId="0" fontId="142" fillId="3" borderId="0" xfId="0" applyFont="1" applyFill="1" applyBorder="1" applyAlignment="1">
      <alignment horizontal="center" vertical="center"/>
    </xf>
    <xf numFmtId="0" fontId="122" fillId="0" borderId="0" xfId="0" applyFont="1" applyBorder="1" applyAlignment="1">
      <alignment horizontal="center" vertical="center"/>
    </xf>
    <xf numFmtId="0" fontId="142" fillId="0" borderId="3" xfId="0" applyFont="1" applyFill="1" applyBorder="1">
      <alignment vertical="center"/>
    </xf>
    <xf numFmtId="183" fontId="174" fillId="7" borderId="3" xfId="0" applyNumberFormat="1" applyFont="1" applyFill="1" applyBorder="1" applyAlignment="1">
      <alignment horizontal="right" vertical="center"/>
    </xf>
    <xf numFmtId="0" fontId="142" fillId="0" borderId="38" xfId="0" applyFont="1" applyBorder="1" applyAlignment="1">
      <alignment horizontal="left" vertical="center" indent="1"/>
    </xf>
    <xf numFmtId="183" fontId="174" fillId="0" borderId="38" xfId="0" applyNumberFormat="1" applyFont="1" applyFill="1" applyBorder="1" applyProtection="1">
      <alignment vertical="center"/>
      <protection locked="0"/>
    </xf>
    <xf numFmtId="183" fontId="174" fillId="7" borderId="38" xfId="0" applyNumberFormat="1" applyFont="1" applyFill="1" applyBorder="1" applyProtection="1">
      <alignment vertical="center"/>
      <protection locked="0"/>
    </xf>
    <xf numFmtId="0" fontId="15" fillId="0" borderId="7" xfId="0" applyFont="1" applyBorder="1" applyProtection="1">
      <alignment vertical="center"/>
      <protection locked="0"/>
    </xf>
    <xf numFmtId="0" fontId="15" fillId="0" borderId="36" xfId="0" applyFont="1" applyBorder="1" applyAlignment="1">
      <alignment horizontal="left" vertical="center" indent="2"/>
    </xf>
    <xf numFmtId="0" fontId="15" fillId="0" borderId="0" xfId="0" applyFont="1" applyBorder="1" applyProtection="1">
      <alignment vertical="center"/>
      <protection locked="0"/>
    </xf>
    <xf numFmtId="0" fontId="122" fillId="0" borderId="0" xfId="0" applyFont="1" applyFill="1" applyBorder="1" applyAlignment="1">
      <alignment horizontal="center" vertical="center"/>
    </xf>
    <xf numFmtId="0" fontId="15" fillId="0" borderId="0" xfId="0" applyFont="1" applyBorder="1" applyAlignment="1">
      <alignment horizontal="left" vertical="center" indent="1"/>
    </xf>
    <xf numFmtId="183" fontId="179" fillId="0" borderId="0" xfId="0" applyNumberFormat="1" applyFont="1" applyBorder="1" applyProtection="1">
      <alignment vertical="center"/>
      <protection locked="0"/>
    </xf>
    <xf numFmtId="183" fontId="150" fillId="0" borderId="0" xfId="0" applyNumberFormat="1" applyFont="1" applyFill="1" applyBorder="1" applyProtection="1">
      <alignment vertical="center"/>
      <protection locked="0"/>
    </xf>
    <xf numFmtId="183" fontId="15" fillId="7" borderId="0" xfId="0" applyNumberFormat="1" applyFont="1" applyFill="1" applyBorder="1" applyProtection="1">
      <alignment vertical="center"/>
      <protection locked="0"/>
    </xf>
    <xf numFmtId="0" fontId="142" fillId="0" borderId="3" xfId="0" applyFont="1" applyFill="1" applyBorder="1" applyAlignment="1">
      <alignment horizontal="left" vertical="center"/>
    </xf>
    <xf numFmtId="183" fontId="150" fillId="0" borderId="3" xfId="0" applyNumberFormat="1" applyFont="1" applyBorder="1" applyProtection="1">
      <alignment vertical="center"/>
      <protection locked="0"/>
    </xf>
    <xf numFmtId="183" fontId="174" fillId="0" borderId="0" xfId="0" applyNumberFormat="1" applyFont="1" applyFill="1" applyBorder="1" applyProtection="1">
      <alignment vertical="center"/>
      <protection locked="0"/>
    </xf>
    <xf numFmtId="43" fontId="15" fillId="0" borderId="0" xfId="0" applyNumberFormat="1" applyFont="1" applyBorder="1" applyProtection="1">
      <alignment vertical="center"/>
      <protection locked="0"/>
    </xf>
    <xf numFmtId="0" fontId="15" fillId="0" borderId="36" xfId="0" applyFont="1" applyBorder="1" applyAlignment="1">
      <alignment horizontal="left" vertical="center" indent="3"/>
    </xf>
    <xf numFmtId="183" fontId="15" fillId="0" borderId="36" xfId="0" applyNumberFormat="1" applyFont="1" applyFill="1" applyBorder="1" applyAlignment="1" applyProtection="1">
      <alignment horizontal="right" vertical="center"/>
      <protection locked="0"/>
    </xf>
    <xf numFmtId="183" fontId="15" fillId="0" borderId="36" xfId="0" applyNumberFormat="1" applyFont="1" applyFill="1" applyBorder="1" applyProtection="1">
      <alignment vertical="center"/>
      <protection locked="0"/>
    </xf>
    <xf numFmtId="0" fontId="15" fillId="0" borderId="36" xfId="0" applyFont="1" applyFill="1" applyBorder="1" applyAlignment="1">
      <alignment horizontal="left" vertical="center" indent="3"/>
    </xf>
    <xf numFmtId="0" fontId="171" fillId="0" borderId="36" xfId="0" applyFont="1" applyFill="1" applyBorder="1" applyAlignment="1">
      <alignment horizontal="left" vertical="center" indent="4"/>
    </xf>
    <xf numFmtId="0" fontId="171" fillId="0" borderId="36" xfId="0" applyFont="1" applyBorder="1" applyAlignment="1">
      <alignment horizontal="left" vertical="center" indent="4"/>
    </xf>
    <xf numFmtId="183" fontId="15" fillId="0" borderId="0" xfId="0" applyNumberFormat="1" applyFont="1" applyBorder="1" applyProtection="1">
      <alignment vertical="center"/>
      <protection locked="0"/>
    </xf>
    <xf numFmtId="0" fontId="15" fillId="7" borderId="0" xfId="0" applyFont="1" applyFill="1" applyBorder="1" applyProtection="1">
      <alignment vertical="center"/>
      <protection locked="0"/>
    </xf>
    <xf numFmtId="183" fontId="150" fillId="0" borderId="3" xfId="0" applyNumberFormat="1" applyFont="1" applyFill="1" applyBorder="1" applyProtection="1">
      <alignment vertical="center"/>
      <protection locked="0"/>
    </xf>
    <xf numFmtId="183" fontId="150" fillId="7" borderId="3" xfId="0" applyNumberFormat="1" applyFont="1" applyFill="1" applyBorder="1" applyProtection="1">
      <alignment vertical="center"/>
      <protection locked="0"/>
    </xf>
    <xf numFmtId="0" fontId="171" fillId="0" borderId="38" xfId="0" applyFont="1" applyBorder="1" applyProtection="1">
      <alignment vertical="center"/>
      <protection locked="0"/>
    </xf>
    <xf numFmtId="181" fontId="171" fillId="0" borderId="38" xfId="8" applyNumberFormat="1" applyFont="1" applyFill="1" applyBorder="1" applyProtection="1">
      <alignment vertical="center"/>
      <protection locked="0"/>
    </xf>
    <xf numFmtId="181" fontId="171" fillId="7" borderId="38" xfId="8" applyNumberFormat="1" applyFont="1" applyFill="1" applyBorder="1" applyProtection="1">
      <alignment vertical="center"/>
      <protection locked="0"/>
    </xf>
    <xf numFmtId="0" fontId="171" fillId="0" borderId="36" xfId="0" applyFont="1" applyBorder="1" applyProtection="1">
      <alignment vertical="center"/>
      <protection locked="0"/>
    </xf>
    <xf numFmtId="181" fontId="171" fillId="0" borderId="36" xfId="8" applyNumberFormat="1" applyFont="1" applyFill="1" applyBorder="1" applyProtection="1">
      <alignment vertical="center"/>
      <protection locked="0"/>
    </xf>
    <xf numFmtId="181" fontId="171" fillId="7" borderId="36" xfId="8" applyNumberFormat="1" applyFont="1" applyFill="1" applyBorder="1" applyProtection="1">
      <alignment vertical="center"/>
      <protection locked="0"/>
    </xf>
    <xf numFmtId="0" fontId="171" fillId="0" borderId="0" xfId="0" applyFont="1" applyBorder="1" applyProtection="1">
      <alignment vertical="center"/>
      <protection locked="0"/>
    </xf>
    <xf numFmtId="0" fontId="171" fillId="0" borderId="0" xfId="0" applyFont="1" applyFill="1" applyBorder="1" applyProtection="1">
      <alignment vertical="center"/>
      <protection locked="0"/>
    </xf>
    <xf numFmtId="183" fontId="173" fillId="0" borderId="3" xfId="0" applyNumberFormat="1" applyFont="1" applyBorder="1" applyProtection="1">
      <alignment vertical="center"/>
      <protection locked="0"/>
    </xf>
    <xf numFmtId="183" fontId="173" fillId="0" borderId="3" xfId="0" applyNumberFormat="1" applyFont="1" applyFill="1" applyBorder="1" applyProtection="1">
      <alignment vertical="center"/>
      <protection locked="0"/>
    </xf>
    <xf numFmtId="0" fontId="15" fillId="0" borderId="0" xfId="0" applyFont="1" applyFill="1" applyBorder="1" applyProtection="1">
      <alignment vertical="center"/>
      <protection locked="0"/>
    </xf>
    <xf numFmtId="0" fontId="142" fillId="0" borderId="0" xfId="0" applyFont="1" applyFill="1" applyBorder="1" applyAlignment="1">
      <alignment horizontal="left" vertical="center" indent="1"/>
    </xf>
    <xf numFmtId="183" fontId="173" fillId="0" borderId="0" xfId="0" applyNumberFormat="1" applyFont="1" applyBorder="1" applyProtection="1">
      <alignment vertical="center"/>
      <protection locked="0"/>
    </xf>
    <xf numFmtId="183" fontId="173" fillId="0" borderId="0" xfId="0" applyNumberFormat="1" applyFont="1" applyFill="1" applyBorder="1" applyProtection="1">
      <alignment vertical="center"/>
      <protection locked="0"/>
    </xf>
    <xf numFmtId="183" fontId="150" fillId="7" borderId="0" xfId="0" applyNumberFormat="1" applyFont="1" applyFill="1" applyBorder="1" applyProtection="1">
      <alignment vertical="center"/>
      <protection locked="0"/>
    </xf>
    <xf numFmtId="0" fontId="142" fillId="0" borderId="36" xfId="0" applyFont="1" applyBorder="1" applyAlignment="1">
      <alignment horizontal="left" vertical="center" indent="2"/>
    </xf>
    <xf numFmtId="0" fontId="15" fillId="0" borderId="36" xfId="0" applyFont="1" applyFill="1" applyBorder="1" applyProtection="1">
      <alignment vertical="center"/>
      <protection locked="0"/>
    </xf>
    <xf numFmtId="0" fontId="15" fillId="7" borderId="36" xfId="0" applyFont="1" applyFill="1" applyBorder="1" applyProtection="1">
      <alignment vertical="center"/>
      <protection locked="0"/>
    </xf>
    <xf numFmtId="183" fontId="15" fillId="7" borderId="36" xfId="0" applyNumberFormat="1" applyFont="1" applyFill="1" applyBorder="1" applyAlignment="1" applyProtection="1">
      <alignment horizontal="right" vertical="center"/>
      <protection locked="0"/>
    </xf>
    <xf numFmtId="181" fontId="15" fillId="0" borderId="36" xfId="8" applyNumberFormat="1" applyFont="1" applyFill="1" applyBorder="1" applyProtection="1">
      <alignment vertical="center"/>
      <protection locked="0"/>
    </xf>
    <xf numFmtId="181" fontId="15" fillId="7" borderId="36" xfId="8" applyNumberFormat="1" applyFont="1" applyFill="1" applyBorder="1" applyAlignment="1" applyProtection="1">
      <alignment horizontal="right" vertical="center"/>
      <protection locked="0"/>
    </xf>
    <xf numFmtId="181" fontId="15" fillId="0" borderId="0" xfId="8" applyNumberFormat="1" applyFont="1" applyBorder="1" applyProtection="1">
      <alignment vertical="center"/>
      <protection locked="0"/>
    </xf>
    <xf numFmtId="181" fontId="15" fillId="0" borderId="36" xfId="8" applyNumberFormat="1" applyFont="1" applyBorder="1" applyProtection="1">
      <alignment vertical="center"/>
      <protection locked="0"/>
    </xf>
    <xf numFmtId="0" fontId="142" fillId="0" borderId="0" xfId="0" applyFont="1" applyBorder="1" applyAlignment="1">
      <alignment horizontal="left" vertical="center" indent="1"/>
    </xf>
    <xf numFmtId="0" fontId="15" fillId="0" borderId="36" xfId="0" applyFont="1" applyBorder="1" applyProtection="1">
      <alignment vertical="center"/>
      <protection locked="0"/>
    </xf>
    <xf numFmtId="183" fontId="15" fillId="0" borderId="36" xfId="0" applyNumberFormat="1" applyFont="1" applyBorder="1" applyAlignment="1" applyProtection="1">
      <alignment horizontal="right" vertical="center"/>
      <protection locked="0"/>
    </xf>
    <xf numFmtId="181" fontId="15" fillId="0" borderId="36" xfId="8" applyNumberFormat="1" applyFont="1" applyFill="1" applyBorder="1" applyAlignment="1" applyProtection="1">
      <alignment horizontal="right" vertical="center"/>
      <protection locked="0"/>
    </xf>
    <xf numFmtId="0" fontId="15" fillId="7" borderId="36" xfId="0" applyFont="1" applyFill="1" applyBorder="1" applyAlignment="1" applyProtection="1">
      <alignment horizontal="right" vertical="center"/>
      <protection locked="0"/>
    </xf>
    <xf numFmtId="183" fontId="15" fillId="0" borderId="0" xfId="0" applyNumberFormat="1" applyFont="1" applyBorder="1" applyAlignment="1" applyProtection="1">
      <alignment horizontal="right" vertical="center"/>
      <protection locked="0"/>
    </xf>
    <xf numFmtId="0" fontId="15" fillId="0" borderId="0" xfId="0" applyFont="1" applyBorder="1" applyAlignment="1">
      <alignment horizontal="left" vertical="center" indent="3"/>
    </xf>
    <xf numFmtId="181" fontId="15" fillId="0" borderId="0" xfId="8" applyNumberFormat="1" applyFont="1" applyFill="1" applyBorder="1" applyAlignment="1" applyProtection="1">
      <alignment horizontal="right" vertical="center"/>
      <protection locked="0"/>
    </xf>
    <xf numFmtId="181" fontId="15" fillId="7" borderId="0" xfId="8" applyNumberFormat="1" applyFont="1" applyFill="1" applyBorder="1" applyAlignment="1" applyProtection="1">
      <alignment horizontal="right" vertical="center"/>
      <protection locked="0"/>
    </xf>
    <xf numFmtId="183" fontId="15" fillId="0" borderId="36" xfId="0" applyNumberFormat="1" applyFont="1" applyBorder="1" applyProtection="1">
      <alignment vertical="center"/>
      <protection locked="0"/>
    </xf>
    <xf numFmtId="0" fontId="142" fillId="0" borderId="36" xfId="0" applyFont="1" applyFill="1" applyBorder="1" applyAlignment="1">
      <alignment horizontal="left" vertical="center" indent="2"/>
    </xf>
    <xf numFmtId="0" fontId="95" fillId="0" borderId="36" xfId="0" applyFont="1" applyFill="1" applyBorder="1" applyAlignment="1">
      <alignment horizontal="left" vertical="center" indent="3"/>
    </xf>
    <xf numFmtId="181" fontId="15" fillId="0" borderId="36" xfId="8" applyNumberFormat="1" applyFont="1" applyBorder="1" applyAlignment="1" applyProtection="1">
      <alignment horizontal="right" vertical="center"/>
      <protection locked="0"/>
    </xf>
    <xf numFmtId="0" fontId="15" fillId="0" borderId="36" xfId="0" applyFont="1" applyBorder="1">
      <alignment vertical="center"/>
    </xf>
    <xf numFmtId="0" fontId="15" fillId="7" borderId="36" xfId="0" applyFont="1" applyFill="1" applyBorder="1">
      <alignment vertical="center"/>
    </xf>
    <xf numFmtId="183" fontId="15" fillId="0" borderId="36" xfId="0" applyNumberFormat="1" applyFont="1" applyBorder="1">
      <alignment vertical="center"/>
    </xf>
    <xf numFmtId="183" fontId="15" fillId="7" borderId="36" xfId="0" applyNumberFormat="1" applyFont="1" applyFill="1" applyBorder="1">
      <alignment vertical="center"/>
    </xf>
    <xf numFmtId="181" fontId="15" fillId="0" borderId="36" xfId="8" applyNumberFormat="1" applyFont="1" applyBorder="1">
      <alignment vertical="center"/>
    </xf>
    <xf numFmtId="181" fontId="15" fillId="7" borderId="36" xfId="8" applyNumberFormat="1" applyFont="1" applyFill="1" applyBorder="1">
      <alignment vertical="center"/>
    </xf>
    <xf numFmtId="183" fontId="175" fillId="16" borderId="36" xfId="0" applyNumberFormat="1" applyFont="1" applyFill="1" applyBorder="1" applyProtection="1">
      <alignment vertical="center"/>
      <protection locked="0"/>
    </xf>
    <xf numFmtId="183" fontId="150" fillId="27" borderId="2" xfId="0" applyNumberFormat="1" applyFont="1" applyFill="1" applyBorder="1" applyAlignment="1" applyProtection="1">
      <alignment horizontal="right" vertical="center"/>
      <protection locked="0"/>
    </xf>
    <xf numFmtId="183" fontId="150" fillId="27" borderId="16" xfId="0" applyNumberFormat="1" applyFont="1" applyFill="1" applyBorder="1" applyProtection="1">
      <alignment vertical="center"/>
      <protection locked="0"/>
    </xf>
    <xf numFmtId="183" fontId="150" fillId="27" borderId="0" xfId="7" applyNumberFormat="1" applyFont="1" applyFill="1" applyBorder="1" applyAlignment="1" applyProtection="1">
      <alignment horizontal="right" vertical="center"/>
      <protection locked="0"/>
    </xf>
    <xf numFmtId="183" fontId="150" fillId="27" borderId="0" xfId="0" applyNumberFormat="1" applyFont="1" applyFill="1" applyBorder="1" applyAlignment="1" applyProtection="1">
      <alignment horizontal="right" vertical="center"/>
      <protection locked="0"/>
    </xf>
    <xf numFmtId="183" fontId="150" fillId="27" borderId="3" xfId="0" applyNumberFormat="1" applyFont="1" applyFill="1" applyBorder="1" applyAlignment="1" applyProtection="1">
      <alignment horizontal="right" vertical="center"/>
      <protection locked="0"/>
    </xf>
    <xf numFmtId="183" fontId="15" fillId="27" borderId="36" xfId="0" applyNumberFormat="1" applyFont="1" applyFill="1" applyBorder="1" applyAlignment="1" applyProtection="1">
      <alignment horizontal="right" vertical="center"/>
      <protection locked="0"/>
    </xf>
    <xf numFmtId="183" fontId="95" fillId="27" borderId="36" xfId="0" applyNumberFormat="1" applyFont="1" applyFill="1" applyBorder="1" applyProtection="1">
      <alignment vertical="center"/>
      <protection locked="0"/>
    </xf>
    <xf numFmtId="183" fontId="180" fillId="7" borderId="3" xfId="0" applyNumberFormat="1" applyFont="1" applyFill="1" applyBorder="1" applyAlignment="1">
      <alignment horizontal="right" vertical="center"/>
    </xf>
    <xf numFmtId="183" fontId="142" fillId="27" borderId="38" xfId="0" applyNumberFormat="1" applyFont="1" applyFill="1" applyBorder="1" applyAlignment="1" applyProtection="1">
      <alignment horizontal="right" vertical="center"/>
      <protection locked="0"/>
    </xf>
    <xf numFmtId="183" fontId="15" fillId="27" borderId="36" xfId="0" applyNumberFormat="1" applyFont="1" applyFill="1" applyBorder="1" applyProtection="1">
      <alignment vertical="center"/>
      <protection locked="0"/>
    </xf>
    <xf numFmtId="183" fontId="171" fillId="27" borderId="36" xfId="0" applyNumberFormat="1" applyFont="1" applyFill="1" applyBorder="1" applyAlignment="1" applyProtection="1">
      <alignment horizontal="right" vertical="center"/>
      <protection locked="0"/>
    </xf>
    <xf numFmtId="0" fontId="180" fillId="0" borderId="0" xfId="0" applyFont="1" applyBorder="1" applyProtection="1">
      <alignment vertical="center"/>
      <protection locked="0"/>
    </xf>
    <xf numFmtId="49" fontId="142" fillId="3" borderId="0" xfId="0" applyNumberFormat="1" applyFont="1" applyFill="1" applyBorder="1" applyAlignment="1">
      <alignment horizontal="center" vertical="center"/>
    </xf>
    <xf numFmtId="49" fontId="142" fillId="3" borderId="0" xfId="0" applyNumberFormat="1" applyFont="1" applyFill="1" applyBorder="1">
      <alignment vertical="center"/>
    </xf>
    <xf numFmtId="49" fontId="142" fillId="3" borderId="0" xfId="0" applyNumberFormat="1" applyFont="1" applyFill="1" applyBorder="1" applyAlignment="1">
      <alignment horizontal="right" vertical="center"/>
    </xf>
    <xf numFmtId="49" fontId="15" fillId="0" borderId="0" xfId="0" applyNumberFormat="1" applyFont="1" applyBorder="1">
      <alignment vertical="center"/>
    </xf>
    <xf numFmtId="0" fontId="122" fillId="7" borderId="0" xfId="0" applyFont="1" applyFill="1" applyAlignment="1">
      <alignment horizontal="center" vertical="center"/>
    </xf>
    <xf numFmtId="183" fontId="150" fillId="27" borderId="0" xfId="0" applyNumberFormat="1" applyFont="1" applyFill="1" applyBorder="1" applyProtection="1">
      <alignment vertical="center"/>
      <protection locked="0"/>
    </xf>
    <xf numFmtId="183" fontId="178" fillId="0" borderId="0" xfId="0" applyNumberFormat="1" applyFont="1" applyBorder="1" applyProtection="1">
      <alignment vertical="center"/>
      <protection locked="0"/>
    </xf>
    <xf numFmtId="0" fontId="15" fillId="7" borderId="0" xfId="0" applyFont="1" applyFill="1" applyBorder="1" applyAlignment="1">
      <alignment horizontal="left" vertical="center" indent="1"/>
    </xf>
    <xf numFmtId="0" fontId="15" fillId="7" borderId="0" xfId="0" applyFont="1" applyFill="1">
      <alignment vertical="center"/>
    </xf>
    <xf numFmtId="0" fontId="15" fillId="7" borderId="0" xfId="0" applyFont="1" applyFill="1" applyBorder="1" applyAlignment="1">
      <alignment horizontal="left" vertical="center" indent="2"/>
    </xf>
    <xf numFmtId="0" fontId="15" fillId="7" borderId="0" xfId="0" applyFont="1" applyFill="1" applyBorder="1" applyAlignment="1">
      <alignment horizontal="left" vertical="center" indent="4"/>
    </xf>
    <xf numFmtId="0" fontId="142" fillId="7" borderId="0" xfId="0" applyFont="1" applyFill="1" applyBorder="1" applyAlignment="1">
      <alignment horizontal="left" vertical="center"/>
    </xf>
    <xf numFmtId="0" fontId="122" fillId="7" borderId="0" xfId="0" applyFont="1" applyFill="1" applyBorder="1" applyAlignment="1">
      <alignment horizontal="center" vertical="center"/>
    </xf>
    <xf numFmtId="0" fontId="15" fillId="7" borderId="0" xfId="0" applyFont="1" applyFill="1" applyBorder="1" applyAlignment="1">
      <alignment horizontal="left" vertical="center" indent="3"/>
    </xf>
    <xf numFmtId="183" fontId="150" fillId="0" borderId="0" xfId="0" applyNumberFormat="1" applyFont="1" applyBorder="1">
      <alignment vertical="center"/>
    </xf>
    <xf numFmtId="0" fontId="174" fillId="7" borderId="0" xfId="18" applyFont="1" applyFill="1" applyBorder="1" applyAlignment="1">
      <alignment horizontal="left" vertical="center"/>
    </xf>
    <xf numFmtId="185" fontId="95" fillId="7" borderId="0" xfId="19" applyNumberFormat="1" applyFont="1" applyFill="1" applyBorder="1" applyAlignment="1">
      <alignment horizontal="left" vertical="center" indent="1"/>
    </xf>
    <xf numFmtId="0" fontId="174" fillId="7" borderId="0" xfId="18" applyFont="1" applyFill="1" applyBorder="1" applyAlignment="1">
      <alignment horizontal="center" vertical="center"/>
    </xf>
    <xf numFmtId="0" fontId="174" fillId="7" borderId="0" xfId="18" applyFont="1" applyFill="1" applyBorder="1" applyAlignment="1">
      <alignment vertical="center"/>
    </xf>
    <xf numFmtId="0" fontId="95" fillId="7" borderId="0" xfId="18" applyFont="1" applyFill="1" applyBorder="1" applyAlignment="1">
      <alignment horizontal="left" vertical="center" indent="1"/>
    </xf>
    <xf numFmtId="0" fontId="95" fillId="7" borderId="0" xfId="19" applyFont="1" applyFill="1" applyBorder="1" applyAlignment="1">
      <alignment horizontal="left" vertical="center" indent="1" shrinkToFit="1"/>
    </xf>
    <xf numFmtId="0" fontId="95" fillId="7" borderId="0" xfId="18" applyFont="1" applyFill="1" applyBorder="1" applyAlignment="1">
      <alignment horizontal="left" vertical="center"/>
    </xf>
    <xf numFmtId="0" fontId="95" fillId="7" borderId="0" xfId="19" applyFont="1" applyFill="1" applyBorder="1" applyAlignment="1">
      <alignment horizontal="left" vertical="center" indent="1"/>
    </xf>
    <xf numFmtId="0" fontId="174" fillId="7" borderId="0" xfId="19" applyFont="1" applyFill="1" applyBorder="1" applyAlignment="1">
      <alignment vertical="center" shrinkToFit="1"/>
    </xf>
    <xf numFmtId="0" fontId="142" fillId="0" borderId="0" xfId="0" applyFont="1" applyBorder="1" applyProtection="1">
      <alignment vertical="center"/>
      <protection locked="0"/>
    </xf>
    <xf numFmtId="183" fontId="95" fillId="0" borderId="0" xfId="0" applyNumberFormat="1" applyFont="1" applyBorder="1" applyProtection="1">
      <alignment vertical="center"/>
    </xf>
    <xf numFmtId="0" fontId="142" fillId="3" borderId="0" xfId="0" applyFont="1" applyFill="1" applyBorder="1" applyAlignment="1">
      <alignment vertical="center"/>
    </xf>
    <xf numFmtId="0" fontId="125" fillId="5" borderId="62" xfId="43" applyFont="1" applyFill="1" applyBorder="1" applyAlignment="1">
      <alignment horizontal="center" vertical="center"/>
    </xf>
    <xf numFmtId="0" fontId="14" fillId="0" borderId="36" xfId="0" applyFont="1" applyFill="1" applyBorder="1" applyAlignment="1">
      <alignment horizontal="left" vertical="center" indent="3"/>
    </xf>
    <xf numFmtId="183" fontId="15" fillId="16" borderId="36" xfId="0" applyNumberFormat="1" applyFont="1" applyFill="1" applyBorder="1" applyAlignment="1" applyProtection="1">
      <alignment horizontal="right" vertical="center"/>
      <protection locked="0"/>
    </xf>
    <xf numFmtId="183" fontId="15" fillId="16" borderId="36" xfId="0" applyNumberFormat="1" applyFont="1" applyFill="1" applyBorder="1">
      <alignment vertical="center"/>
    </xf>
    <xf numFmtId="0" fontId="15" fillId="16" borderId="36" xfId="0" applyFont="1" applyFill="1" applyBorder="1">
      <alignment vertical="center"/>
    </xf>
    <xf numFmtId="185" fontId="95" fillId="16" borderId="0" xfId="19" applyNumberFormat="1" applyFont="1" applyFill="1" applyBorder="1" applyAlignment="1">
      <alignment horizontal="left" vertical="center" indent="1"/>
    </xf>
    <xf numFmtId="43" fontId="142" fillId="7" borderId="0" xfId="7" applyFont="1" applyFill="1" applyBorder="1" applyProtection="1">
      <alignment vertical="center"/>
      <protection locked="0"/>
    </xf>
    <xf numFmtId="43" fontId="150" fillId="7" borderId="0" xfId="7" applyFont="1" applyFill="1" applyBorder="1" applyProtection="1">
      <alignment vertical="center"/>
      <protection locked="0"/>
    </xf>
    <xf numFmtId="183" fontId="95" fillId="27" borderId="0" xfId="0" applyNumberFormat="1" applyFont="1" applyFill="1" applyBorder="1" applyProtection="1">
      <alignment vertical="center"/>
    </xf>
    <xf numFmtId="183" fontId="150" fillId="27" borderId="0" xfId="0" applyNumberFormat="1" applyFont="1" applyFill="1" applyBorder="1" applyProtection="1">
      <alignment vertical="center"/>
    </xf>
    <xf numFmtId="0" fontId="95" fillId="16" borderId="0" xfId="18" applyFont="1" applyFill="1" applyBorder="1" applyAlignment="1">
      <alignment horizontal="left" vertical="center" indent="1"/>
    </xf>
    <xf numFmtId="0" fontId="95" fillId="16" borderId="0" xfId="19" applyFont="1" applyFill="1" applyBorder="1" applyAlignment="1">
      <alignment horizontal="left" vertical="center" indent="1" shrinkToFit="1"/>
    </xf>
    <xf numFmtId="0" fontId="15" fillId="7" borderId="7" xfId="0" applyFont="1" applyFill="1" applyBorder="1">
      <alignment vertical="center"/>
    </xf>
    <xf numFmtId="0" fontId="174" fillId="7" borderId="7" xfId="18" applyFont="1" applyFill="1" applyBorder="1" applyAlignment="1">
      <alignment horizontal="left" vertical="center"/>
    </xf>
    <xf numFmtId="183" fontId="150" fillId="0" borderId="7" xfId="0" applyNumberFormat="1" applyFont="1" applyBorder="1" applyProtection="1">
      <alignment vertical="center"/>
      <protection locked="0"/>
    </xf>
    <xf numFmtId="183" fontId="150" fillId="7" borderId="7" xfId="0" applyNumberFormat="1" applyFont="1" applyFill="1" applyBorder="1" applyProtection="1">
      <alignment vertical="center"/>
      <protection locked="0"/>
    </xf>
    <xf numFmtId="0" fontId="14" fillId="0" borderId="49" xfId="0" applyFont="1" applyBorder="1">
      <alignment vertical="center"/>
    </xf>
    <xf numFmtId="0" fontId="14" fillId="0" borderId="0" xfId="0" applyFont="1" applyFill="1" applyBorder="1">
      <alignment vertical="center"/>
    </xf>
    <xf numFmtId="0" fontId="170" fillId="6" borderId="51" xfId="0" applyFont="1" applyFill="1" applyBorder="1">
      <alignment vertical="center"/>
    </xf>
    <xf numFmtId="0" fontId="14" fillId="0" borderId="0" xfId="0" applyFont="1">
      <alignment vertical="center"/>
    </xf>
    <xf numFmtId="0" fontId="14" fillId="0" borderId="0" xfId="0" applyFont="1" applyBorder="1">
      <alignment vertical="center"/>
    </xf>
    <xf numFmtId="0" fontId="169" fillId="3" borderId="51" xfId="0" applyFont="1" applyFill="1" applyBorder="1">
      <alignment vertical="center"/>
    </xf>
    <xf numFmtId="0" fontId="142" fillId="5" borderId="61" xfId="0" applyFont="1" applyFill="1" applyBorder="1" applyAlignment="1">
      <alignment horizontal="center" vertical="center"/>
    </xf>
    <xf numFmtId="43" fontId="14" fillId="0" borderId="0" xfId="7" applyFont="1" applyFill="1" applyBorder="1">
      <alignment vertical="center"/>
    </xf>
    <xf numFmtId="43" fontId="142" fillId="3" borderId="51" xfId="7" applyFont="1" applyFill="1" applyBorder="1">
      <alignment vertical="center"/>
    </xf>
    <xf numFmtId="43" fontId="142" fillId="3" borderId="61" xfId="7" applyFont="1" applyFill="1" applyBorder="1" applyAlignment="1">
      <alignment horizontal="center" vertical="center"/>
    </xf>
    <xf numFmtId="43" fontId="142" fillId="5" borderId="61" xfId="7" applyFont="1" applyFill="1" applyBorder="1" applyAlignment="1">
      <alignment horizontal="center" vertical="center"/>
    </xf>
    <xf numFmtId="43" fontId="14" fillId="0" borderId="0" xfId="7" applyFont="1">
      <alignment vertical="center"/>
    </xf>
    <xf numFmtId="43" fontId="14" fillId="0" borderId="0" xfId="7" applyFont="1" applyBorder="1">
      <alignment vertical="center"/>
    </xf>
    <xf numFmtId="0" fontId="181" fillId="0" borderId="51" xfId="0" applyFont="1" applyFill="1" applyBorder="1">
      <alignment vertical="center"/>
    </xf>
    <xf numFmtId="0" fontId="95" fillId="0" borderId="61" xfId="50" applyFont="1" applyFill="1" applyBorder="1" applyAlignment="1" applyProtection="1">
      <alignment horizontal="left" vertical="center" indent="1"/>
    </xf>
    <xf numFmtId="181" fontId="181" fillId="0" borderId="61" xfId="8" applyNumberFormat="1" applyFont="1" applyFill="1" applyBorder="1">
      <alignment vertical="center"/>
    </xf>
    <xf numFmtId="0" fontId="142" fillId="0" borderId="51" xfId="0" applyFont="1" applyFill="1" applyBorder="1">
      <alignment vertical="center"/>
    </xf>
    <xf numFmtId="181" fontId="178" fillId="27" borderId="61" xfId="8" applyNumberFormat="1" applyFont="1" applyFill="1" applyBorder="1">
      <alignment vertical="center"/>
    </xf>
    <xf numFmtId="9" fontId="142" fillId="0" borderId="61" xfId="8" applyFont="1" applyBorder="1">
      <alignment vertical="center"/>
    </xf>
    <xf numFmtId="192" fontId="14" fillId="0" borderId="61" xfId="7" applyNumberFormat="1" applyFont="1" applyFill="1" applyBorder="1">
      <alignment vertical="center"/>
    </xf>
    <xf numFmtId="192" fontId="181" fillId="0" borderId="61" xfId="7" applyNumberFormat="1" applyFont="1" applyFill="1" applyBorder="1">
      <alignment vertical="center"/>
    </xf>
    <xf numFmtId="43" fontId="178" fillId="27" borderId="61" xfId="7" applyFont="1" applyFill="1" applyBorder="1">
      <alignment vertical="center"/>
    </xf>
    <xf numFmtId="192" fontId="142" fillId="0" borderId="61" xfId="7" applyNumberFormat="1" applyFont="1" applyFill="1" applyBorder="1">
      <alignment vertical="center"/>
    </xf>
    <xf numFmtId="0" fontId="95" fillId="0" borderId="51" xfId="0" applyFont="1" applyFill="1" applyBorder="1" applyAlignment="1">
      <alignment horizontal="left" vertical="center" indent="1"/>
    </xf>
    <xf numFmtId="0" fontId="95" fillId="0" borderId="61" xfId="0" applyFont="1" applyFill="1" applyBorder="1" applyAlignment="1">
      <alignment horizontal="left" vertical="center" indent="1"/>
    </xf>
    <xf numFmtId="43" fontId="14" fillId="0" borderId="61" xfId="7" applyFont="1" applyFill="1" applyBorder="1">
      <alignment vertical="center"/>
    </xf>
    <xf numFmtId="192" fontId="14" fillId="0" borderId="0" xfId="7" applyNumberFormat="1" applyFont="1">
      <alignment vertical="center"/>
    </xf>
    <xf numFmtId="192" fontId="182" fillId="0" borderId="61" xfId="7" applyNumberFormat="1" applyFont="1" applyFill="1" applyBorder="1">
      <alignment vertical="center"/>
    </xf>
    <xf numFmtId="192" fontId="14" fillId="0" borderId="61" xfId="0" applyNumberFormat="1" applyFont="1" applyBorder="1">
      <alignment vertical="center"/>
    </xf>
    <xf numFmtId="43" fontId="14" fillId="0" borderId="61" xfId="0" applyNumberFormat="1" applyFont="1" applyBorder="1">
      <alignment vertical="center"/>
    </xf>
    <xf numFmtId="43" fontId="14" fillId="0" borderId="0" xfId="7" applyFont="1">
      <alignment vertical="center"/>
    </xf>
    <xf numFmtId="0" fontId="14" fillId="0" borderId="51" xfId="0" applyFont="1" applyBorder="1">
      <alignment vertical="center"/>
    </xf>
    <xf numFmtId="0" fontId="14" fillId="0" borderId="51" xfId="0" applyFont="1" applyBorder="1" applyAlignment="1">
      <alignment horizontal="left" vertical="center" indent="2"/>
    </xf>
    <xf numFmtId="0" fontId="14" fillId="0" borderId="61" xfId="0" applyFont="1" applyBorder="1" applyAlignment="1">
      <alignment horizontal="left" vertical="center" indent="2"/>
    </xf>
    <xf numFmtId="0" fontId="14" fillId="0" borderId="51" xfId="0" applyFont="1" applyBorder="1" applyAlignment="1">
      <alignment horizontal="left" vertical="center" indent="1"/>
    </xf>
    <xf numFmtId="43" fontId="14" fillId="34" borderId="61" xfId="7" applyFont="1" applyFill="1" applyBorder="1">
      <alignment vertical="center"/>
    </xf>
    <xf numFmtId="43" fontId="150" fillId="27" borderId="61" xfId="7" applyFont="1" applyFill="1" applyBorder="1">
      <alignment vertical="center"/>
    </xf>
    <xf numFmtId="0" fontId="14" fillId="0" borderId="61" xfId="0" applyFont="1" applyFill="1" applyBorder="1">
      <alignment vertical="center"/>
    </xf>
    <xf numFmtId="10" fontId="14" fillId="0" borderId="0" xfId="8" applyNumberFormat="1" applyFont="1">
      <alignment vertical="center"/>
    </xf>
    <xf numFmtId="0" fontId="183" fillId="0" borderId="51" xfId="0" applyFont="1" applyBorder="1" applyAlignment="1">
      <alignment horizontal="left" vertical="center" indent="2"/>
    </xf>
    <xf numFmtId="192" fontId="183" fillId="0" borderId="61" xfId="7" applyNumberFormat="1" applyFont="1" applyFill="1" applyBorder="1">
      <alignment vertical="center"/>
    </xf>
    <xf numFmtId="0" fontId="183" fillId="0" borderId="49" xfId="0" applyFont="1" applyBorder="1">
      <alignment vertical="center"/>
    </xf>
    <xf numFmtId="10" fontId="14" fillId="0" borderId="61" xfId="8" applyNumberFormat="1" applyFont="1" applyFill="1" applyBorder="1">
      <alignment vertical="center"/>
    </xf>
    <xf numFmtId="10" fontId="14" fillId="0" borderId="61" xfId="7" applyNumberFormat="1" applyFont="1" applyFill="1" applyBorder="1">
      <alignment vertical="center"/>
    </xf>
    <xf numFmtId="0" fontId="14" fillId="0" borderId="0" xfId="0" applyFont="1" applyBorder="1" applyAlignment="1">
      <alignment horizontal="left" vertical="center" indent="1"/>
    </xf>
    <xf numFmtId="43" fontId="14" fillId="0" borderId="0" xfId="7" applyFont="1" applyFill="1" applyBorder="1">
      <alignment vertical="center"/>
    </xf>
    <xf numFmtId="0" fontId="122" fillId="0" borderId="0" xfId="0" applyFont="1" applyAlignment="1">
      <alignment vertical="center"/>
    </xf>
    <xf numFmtId="43" fontId="122" fillId="0" borderId="0" xfId="7" applyFont="1" applyAlignment="1">
      <alignment vertical="center"/>
    </xf>
    <xf numFmtId="0" fontId="14" fillId="16" borderId="0" xfId="0" applyFont="1" applyFill="1">
      <alignment vertical="center"/>
    </xf>
    <xf numFmtId="43" fontId="14" fillId="16" borderId="0" xfId="7" applyFont="1" applyFill="1">
      <alignment vertical="center"/>
    </xf>
    <xf numFmtId="0" fontId="14" fillId="6" borderId="49" xfId="0" applyFont="1" applyFill="1" applyBorder="1">
      <alignment vertical="center"/>
    </xf>
    <xf numFmtId="0" fontId="14" fillId="0" borderId="0" xfId="0" applyFont="1" applyFill="1" applyBorder="1">
      <alignment vertical="center"/>
    </xf>
    <xf numFmtId="0" fontId="142" fillId="3" borderId="51" xfId="0" applyFont="1" applyFill="1" applyBorder="1">
      <alignment vertical="center"/>
    </xf>
    <xf numFmtId="0" fontId="142" fillId="5" borderId="61" xfId="0" applyFont="1" applyFill="1" applyBorder="1" applyAlignment="1">
      <alignment horizontal="right" vertical="center"/>
    </xf>
    <xf numFmtId="0" fontId="14" fillId="0" borderId="0" xfId="0" applyFont="1" applyBorder="1">
      <alignment vertical="center"/>
    </xf>
    <xf numFmtId="0" fontId="14" fillId="0" borderId="0" xfId="0" applyFont="1" applyFill="1">
      <alignment vertical="center"/>
    </xf>
    <xf numFmtId="0" fontId="185" fillId="0" borderId="51" xfId="60" applyFont="1" applyFill="1" applyBorder="1" applyAlignment="1">
      <alignment horizontal="left" wrapText="1"/>
    </xf>
    <xf numFmtId="0" fontId="142" fillId="0" borderId="61" xfId="0" applyFont="1" applyFill="1" applyBorder="1" applyAlignment="1">
      <alignment horizontal="right" vertical="center"/>
    </xf>
    <xf numFmtId="10" fontId="14" fillId="0" borderId="49" xfId="53" applyNumberFormat="1" applyFont="1" applyFill="1" applyBorder="1" applyAlignment="1">
      <alignment vertical="center"/>
    </xf>
    <xf numFmtId="0" fontId="14" fillId="0" borderId="51" xfId="0" applyFont="1" applyFill="1" applyBorder="1" applyAlignment="1">
      <alignment horizontal="left" vertical="center" wrapText="1" indent="1"/>
    </xf>
    <xf numFmtId="43" fontId="14" fillId="0" borderId="61" xfId="7" applyFont="1" applyBorder="1">
      <alignment vertical="center"/>
    </xf>
    <xf numFmtId="0" fontId="14" fillId="0" borderId="49" xfId="0" applyFont="1" applyFill="1" applyBorder="1" applyAlignment="1">
      <alignment vertical="center"/>
    </xf>
    <xf numFmtId="0" fontId="186" fillId="0" borderId="49" xfId="0" applyFont="1" applyFill="1" applyBorder="1" applyAlignment="1">
      <alignment horizontal="right" vertical="center"/>
    </xf>
    <xf numFmtId="0" fontId="142" fillId="0" borderId="49" xfId="0" applyFont="1" applyFill="1" applyBorder="1" applyAlignment="1">
      <alignment vertical="center" wrapText="1"/>
    </xf>
    <xf numFmtId="0" fontId="14" fillId="0" borderId="49" xfId="0" applyFont="1" applyFill="1" applyBorder="1" applyAlignment="1">
      <alignment vertical="center" wrapText="1"/>
    </xf>
    <xf numFmtId="0" fontId="122" fillId="0" borderId="49" xfId="0" applyFont="1" applyFill="1" applyBorder="1" applyAlignment="1">
      <alignment vertical="center" wrapText="1"/>
    </xf>
    <xf numFmtId="0" fontId="142" fillId="0" borderId="51" xfId="0" applyFont="1" applyFill="1" applyBorder="1" applyAlignment="1">
      <alignment horizontal="left" vertical="center" wrapText="1" indent="1"/>
    </xf>
    <xf numFmtId="0" fontId="185" fillId="0" borderId="51" xfId="61" applyFont="1" applyFill="1" applyBorder="1" applyAlignment="1">
      <alignment horizontal="left" wrapText="1"/>
    </xf>
    <xf numFmtId="0" fontId="142" fillId="0" borderId="51" xfId="0" applyFont="1" applyFill="1" applyBorder="1" applyAlignment="1">
      <alignment vertical="center" wrapText="1"/>
    </xf>
    <xf numFmtId="0" fontId="185" fillId="0" borderId="51" xfId="0" applyFont="1" applyFill="1" applyBorder="1" applyAlignment="1">
      <alignment vertical="center" wrapText="1"/>
    </xf>
    <xf numFmtId="192" fontId="14" fillId="0" borderId="61" xfId="7" applyNumberFormat="1" applyFont="1" applyBorder="1">
      <alignment vertical="center"/>
    </xf>
    <xf numFmtId="0" fontId="14" fillId="6" borderId="0" xfId="0" applyFont="1" applyFill="1" applyBorder="1">
      <alignment vertical="center"/>
    </xf>
    <xf numFmtId="0" fontId="170" fillId="6" borderId="0" xfId="0" applyFont="1" applyFill="1" applyBorder="1">
      <alignment vertical="center"/>
    </xf>
    <xf numFmtId="0" fontId="14" fillId="3" borderId="0" xfId="0" applyFont="1" applyFill="1" applyBorder="1">
      <alignment vertical="center"/>
    </xf>
    <xf numFmtId="0" fontId="142" fillId="5" borderId="0" xfId="0" applyFont="1" applyFill="1" applyBorder="1" applyAlignment="1">
      <alignment horizontal="center" vertical="center"/>
    </xf>
    <xf numFmtId="0" fontId="142" fillId="3" borderId="0" xfId="0" applyFont="1" applyFill="1" applyBorder="1">
      <alignment vertical="center"/>
    </xf>
    <xf numFmtId="49" fontId="142" fillId="5" borderId="0" xfId="0" applyNumberFormat="1" applyFont="1" applyFill="1" applyBorder="1" applyAlignment="1">
      <alignment horizontal="right" vertical="center"/>
    </xf>
    <xf numFmtId="0" fontId="14" fillId="7" borderId="0" xfId="0" applyFont="1" applyFill="1" applyBorder="1" applyAlignment="1">
      <alignment vertical="center" wrapText="1"/>
    </xf>
    <xf numFmtId="0" fontId="185" fillId="0" borderId="55" xfId="0" applyFont="1" applyFill="1" applyBorder="1" applyAlignment="1">
      <alignment vertical="center" wrapText="1"/>
    </xf>
    <xf numFmtId="0" fontId="95" fillId="0" borderId="56" xfId="0" applyFont="1" applyFill="1" applyBorder="1" applyAlignment="1">
      <alignment vertical="center" wrapText="1"/>
    </xf>
    <xf numFmtId="0" fontId="14" fillId="0" borderId="60" xfId="0" applyFont="1" applyFill="1" applyBorder="1" applyAlignment="1">
      <alignment vertical="center" wrapText="1"/>
    </xf>
    <xf numFmtId="0" fontId="14" fillId="0" borderId="0" xfId="0" applyFont="1" applyBorder="1" applyAlignment="1">
      <alignment vertical="center" wrapText="1"/>
    </xf>
    <xf numFmtId="0" fontId="14" fillId="0" borderId="0" xfId="0" applyFont="1" applyAlignment="1">
      <alignment vertical="center" wrapText="1"/>
    </xf>
    <xf numFmtId="0" fontId="14" fillId="0" borderId="55" xfId="0" applyFont="1" applyFill="1" applyBorder="1" applyAlignment="1">
      <alignment horizontal="left" vertical="center" wrapText="1" indent="1"/>
    </xf>
    <xf numFmtId="10" fontId="95" fillId="0" borderId="56" xfId="8" applyNumberFormat="1" applyFont="1" applyFill="1" applyBorder="1" applyAlignment="1">
      <alignment vertical="center" wrapText="1"/>
    </xf>
    <xf numFmtId="188" fontId="95" fillId="0" borderId="56" xfId="0" applyNumberFormat="1" applyFont="1" applyFill="1" applyBorder="1" applyAlignment="1">
      <alignment vertical="center" wrapText="1"/>
    </xf>
    <xf numFmtId="43" fontId="95" fillId="27" borderId="56" xfId="7" applyFont="1" applyFill="1" applyBorder="1" applyAlignment="1">
      <alignment vertical="center" wrapText="1"/>
    </xf>
    <xf numFmtId="0" fontId="142" fillId="0" borderId="60" xfId="0" applyFont="1" applyFill="1" applyBorder="1" applyAlignment="1">
      <alignment vertical="center" wrapText="1"/>
    </xf>
    <xf numFmtId="43" fontId="95" fillId="0" borderId="56" xfId="7" applyFont="1" applyFill="1" applyBorder="1" applyAlignment="1">
      <alignment vertical="center" wrapText="1"/>
    </xf>
    <xf numFmtId="0" fontId="180" fillId="0" borderId="60" xfId="0" applyFont="1" applyFill="1" applyBorder="1" applyAlignment="1">
      <alignment vertical="center" wrapText="1"/>
    </xf>
    <xf numFmtId="0" fontId="142" fillId="0" borderId="55" xfId="0" applyFont="1" applyFill="1" applyBorder="1" applyAlignment="1">
      <alignment vertical="center" wrapText="1"/>
    </xf>
    <xf numFmtId="0" fontId="142" fillId="0" borderId="57" xfId="0" applyFont="1" applyFill="1" applyBorder="1" applyAlignment="1">
      <alignment vertical="center" wrapText="1"/>
    </xf>
    <xf numFmtId="208" fontId="95" fillId="0" borderId="56" xfId="59" applyFont="1" applyFill="1" applyBorder="1" applyAlignment="1">
      <alignment horizontal="right" wrapText="1"/>
    </xf>
    <xf numFmtId="0" fontId="14" fillId="0" borderId="57" xfId="0" applyFont="1" applyFill="1" applyBorder="1" applyAlignment="1">
      <alignment vertical="center" wrapText="1"/>
    </xf>
    <xf numFmtId="208" fontId="95" fillId="0" borderId="56" xfId="59" applyFont="1" applyFill="1" applyBorder="1" applyAlignment="1">
      <alignment vertical="center" wrapText="1"/>
    </xf>
    <xf numFmtId="188" fontId="95" fillId="0" borderId="56" xfId="59" applyNumberFormat="1" applyFont="1" applyFill="1" applyBorder="1" applyAlignment="1">
      <alignment horizontal="right" vertical="center" wrapText="1"/>
    </xf>
    <xf numFmtId="0" fontId="177" fillId="6" borderId="0" xfId="6" applyFont="1" applyFill="1" applyBorder="1">
      <alignment vertical="center"/>
    </xf>
    <xf numFmtId="0" fontId="170" fillId="6" borderId="0" xfId="0" applyFont="1" applyFill="1" applyBorder="1" applyAlignment="1">
      <alignment horizontal="center" vertical="center"/>
    </xf>
    <xf numFmtId="0" fontId="14" fillId="3" borderId="0" xfId="0" applyFont="1" applyFill="1" applyBorder="1">
      <alignment vertical="center"/>
    </xf>
    <xf numFmtId="0" fontId="142" fillId="5" borderId="0" xfId="0" applyFont="1" applyFill="1" applyBorder="1" applyAlignment="1">
      <alignment horizontal="right" vertical="center"/>
    </xf>
    <xf numFmtId="0" fontId="14" fillId="7" borderId="0" xfId="0" applyFont="1" applyFill="1" applyBorder="1">
      <alignment vertical="center"/>
    </xf>
    <xf numFmtId="180" fontId="95" fillId="0" borderId="2" xfId="0" applyNumberFormat="1" applyFont="1" applyFill="1" applyBorder="1">
      <alignment vertical="center"/>
    </xf>
    <xf numFmtId="0" fontId="14" fillId="0" borderId="2" xfId="0" applyFont="1" applyFill="1" applyBorder="1">
      <alignment vertical="center"/>
    </xf>
    <xf numFmtId="0" fontId="14" fillId="7" borderId="0" xfId="0" applyFont="1" applyFill="1" applyBorder="1" applyAlignment="1">
      <alignment horizontal="left" vertical="center" indent="2"/>
    </xf>
    <xf numFmtId="183" fontId="95" fillId="0" borderId="0" xfId="0" applyNumberFormat="1" applyFont="1" applyBorder="1">
      <alignment vertical="center"/>
    </xf>
    <xf numFmtId="183" fontId="95" fillId="7" borderId="0" xfId="0" applyNumberFormat="1" applyFont="1" applyFill="1" applyBorder="1" applyAlignment="1">
      <alignment horizontal="right" vertical="center"/>
    </xf>
    <xf numFmtId="183" fontId="95" fillId="0" borderId="0" xfId="0" applyNumberFormat="1" applyFont="1" applyBorder="1" applyAlignment="1">
      <alignment horizontal="right" vertical="center"/>
    </xf>
    <xf numFmtId="183" fontId="95" fillId="0" borderId="0" xfId="0" applyNumberFormat="1" applyFont="1" applyFill="1" applyBorder="1">
      <alignment vertical="center"/>
    </xf>
    <xf numFmtId="0" fontId="14" fillId="7" borderId="3" xfId="0" applyFont="1" applyFill="1" applyBorder="1" applyAlignment="1">
      <alignment horizontal="left" vertical="center" indent="2"/>
    </xf>
    <xf numFmtId="183" fontId="95" fillId="0" borderId="3" xfId="0" applyNumberFormat="1" applyFont="1" applyFill="1" applyBorder="1">
      <alignment vertical="center"/>
    </xf>
    <xf numFmtId="183" fontId="95" fillId="7" borderId="3" xfId="0" applyNumberFormat="1" applyFont="1" applyFill="1" applyBorder="1" applyAlignment="1">
      <alignment horizontal="right" vertical="center"/>
    </xf>
    <xf numFmtId="0" fontId="142" fillId="7" borderId="0" xfId="0" applyFont="1" applyFill="1" applyBorder="1" applyAlignment="1">
      <alignment horizontal="left" vertical="center" indent="1"/>
    </xf>
    <xf numFmtId="183" fontId="174" fillId="0" borderId="0" xfId="0" applyNumberFormat="1" applyFont="1" applyFill="1" applyBorder="1">
      <alignment vertical="center"/>
    </xf>
    <xf numFmtId="183" fontId="174" fillId="7" borderId="0" xfId="0" applyNumberFormat="1" applyFont="1" applyFill="1" applyBorder="1" applyAlignment="1">
      <alignment horizontal="right" vertical="center"/>
    </xf>
    <xf numFmtId="183" fontId="95" fillId="0" borderId="2" xfId="0" applyNumberFormat="1" applyFont="1" applyFill="1" applyBorder="1">
      <alignment vertical="center"/>
    </xf>
    <xf numFmtId="183" fontId="95" fillId="7" borderId="2" xfId="0" applyNumberFormat="1" applyFont="1" applyFill="1" applyBorder="1" applyAlignment="1">
      <alignment horizontal="right" vertical="center"/>
    </xf>
    <xf numFmtId="0" fontId="14" fillId="0" borderId="3" xfId="0" applyFont="1" applyFill="1" applyBorder="1">
      <alignment vertical="center"/>
    </xf>
    <xf numFmtId="0" fontId="95" fillId="0" borderId="0" xfId="0" applyFont="1" applyFill="1" applyBorder="1">
      <alignment vertical="center"/>
    </xf>
    <xf numFmtId="0" fontId="95" fillId="0" borderId="0" xfId="0" applyFont="1" applyBorder="1">
      <alignment vertical="center"/>
    </xf>
    <xf numFmtId="183" fontId="95" fillId="7" borderId="0" xfId="0" applyNumberFormat="1" applyFont="1" applyFill="1" applyBorder="1">
      <alignment vertical="center"/>
    </xf>
    <xf numFmtId="0" fontId="14" fillId="7" borderId="0" xfId="0" applyFont="1" applyFill="1" applyBorder="1" applyAlignment="1">
      <alignment horizontal="left" vertical="center" indent="1"/>
    </xf>
    <xf numFmtId="0" fontId="142" fillId="7" borderId="3" xfId="0" applyFont="1" applyFill="1" applyBorder="1" applyAlignment="1">
      <alignment horizontal="left" vertical="center"/>
    </xf>
    <xf numFmtId="180" fontId="14" fillId="0" borderId="0" xfId="0" applyNumberFormat="1" applyFont="1" applyBorder="1">
      <alignment vertical="center"/>
    </xf>
    <xf numFmtId="0" fontId="14" fillId="0" borderId="62" xfId="0" applyFont="1" applyBorder="1">
      <alignment vertical="center"/>
    </xf>
    <xf numFmtId="10" fontId="14" fillId="0" borderId="62" xfId="7" applyNumberFormat="1" applyFont="1" applyBorder="1">
      <alignment vertical="center"/>
    </xf>
    <xf numFmtId="0" fontId="142" fillId="7" borderId="0" xfId="0" applyFont="1" applyFill="1" applyBorder="1" applyAlignment="1">
      <alignment horizontal="right" vertical="center"/>
    </xf>
    <xf numFmtId="0" fontId="142" fillId="0" borderId="0" xfId="0" applyFont="1" applyFill="1" applyBorder="1" applyAlignment="1">
      <alignment horizontal="center" vertical="center"/>
    </xf>
    <xf numFmtId="0" fontId="174" fillId="0" borderId="0" xfId="0" applyFont="1" applyFill="1" applyBorder="1" applyAlignment="1">
      <alignment horizontal="right" vertical="center"/>
    </xf>
    <xf numFmtId="3" fontId="95" fillId="7" borderId="0" xfId="5" applyNumberFormat="1" applyFont="1" applyFill="1" applyBorder="1" applyAlignment="1" applyProtection="1">
      <alignment horizontal="left" vertical="center" indent="2"/>
      <protection locked="0"/>
    </xf>
    <xf numFmtId="49" fontId="174" fillId="7" borderId="0" xfId="5" applyNumberFormat="1" applyFont="1" applyFill="1" applyBorder="1" applyAlignment="1" applyProtection="1">
      <alignment horizontal="center" vertical="center" wrapText="1"/>
      <protection locked="0"/>
    </xf>
    <xf numFmtId="0" fontId="174" fillId="7" borderId="0" xfId="5" applyFont="1" applyFill="1" applyBorder="1" applyAlignment="1" applyProtection="1">
      <alignment horizontal="left" vertical="center" indent="1"/>
      <protection locked="0"/>
    </xf>
    <xf numFmtId="0" fontId="95" fillId="7" borderId="0" xfId="5" applyFont="1" applyFill="1" applyBorder="1" applyAlignment="1" applyProtection="1">
      <alignment horizontal="left" vertical="center" indent="2"/>
      <protection locked="0"/>
    </xf>
    <xf numFmtId="49" fontId="174" fillId="7" borderId="3" xfId="5" applyNumberFormat="1" applyFont="1" applyFill="1" applyBorder="1" applyAlignment="1" applyProtection="1">
      <alignment horizontal="left" vertical="center" wrapText="1"/>
      <protection locked="0"/>
    </xf>
    <xf numFmtId="183" fontId="95" fillId="0" borderId="3" xfId="0" applyNumberFormat="1" applyFont="1" applyBorder="1">
      <alignment vertical="center"/>
    </xf>
    <xf numFmtId="183" fontId="95" fillId="7" borderId="3" xfId="0" applyNumberFormat="1" applyFont="1" applyFill="1" applyBorder="1">
      <alignment vertical="center"/>
    </xf>
    <xf numFmtId="183" fontId="14" fillId="0" borderId="19" xfId="0" applyNumberFormat="1" applyFont="1" applyFill="1" applyBorder="1">
      <alignment vertical="center"/>
    </xf>
    <xf numFmtId="49" fontId="174" fillId="7" borderId="0" xfId="5" applyNumberFormat="1" applyFont="1" applyFill="1" applyBorder="1" applyAlignment="1" applyProtection="1">
      <alignment horizontal="left" vertical="center" wrapText="1"/>
      <protection locked="0"/>
    </xf>
    <xf numFmtId="49" fontId="174" fillId="7" borderId="0" xfId="5" applyNumberFormat="1" applyFont="1" applyFill="1" applyBorder="1" applyAlignment="1" applyProtection="1">
      <alignment horizontal="left" vertical="center" wrapText="1" indent="1"/>
      <protection locked="0"/>
    </xf>
    <xf numFmtId="49" fontId="95" fillId="7" borderId="0" xfId="5" applyNumberFormat="1" applyFont="1" applyFill="1" applyBorder="1" applyAlignment="1" applyProtection="1">
      <alignment horizontal="left" vertical="center" wrapText="1" indent="2"/>
      <protection locked="0"/>
    </xf>
    <xf numFmtId="49" fontId="95" fillId="7" borderId="0" xfId="5" applyNumberFormat="1" applyFont="1" applyFill="1" applyBorder="1" applyAlignment="1" applyProtection="1">
      <alignment horizontal="left" vertical="center" indent="2"/>
      <protection locked="0"/>
    </xf>
    <xf numFmtId="0" fontId="14" fillId="0" borderId="19" xfId="0" applyFont="1" applyFill="1" applyBorder="1">
      <alignment vertical="center"/>
    </xf>
    <xf numFmtId="43" fontId="95" fillId="7" borderId="0" xfId="0" applyNumberFormat="1" applyFont="1" applyFill="1" applyBorder="1">
      <alignment vertical="center"/>
    </xf>
    <xf numFmtId="191" fontId="14" fillId="0" borderId="0" xfId="0" applyNumberFormat="1" applyFont="1" applyFill="1" applyBorder="1">
      <alignment vertical="center"/>
    </xf>
    <xf numFmtId="183" fontId="14" fillId="0" borderId="0" xfId="0" applyNumberFormat="1" applyFont="1" applyFill="1" applyBorder="1">
      <alignment vertical="center"/>
    </xf>
    <xf numFmtId="193" fontId="14" fillId="0" borderId="0" xfId="0" applyNumberFormat="1" applyFont="1" applyFill="1" applyBorder="1">
      <alignment vertical="center"/>
    </xf>
    <xf numFmtId="0" fontId="170" fillId="0" borderId="0" xfId="0" applyFont="1">
      <alignment vertical="center"/>
    </xf>
    <xf numFmtId="183" fontId="14" fillId="0" borderId="0" xfId="0" applyNumberFormat="1" applyFont="1" applyFill="1">
      <alignment vertical="center"/>
    </xf>
    <xf numFmtId="183" fontId="95" fillId="7" borderId="0" xfId="0" applyNumberFormat="1" applyFont="1" applyFill="1">
      <alignment vertical="center"/>
    </xf>
    <xf numFmtId="181" fontId="14" fillId="0" borderId="0" xfId="8" applyNumberFormat="1" applyFont="1" applyFill="1" applyBorder="1">
      <alignment vertical="center"/>
    </xf>
    <xf numFmtId="181" fontId="95" fillId="7" borderId="0" xfId="8" applyNumberFormat="1" applyFont="1" applyFill="1" applyBorder="1">
      <alignment vertical="center"/>
    </xf>
    <xf numFmtId="0" fontId="187" fillId="7" borderId="2" xfId="0" applyFont="1" applyFill="1" applyBorder="1">
      <alignment vertical="center"/>
    </xf>
    <xf numFmtId="183" fontId="171" fillId="0" borderId="2" xfId="0" applyNumberFormat="1" applyFont="1" applyFill="1" applyBorder="1">
      <alignment vertical="center"/>
    </xf>
    <xf numFmtId="0" fontId="171" fillId="0" borderId="2" xfId="0" applyFont="1" applyFill="1" applyBorder="1">
      <alignment vertical="center"/>
    </xf>
    <xf numFmtId="0" fontId="188" fillId="7" borderId="0" xfId="10" applyFont="1" applyFill="1" applyAlignment="1">
      <alignment horizontal="left" vertical="center" indent="1"/>
    </xf>
    <xf numFmtId="183" fontId="171" fillId="0" borderId="0" xfId="0" applyNumberFormat="1" applyFont="1" applyFill="1" applyBorder="1">
      <alignment vertical="center"/>
    </xf>
    <xf numFmtId="183" fontId="172" fillId="7" borderId="0" xfId="0" applyNumberFormat="1" applyFont="1" applyFill="1" applyBorder="1">
      <alignment vertical="center"/>
    </xf>
    <xf numFmtId="0" fontId="171" fillId="0" borderId="0" xfId="0" applyFont="1" applyFill="1" applyBorder="1">
      <alignment vertical="center"/>
    </xf>
    <xf numFmtId="183" fontId="14" fillId="0" borderId="0" xfId="0" applyNumberFormat="1" applyFont="1" applyBorder="1">
      <alignment vertical="center"/>
    </xf>
    <xf numFmtId="43" fontId="14" fillId="0" borderId="0" xfId="7" applyFont="1" applyBorder="1">
      <alignment vertical="center"/>
    </xf>
    <xf numFmtId="0" fontId="188" fillId="7" borderId="22" xfId="10" applyFont="1" applyFill="1" applyBorder="1" applyAlignment="1">
      <alignment horizontal="left" vertical="center" indent="1"/>
    </xf>
    <xf numFmtId="183" fontId="171" fillId="0" borderId="22" xfId="0" applyNumberFormat="1" applyFont="1" applyFill="1" applyBorder="1">
      <alignment vertical="center"/>
    </xf>
    <xf numFmtId="183" fontId="172" fillId="7" borderId="22" xfId="0" applyNumberFormat="1" applyFont="1" applyFill="1" applyBorder="1">
      <alignment vertical="center"/>
    </xf>
    <xf numFmtId="0" fontId="188" fillId="7" borderId="0" xfId="10" applyFont="1" applyFill="1" applyAlignment="1">
      <alignment horizontal="left" vertical="center" indent="2"/>
    </xf>
    <xf numFmtId="183" fontId="171" fillId="0" borderId="0" xfId="0" applyNumberFormat="1" applyFont="1" applyBorder="1">
      <alignment vertical="center"/>
    </xf>
    <xf numFmtId="183" fontId="171" fillId="7" borderId="0" xfId="0" applyNumberFormat="1" applyFont="1" applyFill="1" applyBorder="1">
      <alignment vertical="center"/>
    </xf>
    <xf numFmtId="0" fontId="188" fillId="7" borderId="0" xfId="10" applyFont="1" applyFill="1" applyAlignment="1">
      <alignment horizontal="left" vertical="center" indent="3"/>
    </xf>
    <xf numFmtId="0" fontId="14" fillId="0" borderId="62" xfId="0" applyFont="1" applyBorder="1" applyAlignment="1">
      <alignment horizontal="center" vertical="center"/>
    </xf>
    <xf numFmtId="43" fontId="14" fillId="0" borderId="62" xfId="7" applyFont="1" applyBorder="1" applyAlignment="1">
      <alignment horizontal="center" vertical="center"/>
    </xf>
    <xf numFmtId="43" fontId="14" fillId="0" borderId="62" xfId="7" applyFont="1" applyBorder="1">
      <alignment vertical="center"/>
    </xf>
    <xf numFmtId="181" fontId="14" fillId="16" borderId="62" xfId="7" applyNumberFormat="1" applyFont="1" applyFill="1" applyBorder="1">
      <alignment vertical="center"/>
    </xf>
    <xf numFmtId="10" fontId="14" fillId="16" borderId="62" xfId="8" applyNumberFormat="1" applyFont="1" applyFill="1" applyBorder="1">
      <alignment vertical="center"/>
    </xf>
    <xf numFmtId="0" fontId="142" fillId="0" borderId="62" xfId="0" applyFont="1" applyBorder="1" applyAlignment="1">
      <alignment horizontal="center" vertical="center"/>
    </xf>
    <xf numFmtId="0" fontId="142" fillId="0" borderId="62" xfId="0" applyFont="1" applyFill="1" applyBorder="1" applyAlignment="1">
      <alignment horizontal="center" vertical="center"/>
    </xf>
    <xf numFmtId="43" fontId="14" fillId="16" borderId="62" xfId="7" applyFont="1" applyFill="1" applyBorder="1">
      <alignment vertical="center"/>
    </xf>
    <xf numFmtId="194" fontId="142" fillId="3" borderId="0" xfId="0" applyNumberFormat="1" applyFont="1" applyFill="1" applyBorder="1" applyAlignment="1">
      <alignment horizontal="right" vertical="center"/>
    </xf>
    <xf numFmtId="194" fontId="142" fillId="5" borderId="0" xfId="0" applyNumberFormat="1" applyFont="1" applyFill="1" applyBorder="1" applyAlignment="1">
      <alignment horizontal="right" vertical="center"/>
    </xf>
    <xf numFmtId="3" fontId="142" fillId="7" borderId="5" xfId="29" applyNumberFormat="1" applyFont="1" applyFill="1" applyBorder="1" applyAlignment="1">
      <alignment vertical="center"/>
      <protection locked="0"/>
    </xf>
    <xf numFmtId="183" fontId="95" fillId="0" borderId="5" xfId="30" applyNumberFormat="1" applyFont="1" applyFill="1" applyBorder="1" applyAlignment="1">
      <alignment horizontal="right" vertical="center"/>
    </xf>
    <xf numFmtId="0" fontId="14" fillId="0" borderId="5" xfId="0" applyFont="1" applyBorder="1">
      <alignment vertical="center"/>
    </xf>
    <xf numFmtId="10" fontId="14" fillId="0" borderId="0" xfId="8" applyNumberFormat="1" applyFont="1" applyBorder="1">
      <alignment vertical="center"/>
    </xf>
    <xf numFmtId="3" fontId="142" fillId="7" borderId="36" xfId="29" applyNumberFormat="1" applyFont="1" applyFill="1" applyBorder="1" applyAlignment="1">
      <alignment vertical="center"/>
      <protection locked="0"/>
    </xf>
    <xf numFmtId="183" fontId="95" fillId="0" borderId="36" xfId="30" applyNumberFormat="1" applyFont="1" applyFill="1" applyBorder="1" applyAlignment="1">
      <alignment horizontal="right" vertical="center"/>
    </xf>
    <xf numFmtId="183" fontId="14" fillId="7" borderId="36" xfId="0" applyNumberFormat="1" applyFont="1" applyFill="1" applyBorder="1">
      <alignment vertical="center"/>
    </xf>
    <xf numFmtId="0" fontId="14" fillId="0" borderId="36" xfId="0" applyFont="1" applyBorder="1">
      <alignment vertical="center"/>
    </xf>
    <xf numFmtId="3" fontId="14" fillId="7" borderId="36" xfId="29" applyNumberFormat="1" applyFont="1" applyFill="1" applyBorder="1" applyAlignment="1">
      <alignment horizontal="left" vertical="center" indent="1"/>
      <protection locked="0"/>
    </xf>
    <xf numFmtId="0" fontId="14" fillId="7" borderId="36" xfId="29" applyFont="1" applyFill="1" applyBorder="1" applyAlignment="1">
      <alignment horizontal="left" vertical="center" indent="1"/>
      <protection locked="0"/>
    </xf>
    <xf numFmtId="0" fontId="14" fillId="0" borderId="36" xfId="0" applyFont="1" applyFill="1" applyBorder="1">
      <alignment vertical="center"/>
    </xf>
    <xf numFmtId="0" fontId="142" fillId="7" borderId="36" xfId="29" applyFont="1" applyFill="1" applyBorder="1" applyAlignment="1">
      <alignment vertical="center"/>
      <protection locked="0"/>
    </xf>
    <xf numFmtId="0" fontId="14" fillId="7" borderId="40" xfId="29" applyFont="1" applyFill="1" applyBorder="1" applyAlignment="1">
      <alignment horizontal="left" vertical="center" indent="1"/>
      <protection locked="0"/>
    </xf>
    <xf numFmtId="183" fontId="95" fillId="0" borderId="40" xfId="30" applyNumberFormat="1" applyFont="1" applyFill="1" applyBorder="1" applyAlignment="1">
      <alignment horizontal="right" vertical="center"/>
    </xf>
    <xf numFmtId="183" fontId="14" fillId="7" borderId="40" xfId="0" applyNumberFormat="1" applyFont="1" applyFill="1" applyBorder="1">
      <alignment vertical="center"/>
    </xf>
    <xf numFmtId="0" fontId="14" fillId="0" borderId="40" xfId="0" applyFont="1" applyBorder="1">
      <alignment vertical="center"/>
    </xf>
    <xf numFmtId="0" fontId="142" fillId="7" borderId="5" xfId="29" applyFont="1" applyFill="1" applyBorder="1" applyAlignment="1">
      <alignment vertical="center"/>
      <protection locked="0"/>
    </xf>
    <xf numFmtId="183" fontId="174" fillId="0" borderId="5" xfId="30" applyNumberFormat="1" applyFont="1" applyFill="1" applyBorder="1" applyAlignment="1">
      <alignment horizontal="right" vertical="center"/>
    </xf>
    <xf numFmtId="183" fontId="142" fillId="7" borderId="5" xfId="0" applyNumberFormat="1" applyFont="1" applyFill="1" applyBorder="1">
      <alignment vertical="center"/>
    </xf>
    <xf numFmtId="43" fontId="188" fillId="0" borderId="0" xfId="7" applyFont="1" applyAlignment="1">
      <alignment vertical="center"/>
    </xf>
    <xf numFmtId="0" fontId="188" fillId="0" borderId="0" xfId="10" applyFont="1" applyAlignment="1">
      <alignment vertical="center"/>
    </xf>
    <xf numFmtId="43" fontId="125" fillId="0" borderId="0" xfId="7" applyFont="1" applyAlignment="1">
      <alignment vertical="center"/>
    </xf>
    <xf numFmtId="0" fontId="125" fillId="0" borderId="0" xfId="10" applyFont="1" applyAlignment="1">
      <alignment vertical="center"/>
    </xf>
    <xf numFmtId="192" fontId="14" fillId="16" borderId="62" xfId="7" applyNumberFormat="1" applyFont="1" applyFill="1" applyBorder="1">
      <alignment vertical="center"/>
    </xf>
    <xf numFmtId="191" fontId="14" fillId="0" borderId="0" xfId="0" applyNumberFormat="1" applyFont="1" applyBorder="1">
      <alignment vertical="center"/>
    </xf>
    <xf numFmtId="0" fontId="142" fillId="3" borderId="41" xfId="0" applyFont="1" applyFill="1" applyBorder="1" applyAlignment="1">
      <alignment horizontal="center" vertical="center"/>
    </xf>
    <xf numFmtId="0" fontId="142" fillId="3" borderId="42" xfId="0" applyFont="1" applyFill="1" applyBorder="1" applyAlignment="1">
      <alignment horizontal="center" vertical="center"/>
    </xf>
    <xf numFmtId="0" fontId="142" fillId="3" borderId="43" xfId="0" applyFont="1" applyFill="1" applyBorder="1" applyAlignment="1">
      <alignment horizontal="center" vertical="center"/>
    </xf>
    <xf numFmtId="0" fontId="142" fillId="3" borderId="10" xfId="0" applyFont="1" applyFill="1" applyBorder="1" applyAlignment="1">
      <alignment horizontal="center" vertical="center"/>
    </xf>
    <xf numFmtId="0" fontId="142" fillId="3" borderId="11" xfId="0" applyFont="1" applyFill="1" applyBorder="1" applyAlignment="1">
      <alignment horizontal="center" vertical="center"/>
    </xf>
    <xf numFmtId="3" fontId="142" fillId="7" borderId="82" xfId="29" applyNumberFormat="1" applyFont="1" applyFill="1" applyBorder="1" applyAlignment="1">
      <alignment horizontal="left" vertical="center" indent="1"/>
      <protection locked="0"/>
    </xf>
    <xf numFmtId="43" fontId="14" fillId="0" borderId="11" xfId="7" applyFont="1" applyBorder="1">
      <alignment vertical="center"/>
    </xf>
    <xf numFmtId="3" fontId="142" fillId="7" borderId="83" xfId="29" applyNumberFormat="1" applyFont="1" applyFill="1" applyBorder="1" applyAlignment="1">
      <alignment horizontal="left" vertical="center" indent="1"/>
      <protection locked="0"/>
    </xf>
    <xf numFmtId="3" fontId="14" fillId="7" borderId="83" xfId="29" applyNumberFormat="1" applyFont="1" applyFill="1" applyBorder="1" applyAlignment="1">
      <alignment horizontal="left" vertical="center" indent="2"/>
      <protection locked="0"/>
    </xf>
    <xf numFmtId="0" fontId="14" fillId="7" borderId="83" xfId="29" applyFont="1" applyFill="1" applyBorder="1" applyAlignment="1">
      <alignment horizontal="left" vertical="center" indent="2"/>
      <protection locked="0"/>
    </xf>
    <xf numFmtId="0" fontId="142" fillId="7" borderId="83" xfId="29" applyFont="1" applyFill="1" applyBorder="1" applyAlignment="1">
      <alignment horizontal="left" vertical="center" indent="1"/>
      <protection locked="0"/>
    </xf>
    <xf numFmtId="0" fontId="14" fillId="7" borderId="84" xfId="29" applyFont="1" applyFill="1" applyBorder="1" applyAlignment="1">
      <alignment horizontal="left" vertical="center" indent="2"/>
      <protection locked="0"/>
    </xf>
    <xf numFmtId="0" fontId="142" fillId="7" borderId="82" xfId="29" applyFont="1" applyFill="1" applyBorder="1" applyAlignment="1">
      <alignment horizontal="left" vertical="center" indent="1"/>
      <protection locked="0"/>
    </xf>
    <xf numFmtId="0" fontId="14" fillId="3" borderId="0" xfId="0" applyFont="1" applyFill="1" applyBorder="1" applyAlignment="1">
      <alignment horizontal="center" vertical="center"/>
    </xf>
    <xf numFmtId="0" fontId="14" fillId="3" borderId="11" xfId="0" applyFont="1" applyFill="1" applyBorder="1" applyAlignment="1">
      <alignment horizontal="center" vertical="center"/>
    </xf>
    <xf numFmtId="0" fontId="142" fillId="7" borderId="10" xfId="0" applyFont="1" applyFill="1" applyBorder="1" applyAlignment="1">
      <alignment horizontal="left" vertical="center" indent="1"/>
    </xf>
    <xf numFmtId="0" fontId="14" fillId="7" borderId="10" xfId="0" applyFont="1" applyFill="1" applyBorder="1" applyAlignment="1">
      <alignment horizontal="left" vertical="center" indent="2"/>
    </xf>
    <xf numFmtId="3" fontId="95" fillId="7" borderId="10" xfId="5" applyNumberFormat="1" applyFont="1" applyFill="1" applyBorder="1" applyAlignment="1" applyProtection="1">
      <alignment horizontal="left" vertical="center" indent="2"/>
      <protection locked="0"/>
    </xf>
    <xf numFmtId="49" fontId="174" fillId="7" borderId="10" xfId="5" applyNumberFormat="1" applyFont="1" applyFill="1" applyBorder="1" applyAlignment="1" applyProtection="1">
      <alignment horizontal="center" vertical="center" wrapText="1"/>
      <protection locked="0"/>
    </xf>
    <xf numFmtId="0" fontId="174" fillId="7" borderId="10" xfId="5" applyFont="1" applyFill="1" applyBorder="1" applyAlignment="1" applyProtection="1">
      <alignment horizontal="left" vertical="center" indent="1"/>
      <protection locked="0"/>
    </xf>
    <xf numFmtId="0" fontId="95" fillId="7" borderId="10" xfId="5" applyFont="1" applyFill="1" applyBorder="1" applyAlignment="1" applyProtection="1">
      <alignment horizontal="left" vertical="center" indent="2"/>
      <protection locked="0"/>
    </xf>
    <xf numFmtId="49" fontId="174" fillId="7" borderId="85" xfId="5" applyNumberFormat="1" applyFont="1" applyFill="1" applyBorder="1" applyAlignment="1" applyProtection="1">
      <alignment horizontal="left" vertical="center" wrapText="1"/>
      <protection locked="0"/>
    </xf>
    <xf numFmtId="49" fontId="174" fillId="7" borderId="10" xfId="5" applyNumberFormat="1" applyFont="1" applyFill="1" applyBorder="1" applyAlignment="1" applyProtection="1">
      <alignment horizontal="left" vertical="center" wrapText="1"/>
      <protection locked="0"/>
    </xf>
    <xf numFmtId="49" fontId="174" fillId="7" borderId="10" xfId="5" applyNumberFormat="1" applyFont="1" applyFill="1" applyBorder="1" applyAlignment="1" applyProtection="1">
      <alignment horizontal="left" vertical="center" wrapText="1" indent="1"/>
      <protection locked="0"/>
    </xf>
    <xf numFmtId="49" fontId="95" fillId="7" borderId="10" xfId="5" applyNumberFormat="1" applyFont="1" applyFill="1" applyBorder="1" applyAlignment="1" applyProtection="1">
      <alignment horizontal="left" vertical="center" wrapText="1" indent="2"/>
      <protection locked="0"/>
    </xf>
    <xf numFmtId="49" fontId="95" fillId="7" borderId="10" xfId="5" applyNumberFormat="1" applyFont="1" applyFill="1" applyBorder="1" applyAlignment="1" applyProtection="1">
      <alignment horizontal="left" vertical="center" indent="2"/>
      <protection locked="0"/>
    </xf>
    <xf numFmtId="0" fontId="14" fillId="7" borderId="10" xfId="0" applyFont="1" applyFill="1" applyBorder="1" applyAlignment="1">
      <alignment horizontal="left" vertical="center" indent="1"/>
    </xf>
    <xf numFmtId="0" fontId="14" fillId="7" borderId="85" xfId="0" applyFont="1" applyFill="1" applyBorder="1" applyAlignment="1">
      <alignment horizontal="left" vertical="center" indent="2"/>
    </xf>
    <xf numFmtId="0" fontId="14" fillId="7" borderId="10" xfId="0" applyFont="1" applyFill="1" applyBorder="1">
      <alignment vertical="center"/>
    </xf>
    <xf numFmtId="0" fontId="142" fillId="7" borderId="75" xfId="0" applyFont="1" applyFill="1" applyBorder="1" applyAlignment="1">
      <alignment horizontal="left" vertical="center"/>
    </xf>
    <xf numFmtId="0" fontId="14" fillId="7" borderId="75" xfId="0" applyFont="1" applyFill="1" applyBorder="1" applyAlignment="1">
      <alignment horizontal="left" vertical="center" indent="1"/>
    </xf>
    <xf numFmtId="43" fontId="14" fillId="0" borderId="77" xfId="7" applyFont="1" applyBorder="1">
      <alignment vertical="center"/>
    </xf>
    <xf numFmtId="43" fontId="14" fillId="0" borderId="76" xfId="7" applyFont="1" applyBorder="1">
      <alignment vertical="center"/>
    </xf>
    <xf numFmtId="0" fontId="142" fillId="5" borderId="62" xfId="0" applyFont="1" applyFill="1" applyBorder="1" applyAlignment="1">
      <alignment horizontal="center" vertical="center"/>
    </xf>
    <xf numFmtId="43" fontId="14" fillId="0" borderId="62" xfId="7" applyFont="1" applyBorder="1" applyAlignment="1">
      <alignment horizontal="center" vertical="center"/>
    </xf>
    <xf numFmtId="0" fontId="14" fillId="0" borderId="62" xfId="0" applyFont="1" applyBorder="1" applyAlignment="1">
      <alignment horizontal="left" vertical="center" indent="1"/>
    </xf>
    <xf numFmtId="9" fontId="14" fillId="0" borderId="62" xfId="7" applyNumberFormat="1" applyFont="1" applyBorder="1">
      <alignment vertical="center"/>
    </xf>
    <xf numFmtId="9" fontId="14" fillId="0" borderId="8" xfId="7" applyNumberFormat="1" applyFont="1" applyBorder="1">
      <alignment vertical="center"/>
    </xf>
    <xf numFmtId="43" fontId="14" fillId="0" borderId="8" xfId="7" applyFont="1" applyBorder="1">
      <alignment vertical="center"/>
    </xf>
    <xf numFmtId="0" fontId="14" fillId="0" borderId="8" xfId="0" applyFont="1" applyBorder="1">
      <alignment vertical="center"/>
    </xf>
    <xf numFmtId="43" fontId="14" fillId="0" borderId="73" xfId="7" applyFont="1" applyBorder="1">
      <alignment vertical="center"/>
    </xf>
    <xf numFmtId="9" fontId="14" fillId="0" borderId="70" xfId="7" applyNumberFormat="1" applyFont="1" applyBorder="1">
      <alignment vertical="center"/>
    </xf>
    <xf numFmtId="43" fontId="14" fillId="0" borderId="70" xfId="7" applyFont="1" applyBorder="1">
      <alignment vertical="center"/>
    </xf>
    <xf numFmtId="0" fontId="14" fillId="0" borderId="70" xfId="0" applyFont="1" applyBorder="1">
      <alignment vertical="center"/>
    </xf>
    <xf numFmtId="0" fontId="14" fillId="0" borderId="62" xfId="0" applyFont="1" applyFill="1" applyBorder="1" applyAlignment="1">
      <alignment horizontal="left" vertical="center" indent="1"/>
    </xf>
    <xf numFmtId="206" fontId="0" fillId="27" borderId="62" xfId="0" applyNumberFormat="1" applyFill="1" applyBorder="1">
      <alignment vertical="center"/>
    </xf>
    <xf numFmtId="181" fontId="175" fillId="0" borderId="36" xfId="8" applyNumberFormat="1" applyFont="1" applyFill="1" applyBorder="1" applyProtection="1">
      <alignment vertical="center"/>
      <protection locked="0"/>
    </xf>
    <xf numFmtId="183" fontId="14" fillId="27" borderId="36" xfId="0" applyNumberFormat="1" applyFont="1" applyFill="1" applyBorder="1" applyAlignment="1" applyProtection="1">
      <alignment horizontal="right" vertical="center"/>
      <protection locked="0"/>
    </xf>
    <xf numFmtId="183" fontId="95" fillId="27" borderId="36" xfId="0" applyNumberFormat="1" applyFont="1" applyFill="1" applyBorder="1" applyAlignment="1" applyProtection="1">
      <alignment horizontal="right" vertical="center"/>
      <protection locked="0"/>
    </xf>
    <xf numFmtId="183" fontId="174" fillId="27" borderId="38" xfId="0" applyNumberFormat="1" applyFont="1" applyFill="1" applyBorder="1" applyAlignment="1" applyProtection="1">
      <alignment horizontal="right" vertical="center"/>
      <protection locked="0"/>
    </xf>
    <xf numFmtId="43" fontId="15" fillId="2" borderId="0" xfId="7" applyFont="1" applyFill="1" applyBorder="1">
      <alignment vertical="center"/>
    </xf>
    <xf numFmtId="183" fontId="15" fillId="24" borderId="36" xfId="0" applyNumberFormat="1" applyFont="1" applyFill="1" applyBorder="1" applyAlignment="1" applyProtection="1">
      <alignment horizontal="right" vertical="center"/>
      <protection locked="0"/>
    </xf>
    <xf numFmtId="183" fontId="15" fillId="24" borderId="36" xfId="0" applyNumberFormat="1" applyFont="1" applyFill="1" applyBorder="1">
      <alignment vertical="center"/>
    </xf>
    <xf numFmtId="181" fontId="95" fillId="16" borderId="36" xfId="8" applyNumberFormat="1" applyFont="1" applyFill="1" applyBorder="1" applyProtection="1">
      <alignment vertical="center"/>
      <protection locked="0"/>
    </xf>
    <xf numFmtId="183" fontId="95" fillId="16" borderId="35" xfId="0" applyNumberFormat="1" applyFont="1" applyFill="1" applyBorder="1" applyProtection="1">
      <alignment vertical="center"/>
    </xf>
    <xf numFmtId="183" fontId="150" fillId="16" borderId="36" xfId="8" applyNumberFormat="1" applyFont="1" applyFill="1" applyBorder="1" applyProtection="1">
      <alignment vertical="center"/>
      <protection locked="0"/>
    </xf>
    <xf numFmtId="181" fontId="173" fillId="16" borderId="36" xfId="8" applyNumberFormat="1" applyFont="1" applyFill="1" applyBorder="1" applyAlignment="1" applyProtection="1">
      <alignment vertical="center"/>
      <protection locked="0"/>
    </xf>
    <xf numFmtId="43" fontId="16" fillId="16" borderId="36" xfId="7" applyFont="1" applyFill="1" applyBorder="1" applyAlignment="1" applyProtection="1">
      <alignment vertical="center"/>
    </xf>
    <xf numFmtId="43" fontId="95" fillId="16" borderId="36" xfId="7" applyFont="1" applyFill="1" applyBorder="1" applyAlignment="1" applyProtection="1">
      <alignment vertical="center"/>
    </xf>
    <xf numFmtId="181" fontId="16" fillId="16" borderId="36" xfId="8" applyNumberFormat="1" applyFont="1" applyFill="1" applyBorder="1" applyAlignment="1" applyProtection="1">
      <alignment vertical="center"/>
    </xf>
    <xf numFmtId="181" fontId="95" fillId="16" borderId="5" xfId="8" applyNumberFormat="1" applyFont="1" applyFill="1" applyBorder="1" applyAlignment="1" applyProtection="1">
      <alignment vertical="center"/>
    </xf>
    <xf numFmtId="182" fontId="17" fillId="27" borderId="62" xfId="32" applyNumberFormat="1" applyFont="1" applyFill="1" applyBorder="1" applyAlignment="1"/>
    <xf numFmtId="43" fontId="180" fillId="27" borderId="61" xfId="7" applyFont="1" applyFill="1" applyBorder="1">
      <alignment vertical="center"/>
    </xf>
    <xf numFmtId="43" fontId="17" fillId="27" borderId="62" xfId="32" applyFont="1" applyFill="1" applyBorder="1" applyAlignment="1"/>
    <xf numFmtId="206" fontId="17" fillId="27" borderId="62" xfId="0" applyNumberFormat="1" applyFont="1" applyFill="1" applyBorder="1">
      <alignment vertical="center"/>
    </xf>
    <xf numFmtId="181" fontId="17" fillId="27" borderId="62" xfId="8" applyNumberFormat="1" applyFont="1" applyFill="1" applyBorder="1" applyAlignment="1"/>
    <xf numFmtId="192" fontId="17" fillId="27" borderId="62" xfId="32" applyNumberFormat="1" applyFont="1" applyFill="1" applyBorder="1" applyAlignment="1"/>
    <xf numFmtId="183" fontId="178" fillId="16" borderId="0" xfId="0" applyNumberFormat="1" applyFont="1" applyFill="1" applyBorder="1">
      <alignment vertical="center"/>
    </xf>
    <xf numFmtId="43" fontId="17" fillId="27" borderId="62" xfId="7" applyFont="1" applyFill="1" applyBorder="1" applyAlignment="1"/>
    <xf numFmtId="43" fontId="14" fillId="27" borderId="0" xfId="7" applyFont="1" applyFill="1" applyBorder="1">
      <alignment vertical="center"/>
    </xf>
    <xf numFmtId="43" fontId="142" fillId="3" borderId="42" xfId="7" applyFont="1" applyFill="1" applyBorder="1" applyAlignment="1">
      <alignment horizontal="center" vertical="center"/>
    </xf>
    <xf numFmtId="43" fontId="142" fillId="3" borderId="0" xfId="7" applyFont="1" applyFill="1" applyBorder="1" applyAlignment="1">
      <alignment horizontal="center" vertical="center"/>
    </xf>
    <xf numFmtId="43" fontId="14" fillId="3" borderId="0" xfId="7" applyFont="1" applyFill="1" applyBorder="1" applyAlignment="1">
      <alignment horizontal="center" vertical="center"/>
    </xf>
    <xf numFmtId="43" fontId="14" fillId="27" borderId="77" xfId="7" applyFont="1" applyFill="1" applyBorder="1">
      <alignment vertical="center"/>
    </xf>
    <xf numFmtId="0" fontId="95" fillId="16" borderId="10" xfId="5" applyFont="1" applyFill="1" applyBorder="1" applyAlignment="1" applyProtection="1">
      <alignment horizontal="left" vertical="center" indent="2"/>
      <protection locked="0"/>
    </xf>
    <xf numFmtId="43" fontId="14" fillId="27" borderId="63" xfId="7" applyFont="1" applyFill="1" applyBorder="1">
      <alignment vertical="center"/>
    </xf>
    <xf numFmtId="43" fontId="14" fillId="0" borderId="63" xfId="7" applyFont="1" applyBorder="1">
      <alignment vertical="center"/>
    </xf>
    <xf numFmtId="43" fontId="14" fillId="0" borderId="86" xfId="7" applyFont="1" applyBorder="1">
      <alignment vertical="center"/>
    </xf>
    <xf numFmtId="49" fontId="95" fillId="16" borderId="10" xfId="5" applyNumberFormat="1" applyFont="1" applyFill="1" applyBorder="1" applyAlignment="1" applyProtection="1">
      <alignment horizontal="left" vertical="center" wrapText="1" indent="2"/>
      <protection locked="0"/>
    </xf>
    <xf numFmtId="0" fontId="44" fillId="16" borderId="0" xfId="0" applyFont="1" applyFill="1" applyBorder="1" applyAlignment="1" applyProtection="1">
      <alignment horizontal="right" vertical="center"/>
      <protection locked="0"/>
    </xf>
    <xf numFmtId="180" fontId="0" fillId="16" borderId="0" xfId="0" applyNumberFormat="1" applyFill="1" applyBorder="1" applyProtection="1">
      <alignment vertical="center"/>
    </xf>
    <xf numFmtId="1" fontId="52" fillId="16" borderId="47" xfId="0" applyNumberFormat="1" applyFont="1" applyFill="1" applyBorder="1" applyAlignment="1" applyProtection="1">
      <alignment horizontal="right" vertical="center"/>
      <protection locked="0"/>
    </xf>
    <xf numFmtId="1" fontId="114" fillId="16" borderId="47" xfId="0" applyNumberFormat="1" applyFont="1" applyFill="1" applyBorder="1" applyProtection="1">
      <alignment vertical="center"/>
      <protection locked="0"/>
    </xf>
    <xf numFmtId="1" fontId="52" fillId="16" borderId="47" xfId="0" applyNumberFormat="1" applyFont="1" applyFill="1" applyBorder="1" applyProtection="1">
      <alignment vertical="center"/>
      <protection locked="0"/>
    </xf>
    <xf numFmtId="183" fontId="42" fillId="16" borderId="2" xfId="0" applyNumberFormat="1" applyFont="1" applyFill="1" applyBorder="1" applyAlignment="1" applyProtection="1">
      <alignment horizontal="right" vertical="center"/>
    </xf>
    <xf numFmtId="1" fontId="45" fillId="16" borderId="0" xfId="0" applyNumberFormat="1" applyFont="1" applyFill="1" applyBorder="1" applyAlignment="1" applyProtection="1">
      <alignment horizontal="right" vertical="center"/>
    </xf>
    <xf numFmtId="1" fontId="42" fillId="16" borderId="0" xfId="7" applyNumberFormat="1" applyFont="1" applyFill="1" applyBorder="1" applyAlignment="1" applyProtection="1">
      <alignment horizontal="right" vertical="center"/>
    </xf>
    <xf numFmtId="43" fontId="189" fillId="0" borderId="0" xfId="7" applyFont="1" applyFill="1" applyBorder="1" applyAlignment="1">
      <alignment vertical="center" wrapText="1"/>
    </xf>
    <xf numFmtId="192" fontId="125" fillId="16" borderId="62" xfId="44" applyNumberFormat="1" applyFont="1" applyFill="1" applyBorder="1">
      <alignment vertical="center"/>
    </xf>
    <xf numFmtId="192" fontId="125" fillId="11" borderId="62" xfId="44" applyNumberFormat="1" applyFont="1" applyFill="1" applyBorder="1">
      <alignment vertical="center"/>
    </xf>
    <xf numFmtId="192" fontId="150" fillId="11" borderId="62" xfId="44" applyNumberFormat="1" applyFont="1" applyFill="1" applyBorder="1">
      <alignment vertical="center"/>
    </xf>
    <xf numFmtId="199" fontId="125" fillId="24" borderId="0" xfId="48" applyNumberFormat="1" applyFont="1" applyFill="1" applyBorder="1" applyAlignment="1" applyProtection="1">
      <alignment horizontal="center"/>
      <protection hidden="1"/>
    </xf>
    <xf numFmtId="2" fontId="125" fillId="0" borderId="0" xfId="49" applyNumberFormat="1" applyFont="1" applyFill="1" applyBorder="1" applyAlignment="1" applyProtection="1">
      <alignment horizontal="center"/>
      <protection hidden="1"/>
    </xf>
    <xf numFmtId="0" fontId="95" fillId="5" borderId="62" xfId="43" applyFont="1" applyFill="1" applyBorder="1" applyAlignment="1">
      <alignment horizontal="center" vertical="center"/>
    </xf>
    <xf numFmtId="0" fontId="95" fillId="5" borderId="62" xfId="43" applyFont="1" applyFill="1" applyBorder="1" applyAlignment="1">
      <alignment horizontal="center" vertical="top" wrapText="1"/>
    </xf>
    <xf numFmtId="192" fontId="125" fillId="0" borderId="62" xfId="44" applyNumberFormat="1" applyFont="1" applyFill="1" applyBorder="1">
      <alignment vertical="center"/>
    </xf>
    <xf numFmtId="0" fontId="125" fillId="0" borderId="62" xfId="43" applyFont="1" applyFill="1" applyBorder="1" applyAlignment="1">
      <alignment horizontal="left" vertical="top" wrapText="1"/>
    </xf>
    <xf numFmtId="192" fontId="95" fillId="16" borderId="62" xfId="44" applyNumberFormat="1" applyFont="1" applyFill="1" applyBorder="1">
      <alignment vertical="center"/>
    </xf>
    <xf numFmtId="192" fontId="150" fillId="0" borderId="62" xfId="44" applyNumberFormat="1" applyFont="1" applyFill="1" applyBorder="1">
      <alignment vertical="center"/>
    </xf>
    <xf numFmtId="10" fontId="125" fillId="0" borderId="62" xfId="46" applyNumberFormat="1" applyFont="1" applyFill="1" applyBorder="1">
      <alignment vertical="center"/>
    </xf>
    <xf numFmtId="192" fontId="95" fillId="0" borderId="62" xfId="44" applyNumberFormat="1" applyFont="1" applyFill="1" applyBorder="1">
      <alignment vertical="center"/>
    </xf>
    <xf numFmtId="0" fontId="125" fillId="0" borderId="62" xfId="43" applyFont="1" applyFill="1" applyBorder="1" applyAlignment="1">
      <alignment horizontal="left" vertical="top" wrapText="1"/>
    </xf>
    <xf numFmtId="185" fontId="125" fillId="0" borderId="62" xfId="43" applyNumberFormat="1" applyFont="1" applyFill="1" applyBorder="1" applyAlignment="1">
      <alignment horizontal="right" vertical="top" wrapText="1"/>
    </xf>
    <xf numFmtId="0" fontId="125" fillId="5" borderId="62" xfId="43" applyFont="1" applyFill="1" applyBorder="1" applyAlignment="1">
      <alignment horizontal="center" vertical="top" wrapText="1"/>
    </xf>
    <xf numFmtId="10" fontId="125" fillId="0" borderId="62" xfId="8" applyNumberFormat="1" applyFont="1" applyFill="1" applyBorder="1">
      <alignment vertical="center"/>
    </xf>
    <xf numFmtId="10" fontId="150" fillId="11" borderId="62" xfId="47" applyNumberFormat="1" applyFont="1" applyFill="1" applyBorder="1">
      <alignment vertical="center"/>
    </xf>
    <xf numFmtId="10" fontId="125" fillId="0" borderId="62" xfId="47" applyNumberFormat="1" applyFont="1" applyFill="1" applyBorder="1">
      <alignment vertical="center"/>
    </xf>
    <xf numFmtId="10" fontId="125" fillId="11" borderId="62" xfId="47" applyNumberFormat="1" applyFont="1" applyFill="1" applyBorder="1">
      <alignment vertical="center"/>
    </xf>
    <xf numFmtId="10" fontId="95" fillId="16" borderId="62" xfId="47" applyNumberFormat="1" applyFont="1" applyFill="1" applyBorder="1">
      <alignment vertical="center"/>
    </xf>
    <xf numFmtId="9" fontId="95" fillId="16" borderId="62" xfId="43" applyNumberFormat="1" applyFont="1" applyFill="1" applyBorder="1">
      <alignment vertical="center"/>
    </xf>
    <xf numFmtId="10" fontId="95" fillId="16" borderId="62" xfId="43" applyNumberFormat="1" applyFont="1" applyFill="1" applyBorder="1">
      <alignment vertical="center"/>
    </xf>
    <xf numFmtId="10" fontId="125" fillId="0" borderId="62" xfId="8" applyNumberFormat="1" applyFont="1" applyFill="1" applyBorder="1" applyAlignment="1">
      <alignment horizontal="left" vertical="top" wrapText="1"/>
    </xf>
    <xf numFmtId="181" fontId="95" fillId="16" borderId="62" xfId="43" applyNumberFormat="1" applyFont="1" applyFill="1" applyBorder="1">
      <alignment vertical="center"/>
    </xf>
    <xf numFmtId="0" fontId="125" fillId="5" borderId="62" xfId="43" applyFont="1" applyFill="1" applyBorder="1" applyAlignment="1">
      <alignment horizontal="center" vertical="center"/>
    </xf>
    <xf numFmtId="192" fontId="150" fillId="16" borderId="69" xfId="44" applyNumberFormat="1" applyFont="1" applyFill="1" applyBorder="1">
      <alignment vertical="center"/>
    </xf>
    <xf numFmtId="192" fontId="150" fillId="0" borderId="69" xfId="44" applyNumberFormat="1" applyFont="1" applyFill="1" applyBorder="1">
      <alignment vertical="center"/>
    </xf>
    <xf numFmtId="9" fontId="125" fillId="0" borderId="0" xfId="8" applyFont="1" applyFill="1" applyBorder="1">
      <alignment vertical="center"/>
    </xf>
    <xf numFmtId="0" fontId="95" fillId="5" borderId="88" xfId="43" applyFont="1" applyFill="1" applyBorder="1" applyAlignment="1">
      <alignment horizontal="center" vertical="center" wrapText="1"/>
    </xf>
    <xf numFmtId="0" fontId="125" fillId="0" borderId="88" xfId="43" applyFont="1" applyFill="1" applyBorder="1" applyAlignment="1">
      <alignment vertical="center" wrapText="1"/>
    </xf>
    <xf numFmtId="0" fontId="125" fillId="0" borderId="88" xfId="43" applyFont="1" applyFill="1" applyBorder="1" applyAlignment="1">
      <alignment horizontal="left" vertical="center" wrapText="1" indent="1"/>
    </xf>
    <xf numFmtId="0" fontId="125" fillId="0" borderId="88" xfId="43" applyFont="1" applyFill="1" applyBorder="1" applyAlignment="1">
      <alignment horizontal="left" vertical="center" wrapText="1" indent="2"/>
    </xf>
    <xf numFmtId="0" fontId="125" fillId="0" borderId="88" xfId="43" applyFont="1" applyFill="1" applyBorder="1" applyAlignment="1">
      <alignment horizontal="left" vertical="center" wrapText="1" indent="3"/>
    </xf>
    <xf numFmtId="0" fontId="125" fillId="0" borderId="88" xfId="43" applyFont="1" applyFill="1" applyBorder="1" applyAlignment="1">
      <alignment horizontal="left" vertical="center" wrapText="1"/>
    </xf>
    <xf numFmtId="0" fontId="95" fillId="0" borderId="88" xfId="43" applyFont="1" applyFill="1" applyBorder="1" applyAlignment="1">
      <alignment horizontal="left" vertical="center" wrapText="1"/>
    </xf>
    <xf numFmtId="0" fontId="125" fillId="5" borderId="88" xfId="43" applyFont="1" applyFill="1" applyBorder="1" applyAlignment="1">
      <alignment horizontal="center" vertical="center" wrapText="1"/>
    </xf>
    <xf numFmtId="0" fontId="125" fillId="5" borderId="88" xfId="43" applyFont="1" applyFill="1" applyBorder="1" applyAlignment="1">
      <alignment horizontal="center" vertical="center"/>
    </xf>
    <xf numFmtId="0" fontId="125" fillId="5" borderId="89" xfId="43" applyFont="1" applyFill="1" applyBorder="1" applyAlignment="1">
      <alignment horizontal="center" vertical="center" wrapText="1"/>
    </xf>
    <xf numFmtId="0" fontId="125" fillId="0" borderId="89" xfId="43" applyFont="1" applyFill="1" applyBorder="1" applyAlignment="1">
      <alignment vertical="center" wrapText="1"/>
    </xf>
    <xf numFmtId="0" fontId="125" fillId="0" borderId="88" xfId="43" applyFont="1" applyFill="1" applyBorder="1">
      <alignment vertical="center"/>
    </xf>
    <xf numFmtId="0" fontId="125" fillId="0" borderId="88" xfId="43" applyFont="1" applyFill="1" applyBorder="1" applyAlignment="1">
      <alignment vertical="center" wrapText="1"/>
    </xf>
    <xf numFmtId="192" fontId="125" fillId="0" borderId="89" xfId="7" applyNumberFormat="1" applyFont="1" applyFill="1" applyBorder="1" applyAlignment="1">
      <alignment vertical="center" wrapText="1"/>
    </xf>
    <xf numFmtId="0" fontId="125" fillId="0" borderId="90" xfId="43" applyFont="1" applyFill="1" applyBorder="1" applyAlignment="1">
      <alignment vertical="center" wrapText="1"/>
    </xf>
    <xf numFmtId="9" fontId="125" fillId="0" borderId="11" xfId="8" applyFont="1" applyFill="1" applyBorder="1">
      <alignment vertical="center"/>
    </xf>
    <xf numFmtId="192" fontId="125" fillId="0" borderId="21" xfId="7" applyNumberFormat="1" applyFont="1" applyFill="1" applyBorder="1" applyAlignment="1">
      <alignment horizontal="center" vertical="center" wrapText="1"/>
    </xf>
    <xf numFmtId="192" fontId="125" fillId="16" borderId="21" xfId="7" applyNumberFormat="1" applyFont="1" applyFill="1" applyBorder="1" applyAlignment="1">
      <alignment horizontal="center" vertical="center" wrapText="1"/>
    </xf>
    <xf numFmtId="0" fontId="127" fillId="19" borderId="41" xfId="43" applyFont="1" applyFill="1" applyBorder="1" applyAlignment="1">
      <alignment vertical="top"/>
    </xf>
    <xf numFmtId="9" fontId="127" fillId="19" borderId="9" xfId="8" applyFont="1" applyFill="1" applyBorder="1" applyAlignment="1">
      <alignment vertical="top"/>
    </xf>
    <xf numFmtId="0" fontId="127" fillId="19" borderId="43" xfId="43" applyFont="1" applyFill="1" applyBorder="1" applyAlignment="1">
      <alignment vertical="top"/>
    </xf>
    <xf numFmtId="192" fontId="95" fillId="24" borderId="18" xfId="44" applyNumberFormat="1" applyFont="1" applyFill="1" applyBorder="1" applyAlignment="1">
      <alignment horizontal="center" vertical="center"/>
    </xf>
    <xf numFmtId="192" fontId="125" fillId="24" borderId="18" xfId="44" applyNumberFormat="1" applyFont="1" applyFill="1" applyBorder="1" applyAlignment="1">
      <alignment horizontal="right" vertical="center"/>
    </xf>
    <xf numFmtId="43" fontId="95" fillId="16" borderId="61" xfId="7" applyFont="1" applyFill="1" applyBorder="1">
      <alignment vertical="center"/>
    </xf>
    <xf numFmtId="49" fontId="174" fillId="3" borderId="0" xfId="0" applyNumberFormat="1" applyFont="1" applyFill="1" applyBorder="1" applyAlignment="1">
      <alignment horizontal="right" vertical="center"/>
    </xf>
    <xf numFmtId="188" fontId="95" fillId="16" borderId="56" xfId="0" applyNumberFormat="1" applyFont="1" applyFill="1" applyBorder="1" applyAlignment="1">
      <alignment vertical="center" wrapText="1"/>
    </xf>
    <xf numFmtId="188" fontId="95" fillId="16" borderId="57" xfId="0" applyNumberFormat="1" applyFont="1" applyFill="1" applyBorder="1" applyAlignment="1">
      <alignment vertical="center" wrapText="1"/>
    </xf>
    <xf numFmtId="43" fontId="95" fillId="16" borderId="56" xfId="7" applyFont="1" applyFill="1" applyBorder="1" applyAlignment="1">
      <alignment vertical="center" wrapText="1"/>
    </xf>
    <xf numFmtId="178" fontId="95" fillId="16" borderId="56" xfId="39" applyNumberFormat="1" applyFont="1" applyFill="1" applyBorder="1" applyAlignment="1">
      <alignment vertical="center" wrapText="1"/>
    </xf>
    <xf numFmtId="208" fontId="95" fillId="16" borderId="56" xfId="59" applyFont="1" applyFill="1" applyBorder="1" applyAlignment="1">
      <alignment horizontal="right" wrapText="1"/>
    </xf>
    <xf numFmtId="208" fontId="95" fillId="16" borderId="56" xfId="59" applyFont="1" applyFill="1" applyBorder="1" applyAlignment="1">
      <alignment vertical="center" wrapText="1"/>
    </xf>
    <xf numFmtId="188" fontId="95" fillId="16" borderId="56" xfId="59" applyNumberFormat="1" applyFont="1" applyFill="1" applyBorder="1" applyAlignment="1">
      <alignment horizontal="right" vertical="center" wrapText="1"/>
    </xf>
    <xf numFmtId="0" fontId="95" fillId="0" borderId="0" xfId="0" applyFont="1">
      <alignment vertical="center"/>
    </xf>
    <xf numFmtId="0" fontId="174" fillId="3" borderId="61" xfId="0" applyFont="1" applyFill="1" applyBorder="1" applyAlignment="1">
      <alignment horizontal="right" vertical="center"/>
    </xf>
    <xf numFmtId="0" fontId="174" fillId="0" borderId="61" xfId="0" applyFont="1" applyFill="1" applyBorder="1" applyAlignment="1">
      <alignment horizontal="right" vertical="center"/>
    </xf>
    <xf numFmtId="43" fontId="95" fillId="0" borderId="61" xfId="7" applyFont="1" applyBorder="1">
      <alignment vertical="center"/>
    </xf>
    <xf numFmtId="192" fontId="95" fillId="16" borderId="61" xfId="7" applyNumberFormat="1" applyFont="1" applyFill="1" applyBorder="1">
      <alignment vertical="center"/>
    </xf>
    <xf numFmtId="43" fontId="95" fillId="16" borderId="61" xfId="7" applyFont="1" applyFill="1" applyBorder="1" applyAlignment="1" applyProtection="1">
      <alignment horizontal="left" vertical="center" indent="1"/>
    </xf>
    <xf numFmtId="192" fontId="96" fillId="16" borderId="61" xfId="7" applyNumberFormat="1" applyFont="1" applyFill="1" applyBorder="1" applyAlignment="1">
      <alignment horizontal="left" vertical="center" indent="1"/>
    </xf>
    <xf numFmtId="192" fontId="14" fillId="16" borderId="61" xfId="0" applyNumberFormat="1" applyFont="1" applyFill="1" applyBorder="1">
      <alignment vertical="center"/>
    </xf>
    <xf numFmtId="192" fontId="133" fillId="16" borderId="61" xfId="7" applyNumberFormat="1" applyFont="1" applyFill="1" applyBorder="1" applyAlignment="1">
      <alignment vertical="center"/>
    </xf>
    <xf numFmtId="43" fontId="133" fillId="16" borderId="61" xfId="7" applyFont="1" applyFill="1" applyBorder="1" applyAlignment="1">
      <alignment vertical="center"/>
    </xf>
    <xf numFmtId="43" fontId="133" fillId="16" borderId="61" xfId="7" applyFont="1" applyFill="1" applyBorder="1" applyAlignment="1">
      <alignment vertical="center"/>
    </xf>
    <xf numFmtId="192" fontId="14" fillId="16" borderId="61" xfId="7" applyNumberFormat="1" applyFont="1" applyFill="1" applyBorder="1">
      <alignment vertical="center"/>
    </xf>
    <xf numFmtId="43" fontId="14" fillId="16" borderId="61" xfId="7" applyFont="1" applyFill="1" applyBorder="1" applyAlignment="1">
      <alignment horizontal="left" vertical="center" indent="2"/>
    </xf>
    <xf numFmtId="43" fontId="183" fillId="16" borderId="61" xfId="7" applyFont="1" applyFill="1" applyBorder="1" applyAlignment="1">
      <alignment horizontal="left" vertical="center" indent="2"/>
    </xf>
    <xf numFmtId="43" fontId="14" fillId="16" borderId="61" xfId="7" applyFont="1" applyFill="1" applyBorder="1">
      <alignment vertical="center"/>
    </xf>
    <xf numFmtId="10" fontId="14" fillId="16" borderId="61" xfId="7" applyNumberFormat="1" applyFont="1" applyFill="1" applyBorder="1">
      <alignment vertical="center"/>
    </xf>
    <xf numFmtId="181" fontId="184" fillId="16" borderId="61" xfId="8" applyNumberFormat="1" applyFont="1" applyFill="1" applyBorder="1">
      <alignment vertical="center"/>
    </xf>
    <xf numFmtId="10" fontId="14" fillId="16" borderId="61" xfId="8" applyNumberFormat="1" applyFont="1" applyFill="1" applyBorder="1">
      <alignment vertical="center"/>
    </xf>
    <xf numFmtId="182" fontId="17" fillId="0" borderId="62" xfId="32" applyNumberFormat="1" applyFont="1" applyFill="1" applyBorder="1" applyAlignment="1"/>
    <xf numFmtId="43" fontId="150" fillId="0" borderId="0" xfId="7" applyFont="1" applyBorder="1" applyProtection="1">
      <alignment vertical="center"/>
      <protection locked="0"/>
    </xf>
    <xf numFmtId="43" fontId="178" fillId="0" borderId="0" xfId="7" applyFont="1" applyBorder="1" applyProtection="1">
      <alignment vertical="center"/>
      <protection locked="0"/>
    </xf>
    <xf numFmtId="0" fontId="15" fillId="16" borderId="73" xfId="0" applyFont="1" applyFill="1" applyBorder="1">
      <alignment vertical="center"/>
    </xf>
    <xf numFmtId="183" fontId="150" fillId="16" borderId="0" xfId="0" applyNumberFormat="1" applyFont="1" applyFill="1" applyBorder="1" applyProtection="1">
      <alignment vertical="center"/>
      <protection locked="0"/>
    </xf>
    <xf numFmtId="0" fontId="150" fillId="16" borderId="0" xfId="0" applyFont="1" applyFill="1" applyBorder="1" applyProtection="1">
      <alignment vertical="center"/>
      <protection locked="0"/>
    </xf>
    <xf numFmtId="0" fontId="15" fillId="16" borderId="0" xfId="0" applyFont="1" applyFill="1" applyBorder="1">
      <alignment vertical="center"/>
    </xf>
    <xf numFmtId="9" fontId="95" fillId="16" borderId="56" xfId="8" applyFont="1" applyFill="1" applyBorder="1" applyAlignment="1">
      <alignment vertical="center" wrapText="1"/>
    </xf>
    <xf numFmtId="0" fontId="13" fillId="0" borderId="60" xfId="0" applyFont="1" applyFill="1" applyBorder="1" applyAlignment="1">
      <alignment vertical="center" wrapText="1"/>
    </xf>
    <xf numFmtId="9" fontId="95" fillId="16" borderId="61" xfId="8" applyFont="1" applyFill="1" applyBorder="1">
      <alignment vertical="center"/>
    </xf>
    <xf numFmtId="0" fontId="13" fillId="0" borderId="49" xfId="0" applyFont="1" applyFill="1" applyBorder="1" applyAlignment="1">
      <alignment vertical="center" wrapText="1"/>
    </xf>
    <xf numFmtId="0" fontId="13" fillId="0" borderId="57" xfId="0" applyFont="1" applyFill="1" applyBorder="1" applyAlignment="1">
      <alignment vertical="center" wrapText="1"/>
    </xf>
    <xf numFmtId="183" fontId="95" fillId="16" borderId="35" xfId="0" applyNumberFormat="1" applyFont="1" applyFill="1" applyBorder="1" applyProtection="1">
      <alignment vertical="center"/>
      <protection locked="0"/>
    </xf>
    <xf numFmtId="183" fontId="95" fillId="16" borderId="36" xfId="0" applyNumberFormat="1" applyFont="1" applyFill="1" applyBorder="1" applyProtection="1">
      <alignment vertical="center"/>
    </xf>
    <xf numFmtId="183" fontId="95" fillId="16" borderId="36" xfId="0" applyNumberFormat="1" applyFont="1" applyFill="1" applyBorder="1" applyProtection="1">
      <alignment vertical="center"/>
      <protection locked="0"/>
    </xf>
    <xf numFmtId="0" fontId="174" fillId="16" borderId="36" xfId="0" applyFont="1" applyFill="1" applyBorder="1" applyAlignment="1">
      <alignment horizontal="left" vertical="center" indent="2"/>
    </xf>
    <xf numFmtId="0" fontId="95" fillId="16" borderId="36" xfId="0" applyFont="1" applyFill="1" applyBorder="1" applyAlignment="1">
      <alignment horizontal="left" vertical="center" indent="2"/>
    </xf>
    <xf numFmtId="0" fontId="95" fillId="16" borderId="0" xfId="0" applyFont="1" applyFill="1" applyBorder="1">
      <alignment vertical="center"/>
    </xf>
    <xf numFmtId="9" fontId="95" fillId="16" borderId="36" xfId="8" applyFont="1" applyFill="1" applyBorder="1" applyProtection="1">
      <alignment vertical="center"/>
      <protection locked="0"/>
    </xf>
    <xf numFmtId="43" fontId="174" fillId="7" borderId="36" xfId="7" applyFont="1" applyFill="1" applyBorder="1" applyProtection="1">
      <alignment vertical="center"/>
    </xf>
    <xf numFmtId="181" fontId="150" fillId="36" borderId="36" xfId="8" applyNumberFormat="1" applyFont="1" applyFill="1" applyBorder="1" applyAlignment="1" applyProtection="1">
      <alignment vertical="center"/>
      <protection locked="0"/>
    </xf>
    <xf numFmtId="181" fontId="95" fillId="16" borderId="5" xfId="8" applyNumberFormat="1" applyFont="1" applyFill="1" applyBorder="1" applyProtection="1">
      <alignment vertical="center"/>
      <protection locked="0"/>
    </xf>
    <xf numFmtId="181" fontId="150" fillId="16" borderId="36" xfId="8" applyNumberFormat="1" applyFont="1" applyFill="1" applyBorder="1" applyProtection="1">
      <alignment vertical="center"/>
      <protection locked="0"/>
    </xf>
    <xf numFmtId="9" fontId="95" fillId="16" borderId="36" xfId="0" applyNumberFormat="1" applyFont="1" applyFill="1" applyBorder="1" applyAlignment="1" applyProtection="1">
      <alignment horizontal="right" vertical="center"/>
      <protection locked="0"/>
    </xf>
    <xf numFmtId="183" fontId="95" fillId="16" borderId="36" xfId="7" applyNumberFormat="1" applyFont="1" applyFill="1" applyBorder="1" applyAlignment="1" applyProtection="1">
      <alignment horizontal="right" vertical="center"/>
      <protection locked="0"/>
    </xf>
    <xf numFmtId="180" fontId="95" fillId="16" borderId="0" xfId="0" applyNumberFormat="1" applyFont="1" applyFill="1" applyBorder="1" applyAlignment="1" applyProtection="1">
      <alignment vertical="center"/>
      <protection locked="0"/>
    </xf>
    <xf numFmtId="43" fontId="95" fillId="16" borderId="7" xfId="7" applyFont="1" applyFill="1" applyBorder="1" applyAlignment="1" applyProtection="1">
      <alignment vertical="center"/>
      <protection locked="0"/>
    </xf>
    <xf numFmtId="43" fontId="95" fillId="16" borderId="3" xfId="7" applyFont="1" applyFill="1" applyBorder="1" applyAlignment="1" applyProtection="1">
      <alignment vertical="center"/>
      <protection locked="0"/>
    </xf>
    <xf numFmtId="181" fontId="95" fillId="16" borderId="35" xfId="8" applyNumberFormat="1" applyFont="1" applyFill="1" applyBorder="1" applyAlignment="1" applyProtection="1">
      <alignment vertical="center"/>
      <protection locked="0"/>
    </xf>
    <xf numFmtId="181" fontId="95" fillId="16" borderId="36" xfId="8" applyNumberFormat="1" applyFont="1" applyFill="1" applyBorder="1" applyAlignment="1" applyProtection="1">
      <alignment vertical="center"/>
      <protection locked="0"/>
    </xf>
    <xf numFmtId="195" fontId="78" fillId="16" borderId="79" xfId="0" applyNumberFormat="1" applyFont="1" applyFill="1" applyBorder="1" applyAlignment="1" applyProtection="1">
      <alignment horizontal="center" vertical="center"/>
      <protection locked="0"/>
    </xf>
    <xf numFmtId="10" fontId="0" fillId="16" borderId="62" xfId="8" applyNumberFormat="1" applyFont="1" applyFill="1" applyBorder="1">
      <alignment vertical="center"/>
    </xf>
    <xf numFmtId="0" fontId="190" fillId="15" borderId="24" xfId="0" applyFont="1" applyFill="1" applyBorder="1" applyAlignment="1" applyProtection="1">
      <alignment horizontal="center" vertical="center"/>
      <protection locked="0"/>
    </xf>
    <xf numFmtId="0" fontId="190" fillId="15" borderId="26" xfId="0" applyFont="1" applyFill="1" applyBorder="1" applyAlignment="1" applyProtection="1">
      <alignment horizontal="center" vertical="center"/>
      <protection locked="0"/>
    </xf>
    <xf numFmtId="49" fontId="190" fillId="15" borderId="78" xfId="0" applyNumberFormat="1" applyFont="1" applyFill="1" applyBorder="1" applyAlignment="1" applyProtection="1">
      <alignment horizontal="center" vertical="center"/>
      <protection locked="0"/>
    </xf>
    <xf numFmtId="49" fontId="190" fillId="15" borderId="81" xfId="0" applyNumberFormat="1" applyFont="1" applyFill="1" applyBorder="1" applyAlignment="1" applyProtection="1">
      <alignment horizontal="center" vertical="center"/>
      <protection locked="0"/>
    </xf>
    <xf numFmtId="0" fontId="12" fillId="0" borderId="0" xfId="0" applyFont="1">
      <alignment vertical="center"/>
    </xf>
    <xf numFmtId="0" fontId="142" fillId="0" borderId="62" xfId="0" applyFont="1" applyBorder="1">
      <alignment vertical="center"/>
    </xf>
    <xf numFmtId="0" fontId="12" fillId="0" borderId="62" xfId="0" applyFont="1" applyBorder="1">
      <alignment vertical="center"/>
    </xf>
    <xf numFmtId="43" fontId="12" fillId="0" borderId="62" xfId="7" applyFont="1" applyBorder="1">
      <alignment vertical="center"/>
    </xf>
    <xf numFmtId="43" fontId="12" fillId="27" borderId="62" xfId="7" applyFont="1" applyFill="1" applyBorder="1">
      <alignment vertical="center"/>
    </xf>
    <xf numFmtId="9" fontId="12" fillId="0" borderId="62" xfId="8" applyFont="1" applyBorder="1">
      <alignment vertical="center"/>
    </xf>
    <xf numFmtId="43" fontId="12" fillId="0" borderId="62" xfId="7" applyNumberFormat="1" applyFont="1" applyBorder="1">
      <alignment vertical="center"/>
    </xf>
    <xf numFmtId="9" fontId="12" fillId="0" borderId="62" xfId="0" applyNumberFormat="1" applyFont="1" applyBorder="1">
      <alignment vertical="center"/>
    </xf>
    <xf numFmtId="43" fontId="12" fillId="0" borderId="62" xfId="0" applyNumberFormat="1" applyFont="1" applyBorder="1">
      <alignment vertical="center"/>
    </xf>
    <xf numFmtId="0" fontId="12" fillId="16" borderId="0" xfId="0" applyFont="1" applyFill="1">
      <alignment vertical="center"/>
    </xf>
    <xf numFmtId="0" fontId="12" fillId="0" borderId="0" xfId="0" applyFont="1" applyBorder="1">
      <alignment vertical="center"/>
    </xf>
    <xf numFmtId="9" fontId="12" fillId="0" borderId="0" xfId="8" applyFont="1" applyBorder="1">
      <alignment vertical="center"/>
    </xf>
    <xf numFmtId="0" fontId="191" fillId="38" borderId="62" xfId="0" applyFont="1" applyFill="1" applyBorder="1" applyAlignment="1" applyProtection="1">
      <alignment horizontal="center" vertical="center"/>
      <protection locked="0"/>
    </xf>
    <xf numFmtId="3" fontId="95" fillId="0" borderId="62" xfId="0" applyNumberFormat="1" applyFont="1" applyFill="1" applyBorder="1" applyAlignment="1" applyProtection="1">
      <alignment vertical="center"/>
      <protection locked="0"/>
    </xf>
    <xf numFmtId="0" fontId="95" fillId="0" borderId="62" xfId="0" applyFont="1" applyFill="1" applyBorder="1" applyAlignment="1" applyProtection="1">
      <alignment vertical="center"/>
      <protection locked="0"/>
    </xf>
    <xf numFmtId="10" fontId="12" fillId="0" borderId="0" xfId="0" applyNumberFormat="1" applyFont="1" applyBorder="1">
      <alignment vertical="center"/>
    </xf>
    <xf numFmtId="0" fontId="12" fillId="0" borderId="0" xfId="0" applyFont="1" applyBorder="1" applyAlignment="1">
      <alignment horizontal="center" vertical="center"/>
    </xf>
    <xf numFmtId="10" fontId="12" fillId="0" borderId="0" xfId="8" applyNumberFormat="1" applyFont="1" applyBorder="1">
      <alignment vertical="center"/>
    </xf>
    <xf numFmtId="43" fontId="12" fillId="27" borderId="62" xfId="0" applyNumberFormat="1" applyFont="1" applyFill="1" applyBorder="1">
      <alignment vertical="center"/>
    </xf>
    <xf numFmtId="43" fontId="12" fillId="0" borderId="0" xfId="0" applyNumberFormat="1" applyFont="1" applyBorder="1">
      <alignment vertical="center"/>
    </xf>
    <xf numFmtId="0" fontId="191" fillId="38" borderId="91" xfId="0" applyFont="1" applyFill="1" applyBorder="1" applyAlignment="1" applyProtection="1">
      <alignment vertical="center"/>
      <protection locked="0"/>
    </xf>
    <xf numFmtId="0" fontId="191" fillId="38" borderId="39" xfId="0" applyFont="1" applyFill="1" applyBorder="1" applyAlignment="1" applyProtection="1">
      <alignment vertical="center"/>
      <protection locked="0"/>
    </xf>
    <xf numFmtId="43" fontId="95" fillId="27" borderId="79" xfId="7" applyFont="1" applyFill="1" applyBorder="1" applyAlignment="1" applyProtection="1">
      <alignment vertical="center"/>
      <protection locked="0"/>
    </xf>
    <xf numFmtId="43" fontId="95" fillId="27" borderId="80" xfId="7" applyFont="1" applyFill="1" applyBorder="1" applyAlignment="1" applyProtection="1">
      <alignment vertical="center"/>
      <protection locked="0"/>
    </xf>
    <xf numFmtId="43" fontId="95" fillId="27" borderId="62" xfId="7" applyFont="1" applyFill="1" applyBorder="1" applyAlignment="1" applyProtection="1">
      <alignment vertical="center"/>
      <protection locked="0"/>
    </xf>
    <xf numFmtId="43" fontId="12" fillId="0" borderId="0" xfId="7" applyFont="1">
      <alignment vertical="center"/>
    </xf>
    <xf numFmtId="9" fontId="122" fillId="16" borderId="61" xfId="8" applyFont="1" applyFill="1" applyBorder="1">
      <alignment vertical="center"/>
    </xf>
    <xf numFmtId="43" fontId="150" fillId="27" borderId="0" xfId="7" applyFont="1" applyFill="1" applyBorder="1" applyProtection="1">
      <alignment vertical="center"/>
      <protection locked="0"/>
    </xf>
    <xf numFmtId="182" fontId="150" fillId="27" borderId="0" xfId="7" applyNumberFormat="1" applyFont="1" applyFill="1" applyBorder="1" applyProtection="1">
      <alignment vertical="center"/>
      <protection locked="0"/>
    </xf>
    <xf numFmtId="43" fontId="150" fillId="27" borderId="0" xfId="7" applyFont="1" applyFill="1" applyBorder="1" applyProtection="1">
      <alignment vertical="center"/>
      <protection locked="0"/>
    </xf>
    <xf numFmtId="192" fontId="150" fillId="27" borderId="0" xfId="7" applyNumberFormat="1" applyFont="1" applyFill="1" applyBorder="1" applyProtection="1">
      <alignment vertical="center"/>
      <protection locked="0"/>
    </xf>
    <xf numFmtId="181" fontId="171" fillId="16" borderId="36" xfId="8" applyNumberFormat="1" applyFont="1" applyFill="1" applyBorder="1" applyAlignment="1" applyProtection="1">
      <alignment vertical="center"/>
    </xf>
    <xf numFmtId="0" fontId="11" fillId="0" borderId="62" xfId="0" applyFont="1" applyBorder="1">
      <alignment vertical="center"/>
    </xf>
    <xf numFmtId="206" fontId="11" fillId="0" borderId="62" xfId="0" applyNumberFormat="1" applyFont="1" applyBorder="1">
      <alignment vertical="center"/>
    </xf>
    <xf numFmtId="43" fontId="12" fillId="16" borderId="62" xfId="7" applyFont="1" applyFill="1" applyBorder="1">
      <alignment vertical="center"/>
    </xf>
    <xf numFmtId="43" fontId="12" fillId="0" borderId="62" xfId="0" applyNumberFormat="1" applyFont="1" applyFill="1" applyBorder="1">
      <alignment vertical="center"/>
    </xf>
    <xf numFmtId="43" fontId="12" fillId="0" borderId="62" xfId="7" applyFont="1" applyFill="1" applyBorder="1">
      <alignment vertical="center"/>
    </xf>
    <xf numFmtId="43" fontId="95" fillId="0" borderId="62" xfId="0" applyNumberFormat="1" applyFont="1" applyBorder="1">
      <alignment vertical="center"/>
    </xf>
    <xf numFmtId="43" fontId="11" fillId="0" borderId="62" xfId="0" applyNumberFormat="1" applyFont="1" applyBorder="1">
      <alignment vertical="center"/>
    </xf>
    <xf numFmtId="0" fontId="11" fillId="0" borderId="62" xfId="0" applyFont="1" applyBorder="1" applyAlignment="1">
      <alignment horizontal="center" vertical="center"/>
    </xf>
    <xf numFmtId="9" fontId="11" fillId="16" borderId="62" xfId="8" applyFont="1" applyFill="1" applyBorder="1">
      <alignment vertical="center"/>
    </xf>
    <xf numFmtId="0" fontId="191" fillId="38" borderId="62" xfId="0" applyFont="1" applyFill="1" applyBorder="1" applyAlignment="1" applyProtection="1">
      <alignment horizontal="center" vertical="center" wrapText="1"/>
      <protection locked="0"/>
    </xf>
    <xf numFmtId="43" fontId="12" fillId="0" borderId="0" xfId="0" applyNumberFormat="1" applyFont="1">
      <alignment vertical="center"/>
    </xf>
    <xf numFmtId="43" fontId="142" fillId="0" borderId="62" xfId="0" applyNumberFormat="1" applyFont="1" applyBorder="1">
      <alignment vertical="center"/>
    </xf>
    <xf numFmtId="9" fontId="142" fillId="0" borderId="62" xfId="8" applyFont="1" applyBorder="1">
      <alignment vertical="center"/>
    </xf>
    <xf numFmtId="43" fontId="142" fillId="0" borderId="62" xfId="7" applyFont="1" applyBorder="1">
      <alignment vertical="center"/>
    </xf>
    <xf numFmtId="43" fontId="12" fillId="0" borderId="0" xfId="7" applyFont="1" applyBorder="1">
      <alignment vertical="center"/>
    </xf>
    <xf numFmtId="43" fontId="12" fillId="0" borderId="0" xfId="8" applyNumberFormat="1" applyFont="1" applyBorder="1">
      <alignment vertical="center"/>
    </xf>
    <xf numFmtId="43" fontId="142" fillId="16" borderId="62" xfId="7" applyFont="1" applyFill="1" applyBorder="1">
      <alignment vertical="center"/>
    </xf>
    <xf numFmtId="9" fontId="12" fillId="16" borderId="62" xfId="8" applyFont="1" applyFill="1" applyBorder="1">
      <alignment vertical="center"/>
    </xf>
    <xf numFmtId="0" fontId="11" fillId="16" borderId="0" xfId="0" applyFont="1" applyFill="1">
      <alignment vertical="center"/>
    </xf>
    <xf numFmtId="0" fontId="11" fillId="0" borderId="0" xfId="0" applyFont="1">
      <alignment vertical="center"/>
    </xf>
    <xf numFmtId="0" fontId="11" fillId="0" borderId="62" xfId="0" applyFont="1" applyBorder="1">
      <alignment vertical="center"/>
    </xf>
    <xf numFmtId="181" fontId="11" fillId="0" borderId="62" xfId="8" applyNumberFormat="1" applyFont="1" applyBorder="1">
      <alignment vertical="center"/>
    </xf>
    <xf numFmtId="9" fontId="11" fillId="0" borderId="62" xfId="0" applyNumberFormat="1" applyFont="1" applyBorder="1">
      <alignment vertical="center"/>
    </xf>
    <xf numFmtId="0" fontId="192" fillId="0" borderId="0" xfId="79" applyFont="1">
      <alignment vertical="center"/>
    </xf>
    <xf numFmtId="0" fontId="127" fillId="0" borderId="62" xfId="78" applyFont="1" applyFill="1" applyBorder="1" applyAlignment="1" applyProtection="1">
      <alignment vertical="center"/>
    </xf>
    <xf numFmtId="0" fontId="192" fillId="0" borderId="62" xfId="79" applyFont="1" applyBorder="1">
      <alignment vertical="center"/>
    </xf>
    <xf numFmtId="0" fontId="142" fillId="0" borderId="62" xfId="78" applyFont="1" applyFill="1" applyBorder="1" applyAlignment="1" applyProtection="1">
      <alignment vertical="center"/>
    </xf>
    <xf numFmtId="43" fontId="192" fillId="0" borderId="62" xfId="7" applyFont="1" applyBorder="1">
      <alignment vertical="center"/>
    </xf>
    <xf numFmtId="0" fontId="10" fillId="0" borderId="0" xfId="78" applyFont="1" applyFill="1" applyAlignment="1" applyProtection="1">
      <alignment vertical="center"/>
    </xf>
    <xf numFmtId="3" fontId="174" fillId="0" borderId="62" xfId="80" applyNumberFormat="1" applyFont="1" applyBorder="1" applyAlignment="1" applyProtection="1">
      <alignment vertical="center"/>
      <protection locked="0"/>
    </xf>
    <xf numFmtId="43" fontId="95" fillId="14" borderId="62" xfId="7" applyFont="1" applyFill="1" applyBorder="1" applyAlignment="1" applyProtection="1">
      <alignment horizontal="center" vertical="center"/>
    </xf>
    <xf numFmtId="0" fontId="95" fillId="0" borderId="62" xfId="80" applyFont="1" applyBorder="1" applyAlignment="1" applyProtection="1">
      <alignment vertical="center"/>
      <protection locked="0"/>
    </xf>
    <xf numFmtId="43" fontId="95" fillId="0" borderId="62" xfId="7" applyFont="1" applyFill="1" applyBorder="1" applyAlignment="1" applyProtection="1">
      <alignment vertical="center"/>
      <protection locked="0"/>
    </xf>
    <xf numFmtId="3" fontId="95" fillId="0" borderId="62" xfId="80" applyNumberFormat="1" applyFont="1" applyBorder="1" applyAlignment="1" applyProtection="1">
      <alignment vertical="center"/>
      <protection locked="0"/>
    </xf>
    <xf numFmtId="3" fontId="95" fillId="0" borderId="62" xfId="80" applyNumberFormat="1" applyFont="1" applyBorder="1" applyAlignment="1" applyProtection="1">
      <alignment horizontal="left" vertical="center"/>
      <protection locked="0"/>
    </xf>
    <xf numFmtId="0" fontId="174" fillId="0" borderId="62" xfId="80" applyFont="1" applyBorder="1" applyAlignment="1" applyProtection="1">
      <alignment vertical="center"/>
      <protection locked="0"/>
    </xf>
    <xf numFmtId="0" fontId="95" fillId="0" borderId="62" xfId="80" applyFont="1" applyBorder="1" applyAlignment="1" applyProtection="1">
      <alignment horizontal="left" vertical="center"/>
      <protection locked="0"/>
    </xf>
    <xf numFmtId="49" fontId="174" fillId="14" borderId="62" xfId="80" applyNumberFormat="1" applyFont="1" applyFill="1" applyBorder="1" applyAlignment="1" applyProtection="1">
      <alignment vertical="center" wrapText="1"/>
      <protection locked="0"/>
    </xf>
    <xf numFmtId="49" fontId="95" fillId="0" borderId="62" xfId="80" applyNumberFormat="1" applyFont="1" applyBorder="1" applyAlignment="1" applyProtection="1">
      <alignment vertical="center"/>
      <protection locked="0"/>
    </xf>
    <xf numFmtId="49" fontId="95" fillId="14" borderId="62" xfId="80" applyNumberFormat="1" applyFont="1" applyFill="1" applyBorder="1" applyAlignment="1" applyProtection="1">
      <alignment vertical="center" wrapText="1"/>
      <protection locked="0"/>
    </xf>
    <xf numFmtId="49" fontId="95" fillId="0" borderId="62" xfId="80" applyNumberFormat="1" applyFont="1" applyBorder="1" applyAlignment="1" applyProtection="1">
      <alignment vertical="center" wrapText="1"/>
      <protection locked="0"/>
    </xf>
    <xf numFmtId="49" fontId="95" fillId="14" borderId="62" xfId="80" applyNumberFormat="1" applyFont="1" applyFill="1" applyBorder="1" applyAlignment="1" applyProtection="1">
      <alignment horizontal="left" vertical="center" wrapText="1"/>
      <protection locked="0"/>
    </xf>
    <xf numFmtId="49" fontId="174" fillId="0" borderId="62" xfId="80" applyNumberFormat="1" applyFont="1" applyBorder="1" applyAlignment="1" applyProtection="1">
      <alignment vertical="center" wrapText="1"/>
      <protection locked="0"/>
    </xf>
    <xf numFmtId="49" fontId="174" fillId="0" borderId="62" xfId="80" applyNumberFormat="1" applyFont="1" applyBorder="1" applyAlignment="1" applyProtection="1">
      <alignment vertical="center"/>
      <protection locked="0"/>
    </xf>
    <xf numFmtId="49" fontId="95" fillId="0" borderId="62" xfId="80" applyNumberFormat="1" applyFont="1" applyBorder="1" applyAlignment="1" applyProtection="1">
      <alignment horizontal="left" vertical="center" wrapText="1"/>
      <protection locked="0"/>
    </xf>
    <xf numFmtId="49" fontId="174" fillId="0" borderId="62" xfId="80" applyNumberFormat="1" applyFont="1" applyBorder="1" applyAlignment="1" applyProtection="1">
      <alignment horizontal="left" vertical="center"/>
      <protection locked="0"/>
    </xf>
    <xf numFmtId="43" fontId="95" fillId="27" borderId="62" xfId="32" applyNumberFormat="1" applyFont="1" applyFill="1" applyBorder="1" applyAlignment="1"/>
    <xf numFmtId="43" fontId="14" fillId="27" borderId="36" xfId="7" applyFont="1" applyFill="1" applyBorder="1" applyAlignment="1" applyProtection="1">
      <alignment horizontal="right" vertical="center"/>
      <protection locked="0"/>
    </xf>
    <xf numFmtId="43" fontId="95" fillId="27" borderId="36" xfId="7" applyFont="1" applyFill="1" applyBorder="1" applyAlignment="1" applyProtection="1">
      <alignment horizontal="right" vertical="center"/>
      <protection locked="0"/>
    </xf>
    <xf numFmtId="0" fontId="10" fillId="0" borderId="0" xfId="0" applyFont="1" applyFill="1" applyBorder="1">
      <alignment vertical="center"/>
    </xf>
    <xf numFmtId="9" fontId="95" fillId="16" borderId="36" xfId="0" applyNumberFormat="1" applyFont="1" applyFill="1" applyBorder="1" applyAlignment="1" applyProtection="1">
      <alignment vertical="center"/>
      <protection locked="0"/>
    </xf>
    <xf numFmtId="181" fontId="95" fillId="16" borderId="36" xfId="0" applyNumberFormat="1" applyFont="1" applyFill="1" applyBorder="1" applyAlignment="1" applyProtection="1">
      <alignment vertical="center"/>
      <protection locked="0"/>
    </xf>
    <xf numFmtId="183" fontId="95" fillId="16" borderId="36" xfId="0" applyNumberFormat="1" applyFont="1" applyFill="1" applyBorder="1" applyAlignment="1" applyProtection="1">
      <alignment vertical="center"/>
      <protection locked="0"/>
    </xf>
    <xf numFmtId="0" fontId="95" fillId="16" borderId="36" xfId="0" applyFont="1" applyFill="1" applyBorder="1" applyAlignment="1">
      <alignment horizontal="left" vertical="center" indent="3"/>
    </xf>
    <xf numFmtId="0" fontId="16" fillId="16" borderId="36" xfId="0" applyFont="1" applyFill="1" applyBorder="1" applyAlignment="1">
      <alignment horizontal="left" vertical="center" indent="3"/>
    </xf>
    <xf numFmtId="183" fontId="95" fillId="4" borderId="36" xfId="0" applyNumberFormat="1" applyFont="1" applyFill="1" applyBorder="1" applyProtection="1">
      <alignment vertical="center"/>
      <protection locked="0"/>
    </xf>
    <xf numFmtId="183" fontId="95" fillId="16" borderId="36" xfId="0" applyNumberFormat="1" applyFont="1" applyFill="1" applyBorder="1" applyAlignment="1" applyProtection="1">
      <alignment vertical="center"/>
    </xf>
    <xf numFmtId="183" fontId="36" fillId="16" borderId="0" xfId="0" applyNumberFormat="1" applyFont="1" applyFill="1" applyBorder="1">
      <alignment vertical="center"/>
    </xf>
    <xf numFmtId="0" fontId="39" fillId="5" borderId="0" xfId="0" applyFont="1" applyFill="1" applyBorder="1" applyAlignment="1">
      <alignment horizontal="center" vertical="center"/>
    </xf>
    <xf numFmtId="0" fontId="170" fillId="6" borderId="0" xfId="0" applyFont="1" applyFill="1" applyBorder="1" applyAlignment="1">
      <alignment horizontal="center" vertical="center"/>
    </xf>
    <xf numFmtId="183" fontId="0" fillId="16" borderId="0" xfId="0" applyNumberFormat="1" applyFont="1" applyFill="1" applyBorder="1">
      <alignment vertical="center"/>
    </xf>
    <xf numFmtId="10" fontId="9" fillId="27" borderId="62" xfId="8" applyNumberFormat="1" applyFont="1" applyFill="1" applyBorder="1">
      <alignment vertical="center"/>
    </xf>
    <xf numFmtId="180" fontId="45" fillId="27" borderId="0" xfId="30" applyNumberFormat="1" applyFont="1" applyFill="1" applyBorder="1">
      <alignment vertical="center"/>
    </xf>
    <xf numFmtId="181" fontId="17" fillId="0" borderId="62" xfId="8" applyNumberFormat="1" applyFont="1" applyFill="1" applyBorder="1" applyAlignment="1"/>
    <xf numFmtId="0" fontId="8" fillId="0" borderId="2" xfId="0" applyFont="1" applyFill="1" applyBorder="1">
      <alignment vertical="center"/>
    </xf>
    <xf numFmtId="0" fontId="8" fillId="7" borderId="2" xfId="0" applyFont="1" applyFill="1" applyBorder="1">
      <alignment vertical="center"/>
    </xf>
    <xf numFmtId="0" fontId="8" fillId="0" borderId="0" xfId="0" applyFont="1" applyFill="1" applyBorder="1">
      <alignment vertical="center"/>
    </xf>
    <xf numFmtId="0" fontId="8" fillId="7" borderId="0" xfId="0" applyFont="1" applyFill="1" applyBorder="1">
      <alignment vertical="center"/>
    </xf>
    <xf numFmtId="0" fontId="8" fillId="7" borderId="0" xfId="0" applyFont="1" applyFill="1" applyBorder="1" applyAlignment="1">
      <alignment horizontal="left" vertical="center" indent="2"/>
    </xf>
    <xf numFmtId="181" fontId="8" fillId="0" borderId="0" xfId="8" applyNumberFormat="1" applyFont="1" applyFill="1" applyBorder="1">
      <alignment vertical="center"/>
    </xf>
    <xf numFmtId="181" fontId="8" fillId="7" borderId="0" xfId="8" applyNumberFormat="1" applyFont="1" applyFill="1" applyBorder="1">
      <alignment vertical="center"/>
    </xf>
    <xf numFmtId="0" fontId="8" fillId="7" borderId="0" xfId="0" applyFont="1" applyFill="1" applyBorder="1" applyAlignment="1">
      <alignment horizontal="left" vertical="center" indent="3"/>
    </xf>
    <xf numFmtId="0" fontId="8" fillId="7" borderId="0" xfId="0" applyFont="1" applyFill="1" applyBorder="1" applyAlignment="1">
      <alignment horizontal="left" vertical="center" indent="1"/>
    </xf>
    <xf numFmtId="181" fontId="150" fillId="16" borderId="36" xfId="8" applyNumberFormat="1" applyFont="1" applyFill="1" applyBorder="1" applyAlignment="1" applyProtection="1">
      <alignment vertical="center"/>
      <protection locked="0"/>
    </xf>
    <xf numFmtId="183" fontId="95" fillId="16" borderId="36" xfId="8" applyNumberFormat="1" applyFont="1" applyFill="1" applyBorder="1" applyProtection="1">
      <alignment vertical="center"/>
      <protection locked="0"/>
    </xf>
    <xf numFmtId="206" fontId="180" fillId="0" borderId="62" xfId="0" applyNumberFormat="1" applyFont="1" applyBorder="1">
      <alignment vertical="center"/>
    </xf>
    <xf numFmtId="183" fontId="95" fillId="16" borderId="36" xfId="8" applyNumberFormat="1" applyFont="1" applyFill="1" applyBorder="1" applyAlignment="1" applyProtection="1">
      <alignment vertical="center"/>
    </xf>
    <xf numFmtId="181" fontId="95" fillId="16" borderId="36" xfId="8" applyNumberFormat="1" applyFont="1" applyFill="1" applyBorder="1" applyAlignment="1" applyProtection="1">
      <alignment vertical="center"/>
    </xf>
    <xf numFmtId="206" fontId="8" fillId="0" borderId="62" xfId="0" applyNumberFormat="1" applyFont="1" applyBorder="1" applyAlignment="1">
      <alignment horizontal="left" vertical="center"/>
    </xf>
    <xf numFmtId="183" fontId="14" fillId="0" borderId="36" xfId="0" applyNumberFormat="1" applyFont="1" applyBorder="1">
      <alignment vertical="center"/>
    </xf>
    <xf numFmtId="43" fontId="95" fillId="0" borderId="36" xfId="0" applyNumberFormat="1" applyFont="1" applyBorder="1" applyAlignment="1" applyProtection="1">
      <alignment vertical="center"/>
      <protection locked="0"/>
    </xf>
    <xf numFmtId="183" fontId="95" fillId="16" borderId="36" xfId="8" applyNumberFormat="1" applyFont="1" applyFill="1" applyBorder="1" applyAlignment="1" applyProtection="1">
      <alignment vertical="center"/>
      <protection locked="0"/>
    </xf>
    <xf numFmtId="189" fontId="95" fillId="16" borderId="36" xfId="8" applyNumberFormat="1" applyFont="1" applyFill="1" applyBorder="1" applyAlignment="1" applyProtection="1">
      <alignment vertical="center"/>
    </xf>
    <xf numFmtId="189" fontId="14" fillId="7" borderId="36" xfId="0" applyNumberFormat="1" applyFont="1" applyFill="1" applyBorder="1">
      <alignment vertical="center"/>
    </xf>
    <xf numFmtId="43" fontId="0" fillId="0" borderId="0" xfId="0" applyNumberFormat="1">
      <alignment vertical="center"/>
    </xf>
    <xf numFmtId="180" fontId="193" fillId="7" borderId="0" xfId="8" applyNumberFormat="1" applyFont="1" applyFill="1" applyBorder="1">
      <alignment vertical="center"/>
    </xf>
    <xf numFmtId="195" fontId="194" fillId="16" borderId="79" xfId="0" applyNumberFormat="1" applyFont="1" applyFill="1" applyBorder="1" applyAlignment="1" applyProtection="1">
      <alignment horizontal="center" vertical="center"/>
      <protection locked="0"/>
    </xf>
    <xf numFmtId="0" fontId="8" fillId="0" borderId="36" xfId="0" applyFont="1" applyBorder="1">
      <alignment vertical="center"/>
    </xf>
    <xf numFmtId="183" fontId="174" fillId="0" borderId="36" xfId="30" applyNumberFormat="1" applyFont="1" applyFill="1" applyBorder="1" applyAlignment="1">
      <alignment horizontal="right" vertical="center"/>
    </xf>
    <xf numFmtId="183" fontId="142" fillId="7" borderId="36" xfId="0" applyNumberFormat="1" applyFont="1" applyFill="1" applyBorder="1">
      <alignment vertical="center"/>
    </xf>
    <xf numFmtId="3" fontId="14" fillId="7" borderId="37" xfId="29" applyNumberFormat="1" applyFont="1" applyFill="1" applyBorder="1" applyAlignment="1">
      <alignment horizontal="left" vertical="center" indent="1"/>
      <protection locked="0"/>
    </xf>
    <xf numFmtId="183" fontId="95" fillId="0" borderId="37" xfId="30" applyNumberFormat="1" applyFont="1" applyFill="1" applyBorder="1" applyAlignment="1">
      <alignment horizontal="right" vertical="center"/>
    </xf>
    <xf numFmtId="0" fontId="14" fillId="0" borderId="37" xfId="0" applyFont="1" applyBorder="1">
      <alignment vertical="center"/>
    </xf>
    <xf numFmtId="0" fontId="14" fillId="0" borderId="7" xfId="0" applyFont="1" applyBorder="1">
      <alignment vertical="center"/>
    </xf>
    <xf numFmtId="183" fontId="14" fillId="0" borderId="7" xfId="0" applyNumberFormat="1" applyFont="1" applyBorder="1">
      <alignment vertical="center"/>
    </xf>
    <xf numFmtId="192" fontId="150" fillId="24" borderId="62" xfId="44" applyNumberFormat="1" applyFont="1" applyFill="1" applyBorder="1">
      <alignment vertical="center"/>
    </xf>
    <xf numFmtId="0" fontId="192" fillId="0" borderId="0" xfId="79" applyFont="1">
      <alignment vertical="center"/>
    </xf>
    <xf numFmtId="212" fontId="142" fillId="3" borderId="62" xfId="16" applyNumberFormat="1" applyFont="1" applyFill="1" applyBorder="1" applyAlignment="1">
      <alignment horizontal="center" vertical="center"/>
    </xf>
    <xf numFmtId="206" fontId="8" fillId="0" borderId="62" xfId="0" applyNumberFormat="1" applyFont="1" applyBorder="1">
      <alignment vertical="center"/>
    </xf>
    <xf numFmtId="192" fontId="14" fillId="0" borderId="61" xfId="0" applyNumberFormat="1" applyFont="1" applyFill="1" applyBorder="1">
      <alignment vertical="center"/>
    </xf>
    <xf numFmtId="192" fontId="133" fillId="0" borderId="61" xfId="7" applyNumberFormat="1" applyFont="1" applyFill="1" applyBorder="1" applyAlignment="1">
      <alignment vertical="center"/>
    </xf>
    <xf numFmtId="43" fontId="133" fillId="0" borderId="61" xfId="7" applyFont="1" applyFill="1" applyBorder="1" applyAlignment="1">
      <alignment vertical="center"/>
    </xf>
    <xf numFmtId="43" fontId="133" fillId="0" borderId="61" xfId="7" applyFont="1" applyFill="1" applyBorder="1" applyAlignment="1">
      <alignment vertical="center"/>
    </xf>
    <xf numFmtId="0" fontId="14" fillId="0" borderId="61" xfId="0" applyFont="1" applyFill="1" applyBorder="1" applyAlignment="1">
      <alignment horizontal="left" vertical="center" indent="2"/>
    </xf>
    <xf numFmtId="43" fontId="150" fillId="0" borderId="61" xfId="7" applyFont="1" applyFill="1" applyBorder="1">
      <alignment vertical="center"/>
    </xf>
    <xf numFmtId="0" fontId="183" fillId="0" borderId="61" xfId="0" applyFont="1" applyFill="1" applyBorder="1" applyAlignment="1">
      <alignment horizontal="left" vertical="center" indent="2"/>
    </xf>
    <xf numFmtId="181" fontId="184" fillId="0" borderId="61" xfId="8" applyNumberFormat="1" applyFont="1" applyFill="1" applyBorder="1">
      <alignment vertical="center"/>
    </xf>
    <xf numFmtId="43" fontId="14" fillId="0" borderId="61" xfId="7" applyFont="1" applyFill="1" applyBorder="1" applyAlignment="1">
      <alignment horizontal="left" vertical="center" indent="2"/>
    </xf>
    <xf numFmtId="206" fontId="8" fillId="0" borderId="0" xfId="0" applyNumberFormat="1" applyFont="1">
      <alignment vertical="center"/>
    </xf>
    <xf numFmtId="1" fontId="45" fillId="0" borderId="0" xfId="7" applyNumberFormat="1" applyFont="1" applyFill="1" applyBorder="1" applyAlignment="1" applyProtection="1">
      <alignment horizontal="right" vertical="center"/>
      <protection locked="0"/>
    </xf>
    <xf numFmtId="183" fontId="16" fillId="7" borderId="77" xfId="0" applyNumberFormat="1" applyFont="1" applyFill="1" applyBorder="1" applyProtection="1">
      <alignment vertical="center"/>
    </xf>
    <xf numFmtId="2" fontId="95" fillId="7" borderId="93" xfId="0" applyNumberFormat="1" applyFont="1" applyFill="1" applyBorder="1" applyProtection="1">
      <alignment vertical="center"/>
    </xf>
    <xf numFmtId="0" fontId="95" fillId="7" borderId="93" xfId="0" applyFont="1" applyFill="1" applyBorder="1" applyProtection="1">
      <alignment vertical="center"/>
    </xf>
    <xf numFmtId="0" fontId="150" fillId="7" borderId="93" xfId="0" applyFont="1" applyFill="1" applyBorder="1" applyProtection="1">
      <alignment vertical="center"/>
    </xf>
    <xf numFmtId="0" fontId="95" fillId="7" borderId="77" xfId="0" applyFont="1" applyFill="1" applyBorder="1" applyProtection="1">
      <alignment vertical="center"/>
    </xf>
    <xf numFmtId="0" fontId="95" fillId="7" borderId="77" xfId="0" applyFont="1" applyFill="1" applyBorder="1" applyAlignment="1" applyProtection="1">
      <alignment vertical="center"/>
    </xf>
    <xf numFmtId="0" fontId="95" fillId="7" borderId="93" xfId="0" applyFont="1" applyFill="1" applyBorder="1" applyAlignment="1" applyProtection="1">
      <alignment vertical="center"/>
    </xf>
    <xf numFmtId="181" fontId="95" fillId="16" borderId="92" xfId="8" applyNumberFormat="1" applyFont="1" applyFill="1" applyBorder="1" applyAlignment="1" applyProtection="1">
      <alignment vertical="center"/>
      <protection locked="0"/>
    </xf>
    <xf numFmtId="181" fontId="150" fillId="16" borderId="5" xfId="8" applyNumberFormat="1" applyFont="1" applyFill="1" applyBorder="1" applyAlignment="1" applyProtection="1">
      <alignment vertical="center"/>
      <protection locked="0"/>
    </xf>
    <xf numFmtId="0" fontId="95" fillId="7" borderId="93" xfId="0" applyFont="1" applyFill="1" applyBorder="1" applyAlignment="1" applyProtection="1">
      <alignment vertical="center"/>
      <protection locked="0"/>
    </xf>
    <xf numFmtId="181" fontId="150" fillId="7" borderId="93" xfId="8" applyNumberFormat="1" applyFont="1" applyFill="1" applyBorder="1" applyAlignment="1" applyProtection="1">
      <alignment vertical="center"/>
      <protection locked="0"/>
    </xf>
    <xf numFmtId="0" fontId="174" fillId="7" borderId="93" xfId="0" applyFont="1" applyFill="1" applyBorder="1" applyAlignment="1">
      <alignment horizontal="left" vertical="center" indent="1"/>
    </xf>
    <xf numFmtId="181" fontId="16" fillId="0" borderId="93" xfId="8" applyNumberFormat="1" applyFont="1" applyBorder="1" applyAlignment="1" applyProtection="1">
      <alignment vertical="center"/>
      <protection locked="0"/>
    </xf>
    <xf numFmtId="181" fontId="150" fillId="0" borderId="93" xfId="8" applyNumberFormat="1" applyFont="1" applyBorder="1" applyAlignment="1" applyProtection="1">
      <alignment vertical="center"/>
      <protection locked="0"/>
    </xf>
    <xf numFmtId="181" fontId="95" fillId="0" borderId="93" xfId="8" applyNumberFormat="1" applyFont="1" applyBorder="1" applyAlignment="1" applyProtection="1">
      <alignment vertical="center"/>
      <protection locked="0"/>
    </xf>
    <xf numFmtId="0" fontId="16" fillId="7" borderId="93" xfId="0" applyFont="1" applyFill="1" applyBorder="1" applyAlignment="1">
      <alignment horizontal="left" vertical="center" indent="2"/>
    </xf>
    <xf numFmtId="0" fontId="16" fillId="0" borderId="93" xfId="0" applyFont="1" applyBorder="1" applyAlignment="1" applyProtection="1">
      <alignment vertical="center"/>
    </xf>
    <xf numFmtId="0" fontId="16" fillId="7" borderId="93" xfId="0" applyFont="1" applyFill="1" applyBorder="1" applyAlignment="1" applyProtection="1">
      <alignment vertical="center"/>
    </xf>
    <xf numFmtId="0" fontId="16" fillId="0" borderId="93" xfId="0" applyFont="1" applyBorder="1" applyAlignment="1">
      <alignment vertical="center"/>
    </xf>
    <xf numFmtId="1" fontId="0" fillId="24" borderId="0" xfId="0" applyNumberFormat="1" applyFill="1" applyBorder="1">
      <alignment vertical="center"/>
    </xf>
    <xf numFmtId="180" fontId="0" fillId="7" borderId="93" xfId="0" applyNumberFormat="1" applyFill="1" applyBorder="1">
      <alignment vertical="center"/>
    </xf>
    <xf numFmtId="182" fontId="36" fillId="7" borderId="93" xfId="0" applyNumberFormat="1" applyFont="1" applyFill="1" applyBorder="1">
      <alignment vertical="center"/>
    </xf>
    <xf numFmtId="0" fontId="8" fillId="7" borderId="77" xfId="0" applyFont="1" applyFill="1" applyBorder="1">
      <alignment vertical="center"/>
    </xf>
    <xf numFmtId="0" fontId="142" fillId="5" borderId="94" xfId="0" applyFont="1" applyFill="1" applyBorder="1" applyAlignment="1">
      <alignment horizontal="center" vertical="center"/>
    </xf>
    <xf numFmtId="43" fontId="142" fillId="5" borderId="94" xfId="7" applyFont="1" applyFill="1" applyBorder="1" applyAlignment="1">
      <alignment horizontal="center" vertical="center"/>
    </xf>
    <xf numFmtId="0" fontId="170" fillId="6" borderId="95" xfId="0" applyFont="1" applyFill="1" applyBorder="1" applyAlignment="1">
      <alignment horizontal="center" vertical="center"/>
    </xf>
    <xf numFmtId="0" fontId="142" fillId="5" borderId="94" xfId="0" applyFont="1" applyFill="1" applyBorder="1" applyAlignment="1">
      <alignment horizontal="right" vertical="center"/>
    </xf>
    <xf numFmtId="0" fontId="142" fillId="0" borderId="94" xfId="0" applyFont="1" applyFill="1" applyBorder="1" applyAlignment="1">
      <alignment horizontal="right" vertical="center"/>
    </xf>
    <xf numFmtId="0" fontId="95" fillId="0" borderId="60" xfId="0" applyFont="1" applyFill="1" applyBorder="1" applyAlignment="1">
      <alignment vertical="center" wrapText="1"/>
    </xf>
    <xf numFmtId="180" fontId="95" fillId="7" borderId="77" xfId="0" applyNumberFormat="1" applyFont="1" applyFill="1" applyBorder="1" applyAlignment="1">
      <alignment horizontal="right" vertical="center"/>
    </xf>
    <xf numFmtId="0" fontId="142" fillId="0" borderId="0" xfId="0" applyFont="1" applyFill="1" applyBorder="1" applyAlignment="1">
      <alignment horizontal="right" vertical="center"/>
    </xf>
    <xf numFmtId="0" fontId="142" fillId="7" borderId="0" xfId="0" applyFont="1" applyFill="1" applyBorder="1" applyAlignment="1">
      <alignment horizontal="right" vertical="center"/>
    </xf>
    <xf numFmtId="0" fontId="44" fillId="7" borderId="77" xfId="30" applyFont="1" applyFill="1" applyBorder="1" applyAlignment="1">
      <alignment horizontal="right" vertical="center"/>
    </xf>
    <xf numFmtId="0" fontId="41" fillId="7" borderId="93" xfId="0" applyFont="1" applyFill="1" applyBorder="1" applyAlignment="1">
      <alignment horizontal="right" vertical="center"/>
    </xf>
    <xf numFmtId="183" fontId="0" fillId="0" borderId="93" xfId="0" applyNumberFormat="1" applyFill="1" applyBorder="1">
      <alignment vertical="center"/>
    </xf>
    <xf numFmtId="9" fontId="95" fillId="16" borderId="36" xfId="8" applyFont="1" applyFill="1" applyBorder="1" applyAlignment="1" applyProtection="1">
      <alignment vertical="center"/>
      <protection locked="0"/>
    </xf>
    <xf numFmtId="181" fontId="95" fillId="7" borderId="36" xfId="8" applyNumberFormat="1" applyFont="1" applyFill="1" applyBorder="1" applyAlignment="1" applyProtection="1">
      <alignment vertical="center"/>
      <protection locked="0"/>
    </xf>
    <xf numFmtId="181" fontId="95" fillId="24" borderId="5" xfId="8" applyNumberFormat="1" applyFont="1" applyFill="1" applyBorder="1" applyAlignment="1" applyProtection="1">
      <alignment vertical="center"/>
    </xf>
    <xf numFmtId="181" fontId="95" fillId="16" borderId="36" xfId="7" applyNumberFormat="1" applyFont="1" applyFill="1" applyBorder="1" applyAlignment="1" applyProtection="1">
      <alignment vertical="center"/>
    </xf>
    <xf numFmtId="43" fontId="0" fillId="0" borderId="62" xfId="7" applyFont="1" applyBorder="1">
      <alignment vertical="center"/>
    </xf>
    <xf numFmtId="206" fontId="174" fillId="0" borderId="0" xfId="0" applyNumberFormat="1" applyFont="1" applyFill="1">
      <alignment vertical="center"/>
    </xf>
    <xf numFmtId="206" fontId="95" fillId="0" borderId="0" xfId="0" applyNumberFormat="1" applyFont="1" applyFill="1">
      <alignment vertical="center"/>
    </xf>
    <xf numFmtId="195" fontId="78" fillId="24" borderId="79" xfId="0" applyNumberFormat="1" applyFont="1" applyFill="1" applyBorder="1" applyAlignment="1" applyProtection="1">
      <alignment horizontal="center" vertical="center"/>
      <protection locked="0"/>
    </xf>
    <xf numFmtId="43" fontId="0" fillId="0" borderId="62" xfId="7" applyNumberFormat="1" applyFont="1" applyFill="1" applyBorder="1">
      <alignment vertical="center"/>
    </xf>
    <xf numFmtId="192" fontId="41" fillId="0" borderId="62" xfId="7" applyNumberFormat="1" applyFont="1" applyBorder="1">
      <alignment vertical="center"/>
    </xf>
    <xf numFmtId="192" fontId="196" fillId="0" borderId="62" xfId="7" applyNumberFormat="1" applyFont="1" applyBorder="1">
      <alignment vertical="center"/>
    </xf>
    <xf numFmtId="43" fontId="41" fillId="0" borderId="62" xfId="7" applyFont="1" applyBorder="1">
      <alignment vertical="center"/>
    </xf>
    <xf numFmtId="192" fontId="0" fillId="0" borderId="0" xfId="0" applyNumberFormat="1">
      <alignment vertical="center"/>
    </xf>
    <xf numFmtId="0" fontId="41" fillId="28" borderId="2" xfId="30" applyFont="1" applyFill="1" applyBorder="1">
      <alignment vertical="center"/>
    </xf>
    <xf numFmtId="0" fontId="42" fillId="28" borderId="0" xfId="30" applyFont="1" applyFill="1" applyBorder="1">
      <alignment vertical="center"/>
    </xf>
    <xf numFmtId="192" fontId="42" fillId="28" borderId="0" xfId="30" applyNumberFormat="1" applyFont="1" applyFill="1" applyBorder="1">
      <alignment vertical="center"/>
    </xf>
    <xf numFmtId="43" fontId="42" fillId="28" borderId="0" xfId="30" applyNumberFormat="1" applyFont="1" applyFill="1" applyBorder="1">
      <alignment vertical="center"/>
    </xf>
    <xf numFmtId="0" fontId="42" fillId="28" borderId="0" xfId="30" applyFont="1" applyFill="1" applyBorder="1" applyAlignment="1">
      <alignment horizontal="left" vertical="center" indent="1"/>
    </xf>
    <xf numFmtId="43" fontId="42" fillId="28" borderId="0" xfId="30" applyNumberFormat="1" applyFont="1" applyFill="1" applyBorder="1" applyAlignment="1">
      <alignment horizontal="left" vertical="center" indent="1"/>
    </xf>
    <xf numFmtId="182" fontId="42" fillId="28" borderId="0" xfId="30" applyNumberFormat="1" applyFont="1" applyFill="1" applyBorder="1" applyAlignment="1">
      <alignment horizontal="left" vertical="center" indent="1"/>
    </xf>
    <xf numFmtId="192" fontId="42" fillId="28" borderId="0" xfId="30" applyNumberFormat="1" applyFont="1" applyFill="1" applyBorder="1" applyAlignment="1">
      <alignment horizontal="left" vertical="center" indent="1"/>
    </xf>
    <xf numFmtId="205" fontId="136" fillId="23" borderId="0" xfId="48" applyNumberFormat="1" applyFont="1" applyFill="1" applyBorder="1">
      <alignment vertical="center"/>
    </xf>
    <xf numFmtId="43" fontId="136" fillId="35" borderId="0" xfId="7" applyFont="1" applyFill="1" applyBorder="1">
      <alignment vertical="center"/>
    </xf>
    <xf numFmtId="0" fontId="135" fillId="0" borderId="0" xfId="0" applyFont="1" applyFill="1" applyBorder="1">
      <alignment vertical="center"/>
    </xf>
    <xf numFmtId="205" fontId="136" fillId="0" borderId="0" xfId="48" applyNumberFormat="1" applyFont="1" applyFill="1" applyBorder="1">
      <alignment vertical="center"/>
    </xf>
    <xf numFmtId="43" fontId="136" fillId="0" borderId="0" xfId="7" applyFont="1" applyFill="1" applyAlignment="1">
      <alignment horizontal="right" vertical="center"/>
    </xf>
    <xf numFmtId="10" fontId="136" fillId="0" borderId="0" xfId="8" applyNumberFormat="1" applyFont="1" applyFill="1">
      <alignment vertical="center"/>
    </xf>
    <xf numFmtId="0" fontId="101" fillId="0" borderId="0" xfId="0" applyFont="1" applyFill="1" applyBorder="1" applyAlignment="1">
      <alignment horizontal="center" vertical="center"/>
    </xf>
    <xf numFmtId="0" fontId="135" fillId="21" borderId="96" xfId="0" applyFont="1" applyFill="1" applyBorder="1" applyAlignment="1">
      <alignment horizontal="center" vertical="center"/>
    </xf>
    <xf numFmtId="0" fontId="135" fillId="21" borderId="97" xfId="0" applyFont="1" applyFill="1" applyBorder="1" applyAlignment="1">
      <alignment horizontal="center" vertical="center"/>
    </xf>
    <xf numFmtId="0" fontId="135" fillId="0" borderId="75" xfId="0" applyFont="1" applyFill="1" applyBorder="1">
      <alignment vertical="center"/>
    </xf>
    <xf numFmtId="198" fontId="136" fillId="0" borderId="0" xfId="48" applyNumberFormat="1" applyFont="1" applyBorder="1">
      <alignment vertical="center"/>
    </xf>
    <xf numFmtId="0" fontId="136" fillId="0" borderId="53" xfId="0" applyFont="1" applyFill="1" applyBorder="1">
      <alignment vertical="center"/>
    </xf>
    <xf numFmtId="198" fontId="136" fillId="0" borderId="10" xfId="48" applyNumberFormat="1" applyFont="1" applyBorder="1">
      <alignment vertical="center"/>
    </xf>
    <xf numFmtId="0" fontId="136" fillId="0" borderId="11" xfId="0" applyFont="1" applyFill="1" applyBorder="1" applyAlignment="1">
      <alignment horizontal="center" vertical="center"/>
    </xf>
    <xf numFmtId="205" fontId="136" fillId="0" borderId="77" xfId="48" applyNumberFormat="1" applyFont="1" applyFill="1" applyBorder="1">
      <alignment vertical="center"/>
    </xf>
    <xf numFmtId="205" fontId="136" fillId="23" borderId="77" xfId="48" applyNumberFormat="1" applyFont="1" applyFill="1" applyBorder="1">
      <alignment vertical="center"/>
    </xf>
    <xf numFmtId="0" fontId="136" fillId="0" borderId="76" xfId="0" applyFont="1" applyFill="1" applyBorder="1">
      <alignment vertical="center"/>
    </xf>
    <xf numFmtId="206" fontId="17" fillId="0" borderId="0" xfId="0" applyNumberFormat="1" applyFont="1" applyBorder="1">
      <alignment vertical="center"/>
    </xf>
    <xf numFmtId="206" fontId="7" fillId="5" borderId="62" xfId="0" applyNumberFormat="1" applyFont="1" applyFill="1" applyBorder="1">
      <alignment vertical="center"/>
    </xf>
    <xf numFmtId="9" fontId="150" fillId="16" borderId="0" xfId="8" applyNumberFormat="1" applyFont="1" applyFill="1" applyBorder="1" applyProtection="1">
      <alignment vertical="center"/>
    </xf>
    <xf numFmtId="9" fontId="95" fillId="0" borderId="0" xfId="8" applyFont="1" applyFill="1" applyBorder="1" applyProtection="1">
      <alignment vertical="center"/>
      <protection locked="0"/>
    </xf>
    <xf numFmtId="9" fontId="95" fillId="0" borderId="3" xfId="8" applyNumberFormat="1" applyFont="1" applyFill="1" applyBorder="1" applyProtection="1">
      <alignment vertical="center"/>
      <protection locked="0"/>
    </xf>
    <xf numFmtId="10" fontId="16" fillId="16" borderId="0" xfId="0" applyNumberFormat="1" applyFont="1" applyFill="1" applyBorder="1">
      <alignment vertical="center"/>
    </xf>
    <xf numFmtId="181" fontId="95" fillId="0" borderId="36" xfId="8" applyNumberFormat="1" applyFont="1" applyFill="1" applyBorder="1" applyProtection="1">
      <alignment vertical="center"/>
      <protection locked="0"/>
    </xf>
    <xf numFmtId="182" fontId="95" fillId="0" borderId="36" xfId="0" applyNumberFormat="1" applyFont="1" applyFill="1" applyBorder="1" applyProtection="1">
      <alignment vertical="center"/>
    </xf>
    <xf numFmtId="182" fontId="95" fillId="16" borderId="36" xfId="0" applyNumberFormat="1" applyFont="1" applyFill="1" applyBorder="1" applyProtection="1">
      <alignment vertical="center"/>
      <protection locked="0"/>
    </xf>
    <xf numFmtId="0" fontId="95" fillId="0" borderId="36" xfId="0" applyFont="1" applyFill="1" applyBorder="1" applyAlignment="1">
      <alignment horizontal="left" vertical="center" indent="2"/>
    </xf>
    <xf numFmtId="0" fontId="95" fillId="0" borderId="5" xfId="0" applyFont="1" applyFill="1" applyBorder="1" applyAlignment="1">
      <alignment horizontal="left" vertical="center" indent="2"/>
    </xf>
    <xf numFmtId="181" fontId="95" fillId="0" borderId="5" xfId="8" applyNumberFormat="1" applyFont="1" applyFill="1" applyBorder="1" applyAlignment="1" applyProtection="1">
      <alignment vertical="center"/>
    </xf>
    <xf numFmtId="43" fontId="172" fillId="7" borderId="36" xfId="7" applyFont="1" applyFill="1" applyBorder="1" applyAlignment="1" applyProtection="1">
      <alignment vertical="center"/>
      <protection locked="0"/>
    </xf>
    <xf numFmtId="43" fontId="172" fillId="24" borderId="36" xfId="7" applyFont="1" applyFill="1" applyBorder="1" applyAlignment="1" applyProtection="1">
      <alignment vertical="center"/>
      <protection locked="0"/>
    </xf>
    <xf numFmtId="43" fontId="95" fillId="24" borderId="36" xfId="7" applyFont="1" applyFill="1" applyBorder="1" applyAlignment="1" applyProtection="1">
      <alignment vertical="center"/>
      <protection locked="0"/>
    </xf>
    <xf numFmtId="43" fontId="95" fillId="16" borderId="36" xfId="7" applyFont="1" applyFill="1" applyBorder="1" applyAlignment="1" applyProtection="1">
      <alignment vertical="center"/>
      <protection locked="0"/>
    </xf>
    <xf numFmtId="43" fontId="45" fillId="7" borderId="0" xfId="7" applyFont="1" applyFill="1" applyBorder="1" applyAlignment="1">
      <alignment horizontal="right" vertical="center" indent="1"/>
    </xf>
    <xf numFmtId="43" fontId="171" fillId="0" borderId="36" xfId="7" applyFont="1" applyBorder="1" applyAlignment="1" applyProtection="1">
      <alignment vertical="center"/>
    </xf>
    <xf numFmtId="181" fontId="171" fillId="0" borderId="37" xfId="8" applyNumberFormat="1" applyFont="1" applyBorder="1" applyAlignment="1" applyProtection="1">
      <alignment vertical="center"/>
    </xf>
    <xf numFmtId="43" fontId="42" fillId="28" borderId="0" xfId="7" applyFont="1" applyFill="1" applyBorder="1">
      <alignment vertical="center"/>
    </xf>
    <xf numFmtId="0" fontId="41" fillId="16" borderId="0" xfId="0" applyFont="1" applyFill="1" applyBorder="1" applyAlignment="1" applyProtection="1">
      <alignment horizontal="right" vertical="center"/>
      <protection locked="0"/>
    </xf>
    <xf numFmtId="43" fontId="0" fillId="16" borderId="0" xfId="7" applyFont="1" applyFill="1" applyBorder="1" applyProtection="1">
      <alignment vertical="center"/>
    </xf>
    <xf numFmtId="180" fontId="0" fillId="27" borderId="0" xfId="0" applyNumberFormat="1" applyFill="1" applyBorder="1" applyProtection="1">
      <alignment vertical="center"/>
    </xf>
    <xf numFmtId="43" fontId="6" fillId="0" borderId="5" xfId="7" applyFont="1" applyBorder="1" applyAlignment="1" applyProtection="1">
      <alignment vertical="center"/>
    </xf>
    <xf numFmtId="43" fontId="95" fillId="16" borderId="0" xfId="7" applyFont="1" applyFill="1" applyBorder="1">
      <alignment vertical="center"/>
    </xf>
    <xf numFmtId="0" fontId="136" fillId="0" borderId="11" xfId="0" applyFont="1" applyFill="1" applyBorder="1">
      <alignment vertical="center"/>
    </xf>
    <xf numFmtId="0" fontId="142" fillId="16" borderId="55" xfId="0" applyFont="1" applyFill="1" applyBorder="1">
      <alignment vertical="center"/>
    </xf>
    <xf numFmtId="43" fontId="95" fillId="16" borderId="56" xfId="7" applyFont="1" applyFill="1" applyBorder="1">
      <alignment vertical="center"/>
    </xf>
    <xf numFmtId="43" fontId="95" fillId="0" borderId="99" xfId="7" applyFont="1" applyFill="1" applyBorder="1">
      <alignment vertical="center"/>
    </xf>
    <xf numFmtId="43" fontId="95" fillId="0" borderId="61" xfId="7" applyFont="1" applyFill="1" applyBorder="1">
      <alignment vertical="center"/>
    </xf>
    <xf numFmtId="0" fontId="6" fillId="0" borderId="76" xfId="0" applyFont="1" applyFill="1" applyBorder="1" applyAlignment="1">
      <alignment horizontal="left" vertical="center" indent="1"/>
    </xf>
    <xf numFmtId="0" fontId="6" fillId="0" borderId="98" xfId="0" applyFont="1" applyFill="1" applyBorder="1" applyAlignment="1">
      <alignment horizontal="left" vertical="center" indent="1"/>
    </xf>
    <xf numFmtId="0" fontId="6" fillId="0" borderId="98" xfId="0" applyFont="1" applyFill="1" applyBorder="1" applyAlignment="1">
      <alignment horizontal="left" vertical="center" indent="2"/>
    </xf>
    <xf numFmtId="43" fontId="135" fillId="0" borderId="10" xfId="0" applyNumberFormat="1" applyFont="1" applyFill="1" applyBorder="1">
      <alignment vertical="center"/>
    </xf>
    <xf numFmtId="0" fontId="95" fillId="27" borderId="61" xfId="0" applyFont="1" applyFill="1" applyBorder="1">
      <alignment vertical="center"/>
    </xf>
    <xf numFmtId="43" fontId="135" fillId="0" borderId="75" xfId="0" applyNumberFormat="1" applyFont="1" applyFill="1" applyBorder="1">
      <alignment vertical="center"/>
    </xf>
    <xf numFmtId="0" fontId="0" fillId="0" borderId="77" xfId="0" applyFill="1" applyBorder="1">
      <alignment vertical="center"/>
    </xf>
    <xf numFmtId="43" fontId="145" fillId="0" borderId="0" xfId="7" applyFont="1" applyFill="1" applyBorder="1" applyAlignment="1">
      <alignment vertical="center"/>
    </xf>
    <xf numFmtId="10" fontId="137" fillId="0" borderId="0" xfId="31" applyNumberFormat="1" applyFont="1" applyFill="1" applyBorder="1">
      <alignment vertical="center"/>
    </xf>
    <xf numFmtId="181" fontId="137" fillId="23" borderId="0" xfId="31" applyNumberFormat="1" applyFont="1" applyFill="1" applyBorder="1">
      <alignment vertical="center"/>
    </xf>
    <xf numFmtId="10" fontId="149" fillId="0" borderId="0" xfId="0" applyNumberFormat="1" applyFont="1" applyFill="1" applyBorder="1">
      <alignment vertical="center"/>
    </xf>
    <xf numFmtId="43" fontId="136" fillId="23" borderId="0" xfId="7" applyFont="1" applyFill="1" applyBorder="1">
      <alignment vertical="center"/>
    </xf>
    <xf numFmtId="43" fontId="0" fillId="27" borderId="0" xfId="7" applyFont="1" applyFill="1" applyBorder="1" applyProtection="1">
      <alignment vertical="center"/>
    </xf>
    <xf numFmtId="49" fontId="197" fillId="15" borderId="78" xfId="0" applyNumberFormat="1" applyFont="1" applyFill="1" applyBorder="1" applyAlignment="1" applyProtection="1">
      <alignment horizontal="center" vertical="center"/>
      <protection locked="0"/>
    </xf>
    <xf numFmtId="0" fontId="135" fillId="21" borderId="100" xfId="0" applyFont="1" applyFill="1" applyBorder="1" applyAlignment="1">
      <alignment horizontal="center" vertical="center"/>
    </xf>
    <xf numFmtId="0" fontId="135" fillId="21" borderId="101" xfId="0" applyFont="1" applyFill="1" applyBorder="1" applyAlignment="1">
      <alignment horizontal="center" vertical="center"/>
    </xf>
    <xf numFmtId="0" fontId="136" fillId="3" borderId="96" xfId="0" applyFont="1" applyFill="1" applyBorder="1">
      <alignment vertical="center"/>
    </xf>
    <xf numFmtId="0" fontId="136" fillId="3" borderId="97" xfId="0" applyFont="1" applyFill="1" applyBorder="1">
      <alignment vertical="center"/>
    </xf>
    <xf numFmtId="0" fontId="136" fillId="0" borderId="99" xfId="0" applyFont="1" applyFill="1" applyBorder="1">
      <alignment vertical="center"/>
    </xf>
    <xf numFmtId="198" fontId="136" fillId="0" borderId="77" xfId="48" applyNumberFormat="1" applyFont="1" applyBorder="1">
      <alignment vertical="center"/>
    </xf>
    <xf numFmtId="193" fontId="136" fillId="23" borderId="76" xfId="48" applyNumberFormat="1" applyFont="1" applyFill="1" applyBorder="1">
      <alignment vertical="center"/>
    </xf>
    <xf numFmtId="206" fontId="149" fillId="0" borderId="75" xfId="0" applyNumberFormat="1" applyFont="1" applyBorder="1" applyAlignment="1">
      <alignment horizontal="center" vertical="center"/>
    </xf>
    <xf numFmtId="206" fontId="149" fillId="0" borderId="76" xfId="0" applyNumberFormat="1" applyFont="1" applyFill="1" applyBorder="1" applyAlignment="1">
      <alignment horizontal="center" vertical="center"/>
    </xf>
    <xf numFmtId="0" fontId="136" fillId="0" borderId="77" xfId="0" applyFont="1" applyBorder="1" applyAlignment="1">
      <alignment horizontal="center" vertical="center"/>
    </xf>
    <xf numFmtId="0" fontId="136" fillId="0" borderId="77" xfId="0" applyFont="1" applyFill="1" applyBorder="1" applyAlignment="1">
      <alignment horizontal="center" vertical="center"/>
    </xf>
    <xf numFmtId="198" fontId="136" fillId="0" borderId="75" xfId="0" applyNumberFormat="1" applyFont="1" applyFill="1" applyBorder="1" applyAlignment="1">
      <alignment horizontal="right" vertical="center"/>
    </xf>
    <xf numFmtId="198" fontId="136" fillId="0" borderId="76" xfId="0" applyNumberFormat="1" applyFont="1" applyFill="1" applyBorder="1" applyAlignment="1">
      <alignment horizontal="right" vertical="center"/>
    </xf>
    <xf numFmtId="43" fontId="136" fillId="0" borderId="53" xfId="7" applyFont="1" applyBorder="1">
      <alignment vertical="center"/>
    </xf>
    <xf numFmtId="9" fontId="136" fillId="0" borderId="53" xfId="8" applyFont="1" applyBorder="1">
      <alignment vertical="center"/>
    </xf>
    <xf numFmtId="10" fontId="136" fillId="0" borderId="53" xfId="7" applyNumberFormat="1" applyFont="1" applyBorder="1">
      <alignment vertical="center"/>
    </xf>
    <xf numFmtId="181" fontId="136" fillId="0" borderId="53" xfId="8" applyNumberFormat="1" applyFont="1" applyBorder="1">
      <alignment vertical="center"/>
    </xf>
    <xf numFmtId="193" fontId="136" fillId="0" borderId="53" xfId="48" applyNumberFormat="1" applyFont="1" applyFill="1" applyBorder="1">
      <alignment vertical="center"/>
    </xf>
    <xf numFmtId="181" fontId="136" fillId="23" borderId="11" xfId="8" applyNumberFormat="1" applyFont="1" applyFill="1" applyBorder="1">
      <alignment vertical="center"/>
    </xf>
    <xf numFmtId="193" fontId="136" fillId="23" borderId="11" xfId="8" applyNumberFormat="1" applyFont="1" applyFill="1" applyBorder="1">
      <alignment vertical="center"/>
    </xf>
    <xf numFmtId="43" fontId="136" fillId="3" borderId="77" xfId="7" applyFont="1" applyFill="1" applyBorder="1">
      <alignment vertical="center"/>
    </xf>
    <xf numFmtId="9" fontId="149" fillId="0" borderId="10" xfId="8" applyFont="1" applyBorder="1" applyAlignment="1">
      <alignment horizontal="center" vertical="center"/>
    </xf>
    <xf numFmtId="9" fontId="149" fillId="0" borderId="11" xfId="8" applyFont="1" applyFill="1" applyBorder="1" applyAlignment="1">
      <alignment horizontal="center" vertical="center"/>
    </xf>
    <xf numFmtId="43" fontId="45" fillId="7" borderId="0" xfId="7" applyFont="1" applyFill="1" applyBorder="1" applyAlignment="1" applyProtection="1">
      <alignment horizontal="right" vertical="center"/>
      <protection locked="0"/>
    </xf>
    <xf numFmtId="43" fontId="145" fillId="0" borderId="0" xfId="7" applyFont="1" applyFill="1" applyBorder="1" applyAlignment="1">
      <alignment horizontal="right" vertical="center"/>
    </xf>
    <xf numFmtId="192" fontId="0" fillId="0" borderId="102" xfId="0" applyNumberFormat="1" applyBorder="1">
      <alignment vertical="center"/>
    </xf>
    <xf numFmtId="192" fontId="0" fillId="16" borderId="0" xfId="0" applyNumberFormat="1" applyFill="1">
      <alignment vertical="center"/>
    </xf>
    <xf numFmtId="192" fontId="0" fillId="16" borderId="102" xfId="0" applyNumberFormat="1" applyFill="1" applyBorder="1">
      <alignment vertical="center"/>
    </xf>
    <xf numFmtId="192" fontId="17" fillId="24" borderId="62" xfId="32" applyNumberFormat="1" applyFont="1" applyFill="1" applyBorder="1" applyAlignment="1"/>
    <xf numFmtId="10" fontId="17" fillId="24" borderId="62" xfId="8" applyNumberFormat="1" applyFont="1" applyFill="1" applyBorder="1" applyAlignment="1"/>
    <xf numFmtId="195" fontId="99" fillId="0" borderId="79" xfId="0" applyNumberFormat="1" applyFont="1" applyFill="1" applyBorder="1" applyAlignment="1" applyProtection="1">
      <alignment horizontal="center" vertical="center"/>
      <protection locked="0"/>
    </xf>
    <xf numFmtId="192" fontId="41" fillId="0" borderId="102" xfId="0" applyNumberFormat="1" applyFont="1" applyBorder="1">
      <alignment vertical="center"/>
    </xf>
    <xf numFmtId="43" fontId="198" fillId="7" borderId="36" xfId="7" applyFont="1" applyFill="1" applyBorder="1" applyAlignment="1" applyProtection="1">
      <alignment vertical="center"/>
      <protection locked="0"/>
    </xf>
    <xf numFmtId="192" fontId="72" fillId="16" borderId="62" xfId="7" applyNumberFormat="1" applyFont="1" applyFill="1" applyBorder="1">
      <alignment vertical="center"/>
    </xf>
    <xf numFmtId="43" fontId="8" fillId="7" borderId="0" xfId="7" applyFont="1" applyFill="1" applyBorder="1">
      <alignment vertical="center"/>
    </xf>
    <xf numFmtId="181" fontId="170" fillId="0" borderId="36" xfId="8" applyNumberFormat="1" applyFont="1" applyBorder="1" applyAlignment="1" applyProtection="1">
      <alignment vertical="center"/>
    </xf>
    <xf numFmtId="206" fontId="180" fillId="0" borderId="0" xfId="0" applyNumberFormat="1" applyFont="1" applyFill="1">
      <alignment vertical="center"/>
    </xf>
    <xf numFmtId="181" fontId="42" fillId="24" borderId="0" xfId="8" applyNumberFormat="1" applyFont="1" applyFill="1" applyBorder="1" applyAlignment="1">
      <alignment vertical="center"/>
    </xf>
    <xf numFmtId="43" fontId="199" fillId="0" borderId="15" xfId="7" applyFont="1" applyFill="1" applyBorder="1" applyAlignment="1">
      <alignment horizontal="center" vertical="center"/>
    </xf>
    <xf numFmtId="0" fontId="200" fillId="0" borderId="7" xfId="0" applyFont="1" applyFill="1" applyBorder="1" applyAlignment="1">
      <alignment horizontal="center" vertical="center"/>
    </xf>
    <xf numFmtId="43" fontId="201" fillId="0" borderId="7" xfId="7" applyFont="1" applyFill="1" applyBorder="1">
      <alignment vertical="center"/>
    </xf>
    <xf numFmtId="43" fontId="201" fillId="0" borderId="103" xfId="7" applyFont="1" applyBorder="1">
      <alignment vertical="center"/>
    </xf>
    <xf numFmtId="43" fontId="201" fillId="0" borderId="104" xfId="7" applyFont="1" applyFill="1" applyBorder="1">
      <alignment vertical="center"/>
    </xf>
    <xf numFmtId="43" fontId="202" fillId="0" borderId="0" xfId="7" applyFont="1" applyFill="1" applyBorder="1">
      <alignment vertical="center"/>
    </xf>
    <xf numFmtId="43" fontId="201" fillId="0" borderId="0" xfId="7" applyFont="1" applyFill="1" applyBorder="1">
      <alignment vertical="center"/>
    </xf>
    <xf numFmtId="43" fontId="201" fillId="0" borderId="87" xfId="7" applyFont="1" applyBorder="1">
      <alignment vertical="center"/>
    </xf>
    <xf numFmtId="10" fontId="199" fillId="0" borderId="104" xfId="8" applyNumberFormat="1" applyFont="1" applyFill="1" applyBorder="1" applyAlignment="1">
      <alignment vertical="center"/>
    </xf>
    <xf numFmtId="10" fontId="202" fillId="0" borderId="0" xfId="8" applyNumberFormat="1" applyFont="1" applyFill="1" applyBorder="1">
      <alignment vertical="center"/>
    </xf>
    <xf numFmtId="0" fontId="202" fillId="0" borderId="104" xfId="0" applyFont="1" applyBorder="1">
      <alignment vertical="center"/>
    </xf>
    <xf numFmtId="206" fontId="202" fillId="0" borderId="0" xfId="0" applyNumberFormat="1" applyFont="1" applyBorder="1">
      <alignment vertical="center"/>
    </xf>
    <xf numFmtId="0" fontId="201" fillId="0" borderId="0" xfId="0" applyFont="1" applyFill="1" applyBorder="1">
      <alignment vertical="center"/>
    </xf>
    <xf numFmtId="0" fontId="202" fillId="11" borderId="87" xfId="0" applyFont="1" applyFill="1" applyBorder="1">
      <alignment vertical="center"/>
    </xf>
    <xf numFmtId="0" fontId="202" fillId="0" borderId="105" xfId="0" applyFont="1" applyBorder="1">
      <alignment vertical="center"/>
    </xf>
    <xf numFmtId="206" fontId="202" fillId="0" borderId="93" xfId="0" applyNumberFormat="1" applyFont="1" applyBorder="1">
      <alignment vertical="center"/>
    </xf>
    <xf numFmtId="0" fontId="202" fillId="0" borderId="93" xfId="0" applyFont="1" applyFill="1" applyBorder="1">
      <alignment vertical="center"/>
    </xf>
    <xf numFmtId="0" fontId="201" fillId="0" borderId="106" xfId="0" applyFont="1" applyFill="1" applyBorder="1">
      <alignment vertical="center"/>
    </xf>
    <xf numFmtId="206" fontId="169" fillId="9" borderId="102" xfId="0" applyNumberFormat="1" applyFont="1" applyFill="1" applyBorder="1" applyAlignment="1">
      <alignment horizontal="center" vertical="center"/>
    </xf>
    <xf numFmtId="206" fontId="5" fillId="0" borderId="102" xfId="0" applyNumberFormat="1" applyFont="1" applyBorder="1">
      <alignment vertical="center"/>
    </xf>
    <xf numFmtId="43" fontId="5" fillId="0" borderId="102" xfId="7" applyFont="1" applyBorder="1">
      <alignment vertical="center"/>
    </xf>
    <xf numFmtId="9" fontId="5" fillId="0" borderId="102" xfId="8" applyFont="1" applyBorder="1">
      <alignment vertical="center"/>
    </xf>
    <xf numFmtId="206" fontId="5" fillId="0" borderId="0" xfId="0" applyNumberFormat="1" applyFont="1" applyBorder="1">
      <alignment vertical="center"/>
    </xf>
    <xf numFmtId="9" fontId="5" fillId="0" borderId="0" xfId="8" applyFont="1" applyBorder="1">
      <alignment vertical="center"/>
    </xf>
    <xf numFmtId="206" fontId="142" fillId="5" borderId="102" xfId="0" applyNumberFormat="1" applyFont="1" applyFill="1" applyBorder="1" applyAlignment="1">
      <alignment horizontal="center" vertical="center"/>
    </xf>
    <xf numFmtId="206" fontId="7" fillId="0" borderId="102" xfId="0" applyNumberFormat="1" applyFont="1" applyBorder="1">
      <alignment vertical="center"/>
    </xf>
    <xf numFmtId="206" fontId="6" fillId="0" borderId="102" xfId="0" applyNumberFormat="1" applyFont="1" applyBorder="1">
      <alignment vertical="center"/>
    </xf>
    <xf numFmtId="206" fontId="17" fillId="0" borderId="102" xfId="0" applyNumberFormat="1" applyFont="1" applyBorder="1">
      <alignment vertical="center"/>
    </xf>
    <xf numFmtId="193" fontId="136" fillId="0" borderId="99" xfId="48" applyNumberFormat="1" applyFont="1" applyFill="1" applyBorder="1">
      <alignment vertical="center"/>
    </xf>
    <xf numFmtId="205" fontId="0" fillId="0" borderId="0" xfId="0" applyNumberFormat="1">
      <alignment vertical="center"/>
    </xf>
    <xf numFmtId="183" fontId="122" fillId="16" borderId="36" xfId="0" applyNumberFormat="1" applyFont="1" applyFill="1" applyBorder="1" applyProtection="1">
      <alignment vertical="center"/>
    </xf>
    <xf numFmtId="43" fontId="95" fillId="16" borderId="62" xfId="7" applyFont="1" applyFill="1" applyBorder="1" applyAlignment="1" applyProtection="1">
      <alignment vertical="center"/>
      <protection locked="0"/>
    </xf>
    <xf numFmtId="0" fontId="180" fillId="7" borderId="0" xfId="0" applyFont="1" applyFill="1" applyBorder="1">
      <alignment vertical="center"/>
    </xf>
    <xf numFmtId="183" fontId="122" fillId="0" borderId="0" xfId="0" applyNumberFormat="1" applyFont="1" applyFill="1" applyAlignment="1">
      <alignment horizontal="right" vertical="center"/>
    </xf>
    <xf numFmtId="0" fontId="122" fillId="0" borderId="0" xfId="0" applyFont="1">
      <alignment vertical="center"/>
    </xf>
    <xf numFmtId="0" fontId="122" fillId="0" borderId="0" xfId="0" applyFont="1" applyBorder="1">
      <alignment vertical="center"/>
    </xf>
    <xf numFmtId="0" fontId="4" fillId="0" borderId="0" xfId="0" applyFont="1" applyFill="1" applyBorder="1">
      <alignment vertical="center"/>
    </xf>
    <xf numFmtId="0" fontId="122" fillId="7" borderId="0" xfId="0" applyFont="1" applyFill="1" applyBorder="1" applyAlignment="1">
      <alignment horizontal="left" vertical="center" indent="2"/>
    </xf>
    <xf numFmtId="183" fontId="95" fillId="0" borderId="93" xfId="0" applyNumberFormat="1" applyFont="1" applyFill="1" applyBorder="1">
      <alignment vertical="center"/>
    </xf>
    <xf numFmtId="183" fontId="95" fillId="7" borderId="93" xfId="0" applyNumberFormat="1" applyFont="1" applyFill="1" applyBorder="1" applyAlignment="1">
      <alignment horizontal="right" vertical="center"/>
    </xf>
    <xf numFmtId="0" fontId="14" fillId="0" borderId="93" xfId="0" applyFont="1" applyBorder="1">
      <alignment vertical="center"/>
    </xf>
    <xf numFmtId="43" fontId="95" fillId="0" borderId="37" xfId="7" applyFont="1" applyFill="1" applyBorder="1" applyAlignment="1">
      <alignment horizontal="right" vertical="center"/>
    </xf>
    <xf numFmtId="43" fontId="14" fillId="7" borderId="37" xfId="7" applyFont="1" applyFill="1" applyBorder="1">
      <alignment vertical="center"/>
    </xf>
    <xf numFmtId="183" fontId="15" fillId="0" borderId="0" xfId="0" applyNumberFormat="1" applyFont="1" applyBorder="1">
      <alignment vertical="center"/>
    </xf>
    <xf numFmtId="43" fontId="0" fillId="7" borderId="0" xfId="7" applyFont="1" applyFill="1" applyBorder="1">
      <alignment vertical="center"/>
    </xf>
    <xf numFmtId="0" fontId="122" fillId="0" borderId="36" xfId="0" applyFont="1" applyFill="1" applyBorder="1" applyAlignment="1" applyProtection="1">
      <alignment vertical="center"/>
      <protection locked="0"/>
    </xf>
    <xf numFmtId="183" fontId="142" fillId="5" borderId="0" xfId="0" applyNumberFormat="1" applyFont="1" applyFill="1" applyBorder="1" applyAlignment="1">
      <alignment horizontal="center" vertical="center"/>
    </xf>
    <xf numFmtId="43" fontId="95" fillId="0" borderId="36" xfId="7" applyFont="1" applyFill="1" applyBorder="1" applyAlignment="1" applyProtection="1">
      <alignment horizontal="right" vertical="center"/>
    </xf>
    <xf numFmtId="189" fontId="95" fillId="0" borderId="36" xfId="30" applyNumberFormat="1" applyFont="1" applyFill="1" applyBorder="1" applyAlignment="1">
      <alignment horizontal="right" vertical="center"/>
    </xf>
    <xf numFmtId="183" fontId="122" fillId="7" borderId="0" xfId="0" applyNumberFormat="1" applyFont="1" applyFill="1" applyBorder="1" applyAlignment="1">
      <alignment horizontal="right" vertical="center"/>
    </xf>
    <xf numFmtId="216" fontId="95" fillId="7" borderId="0" xfId="0" applyNumberFormat="1" applyFont="1" applyFill="1">
      <alignment vertical="center"/>
    </xf>
    <xf numFmtId="216" fontId="95" fillId="7" borderId="0" xfId="7" applyNumberFormat="1" applyFont="1" applyFill="1">
      <alignment vertical="center"/>
    </xf>
    <xf numFmtId="10" fontId="95" fillId="7" borderId="0" xfId="8" applyNumberFormat="1" applyFont="1" applyFill="1" applyBorder="1" applyAlignment="1">
      <alignment horizontal="right" vertical="center"/>
    </xf>
    <xf numFmtId="43" fontId="95" fillId="7" borderId="0" xfId="0" applyNumberFormat="1" applyFont="1" applyFill="1">
      <alignment vertical="center"/>
    </xf>
    <xf numFmtId="216" fontId="172" fillId="7" borderId="2" xfId="0" applyNumberFormat="1" applyFont="1" applyFill="1" applyBorder="1">
      <alignment vertical="center"/>
    </xf>
    <xf numFmtId="216" fontId="122" fillId="7" borderId="0" xfId="0" applyNumberFormat="1" applyFont="1" applyFill="1" applyBorder="1" applyAlignment="1">
      <alignment horizontal="right" vertical="center"/>
    </xf>
    <xf numFmtId="215" fontId="45" fillId="7" borderId="0" xfId="30" applyNumberFormat="1" applyFont="1" applyFill="1" applyBorder="1" applyAlignment="1">
      <alignment horizontal="right" vertical="center"/>
    </xf>
    <xf numFmtId="0" fontId="41" fillId="3" borderId="0" xfId="7" applyNumberFormat="1" applyFont="1" applyFill="1" applyBorder="1" applyAlignment="1">
      <alignment horizontal="right" vertical="center"/>
    </xf>
    <xf numFmtId="0" fontId="41" fillId="5" borderId="0" xfId="7" applyNumberFormat="1" applyFont="1" applyFill="1" applyBorder="1" applyAlignment="1">
      <alignment horizontal="right" vertical="center"/>
    </xf>
    <xf numFmtId="0" fontId="14" fillId="3" borderId="0" xfId="0" applyNumberFormat="1" applyFont="1" applyFill="1" applyBorder="1">
      <alignment vertical="center"/>
    </xf>
    <xf numFmtId="0" fontId="142" fillId="3" borderId="0" xfId="0" applyNumberFormat="1" applyFont="1" applyFill="1" applyBorder="1">
      <alignment vertical="center"/>
    </xf>
    <xf numFmtId="0" fontId="142" fillId="3" borderId="0" xfId="7" applyNumberFormat="1" applyFont="1" applyFill="1" applyBorder="1" applyAlignment="1">
      <alignment horizontal="right" vertical="center"/>
    </xf>
    <xf numFmtId="0" fontId="142" fillId="5" borderId="0" xfId="7" applyNumberFormat="1" applyFont="1" applyFill="1" applyBorder="1" applyAlignment="1">
      <alignment horizontal="right" vertical="center"/>
    </xf>
    <xf numFmtId="0" fontId="142" fillId="3" borderId="0" xfId="0" applyNumberFormat="1" applyFont="1" applyFill="1" applyBorder="1" applyAlignment="1">
      <alignment horizontal="center" vertical="center"/>
    </xf>
    <xf numFmtId="0" fontId="14" fillId="0" borderId="0" xfId="0" applyNumberFormat="1" applyFont="1" applyBorder="1">
      <alignment vertical="center"/>
    </xf>
    <xf numFmtId="0" fontId="14" fillId="0" borderId="0" xfId="0" applyNumberFormat="1" applyFont="1" applyFill="1" applyBorder="1">
      <alignment vertical="center"/>
    </xf>
    <xf numFmtId="0" fontId="41" fillId="3" borderId="0" xfId="7" applyNumberFormat="1" applyFont="1" applyFill="1" applyBorder="1">
      <alignment vertical="center"/>
    </xf>
    <xf numFmtId="0" fontId="41" fillId="3" borderId="0" xfId="7" applyNumberFormat="1" applyFont="1" applyFill="1" applyBorder="1" applyAlignment="1">
      <alignment horizontal="center" vertical="center"/>
    </xf>
    <xf numFmtId="0" fontId="0" fillId="0" borderId="0" xfId="7" applyNumberFormat="1" applyFont="1">
      <alignment vertical="center"/>
    </xf>
    <xf numFmtId="0" fontId="0" fillId="0" borderId="0" xfId="7" applyNumberFormat="1" applyFont="1" applyBorder="1">
      <alignment vertical="center"/>
    </xf>
    <xf numFmtId="43" fontId="17" fillId="0" borderId="62" xfId="32" applyNumberFormat="1" applyFont="1" applyFill="1" applyBorder="1" applyAlignment="1"/>
    <xf numFmtId="43" fontId="17" fillId="0" borderId="62" xfId="0" applyNumberFormat="1" applyFont="1" applyBorder="1">
      <alignment vertical="center"/>
    </xf>
    <xf numFmtId="0" fontId="0" fillId="3" borderId="0" xfId="0" applyNumberFormat="1" applyFill="1" applyBorder="1">
      <alignment vertical="center"/>
    </xf>
    <xf numFmtId="0" fontId="41" fillId="3" borderId="0" xfId="0" applyNumberFormat="1" applyFont="1" applyFill="1" applyBorder="1">
      <alignment vertical="center"/>
    </xf>
    <xf numFmtId="0" fontId="41" fillId="3" borderId="0" xfId="7" applyNumberFormat="1" applyFont="1" applyFill="1" applyBorder="1" applyAlignment="1" applyProtection="1">
      <alignment horizontal="center" vertical="center"/>
      <protection locked="0"/>
    </xf>
    <xf numFmtId="0" fontId="41" fillId="3" borderId="0" xfId="0" applyNumberFormat="1" applyFont="1" applyFill="1" applyBorder="1" applyAlignment="1" applyProtection="1">
      <alignment horizontal="center" vertical="center"/>
      <protection locked="0"/>
    </xf>
    <xf numFmtId="0" fontId="0" fillId="0" borderId="0" xfId="0" applyNumberFormat="1" applyBorder="1">
      <alignment vertical="center"/>
    </xf>
    <xf numFmtId="182" fontId="95" fillId="7" borderId="0" xfId="7" applyNumberFormat="1" applyFont="1" applyFill="1" applyBorder="1">
      <alignment vertical="center"/>
    </xf>
    <xf numFmtId="183" fontId="14" fillId="7" borderId="0" xfId="0" applyNumberFormat="1" applyFont="1" applyFill="1" applyBorder="1">
      <alignment vertical="center"/>
    </xf>
    <xf numFmtId="43" fontId="14" fillId="7" borderId="0" xfId="7" applyFont="1" applyFill="1" applyBorder="1">
      <alignment vertical="center"/>
    </xf>
    <xf numFmtId="0" fontId="99" fillId="0" borderId="79" xfId="0" applyFont="1" applyFill="1" applyBorder="1" applyAlignment="1" applyProtection="1">
      <alignment horizontal="center" vertical="center"/>
      <protection locked="0"/>
    </xf>
    <xf numFmtId="214" fontId="0" fillId="0" borderId="62" xfId="7" applyNumberFormat="1" applyFont="1" applyFill="1" applyBorder="1">
      <alignment vertical="center"/>
    </xf>
    <xf numFmtId="192" fontId="41" fillId="0" borderId="62" xfId="7" applyNumberFormat="1" applyFont="1" applyFill="1" applyBorder="1">
      <alignment vertical="center"/>
    </xf>
    <xf numFmtId="43" fontId="0" fillId="0" borderId="0" xfId="0" applyNumberFormat="1" applyFill="1">
      <alignment vertical="center"/>
    </xf>
    <xf numFmtId="183" fontId="45" fillId="11" borderId="0" xfId="30" applyNumberFormat="1" applyFont="1" applyFill="1" applyBorder="1">
      <alignment vertical="center"/>
    </xf>
    <xf numFmtId="10" fontId="136" fillId="23" borderId="0" xfId="8" applyNumberFormat="1" applyFont="1" applyFill="1" applyBorder="1">
      <alignment vertical="center"/>
    </xf>
    <xf numFmtId="0" fontId="0" fillId="0" borderId="77" xfId="0" applyBorder="1">
      <alignment vertical="center"/>
    </xf>
    <xf numFmtId="0" fontId="0" fillId="0" borderId="76" xfId="0" applyBorder="1">
      <alignment vertical="center"/>
    </xf>
    <xf numFmtId="9" fontId="136" fillId="0" borderId="0" xfId="7" applyNumberFormat="1" applyFont="1" applyFill="1" applyBorder="1" applyAlignment="1">
      <alignment horizontal="right" vertical="center"/>
    </xf>
    <xf numFmtId="203" fontId="136" fillId="23" borderId="77" xfId="48" applyNumberFormat="1" applyFont="1" applyFill="1" applyBorder="1">
      <alignment vertical="center"/>
    </xf>
    <xf numFmtId="9" fontId="17" fillId="0" borderId="102" xfId="8" applyFont="1" applyBorder="1">
      <alignment vertical="center"/>
    </xf>
    <xf numFmtId="206" fontId="3" fillId="0" borderId="102" xfId="0" applyNumberFormat="1" applyFont="1" applyBorder="1">
      <alignment vertical="center"/>
    </xf>
    <xf numFmtId="43" fontId="122" fillId="7" borderId="0" xfId="7" applyFont="1" applyFill="1" applyAlignment="1">
      <alignment horizontal="right" vertical="center"/>
    </xf>
    <xf numFmtId="3" fontId="122" fillId="16" borderId="0" xfId="5" applyNumberFormat="1" applyFont="1" applyFill="1" applyBorder="1" applyAlignment="1" applyProtection="1">
      <alignment horizontal="left" vertical="center" indent="2"/>
      <protection locked="0"/>
    </xf>
    <xf numFmtId="0" fontId="122" fillId="16" borderId="0" xfId="5" applyFont="1" applyFill="1" applyBorder="1" applyAlignment="1" applyProtection="1">
      <alignment horizontal="left" vertical="center" indent="2"/>
      <protection locked="0"/>
    </xf>
    <xf numFmtId="49" fontId="122" fillId="16" borderId="0" xfId="5" applyNumberFormat="1" applyFont="1" applyFill="1" applyBorder="1" applyAlignment="1" applyProtection="1">
      <alignment horizontal="left" vertical="center" indent="2"/>
      <protection locked="0"/>
    </xf>
    <xf numFmtId="49" fontId="122" fillId="16" borderId="0" xfId="5" applyNumberFormat="1" applyFont="1" applyFill="1" applyBorder="1" applyAlignment="1" applyProtection="1">
      <alignment horizontal="left" vertical="center" wrapText="1" indent="2"/>
      <protection locked="0"/>
    </xf>
    <xf numFmtId="10" fontId="125" fillId="0" borderId="0" xfId="8" applyNumberFormat="1" applyFont="1" applyFill="1" applyAlignment="1">
      <alignment vertical="center" wrapText="1"/>
    </xf>
    <xf numFmtId="43" fontId="137" fillId="23" borderId="0" xfId="7" applyFont="1" applyFill="1" applyBorder="1">
      <alignment vertical="center"/>
    </xf>
    <xf numFmtId="212" fontId="142" fillId="0" borderId="102" xfId="16" applyNumberFormat="1" applyFont="1" applyFill="1" applyBorder="1" applyAlignment="1">
      <alignment horizontal="center" vertical="center"/>
    </xf>
    <xf numFmtId="0" fontId="192" fillId="0" borderId="0" xfId="79" applyNumberFormat="1" applyFont="1">
      <alignment vertical="center"/>
    </xf>
    <xf numFmtId="0" fontId="169" fillId="9" borderId="62" xfId="78" applyNumberFormat="1" applyFont="1" applyFill="1" applyBorder="1" applyAlignment="1" applyProtection="1">
      <alignment horizontal="center" vertical="center" wrapText="1"/>
    </xf>
    <xf numFmtId="0" fontId="169" fillId="9" borderId="62" xfId="16" applyNumberFormat="1" applyFont="1" applyFill="1" applyBorder="1" applyAlignment="1">
      <alignment horizontal="center" vertical="center"/>
    </xf>
    <xf numFmtId="0" fontId="169" fillId="9" borderId="62" xfId="8" applyNumberFormat="1" applyFont="1" applyFill="1" applyBorder="1" applyAlignment="1">
      <alignment horizontal="center" vertical="center"/>
    </xf>
    <xf numFmtId="212" fontId="142" fillId="27" borderId="62" xfId="16" applyNumberFormat="1" applyFont="1" applyFill="1" applyBorder="1" applyAlignment="1">
      <alignment horizontal="center" vertical="center"/>
    </xf>
    <xf numFmtId="192" fontId="142" fillId="0" borderId="102" xfId="7" applyNumberFormat="1" applyFont="1" applyFill="1" applyBorder="1" applyAlignment="1">
      <alignment horizontal="center" vertical="center"/>
    </xf>
    <xf numFmtId="0" fontId="127" fillId="0" borderId="102" xfId="78" applyFont="1" applyFill="1" applyBorder="1" applyAlignment="1" applyProtection="1">
      <alignment horizontal="center" vertical="center"/>
    </xf>
    <xf numFmtId="0" fontId="192" fillId="0" borderId="0" xfId="79" applyFont="1" applyFill="1">
      <alignment vertical="center"/>
    </xf>
    <xf numFmtId="9" fontId="142" fillId="0" borderId="102" xfId="8" applyFont="1" applyFill="1" applyBorder="1" applyAlignment="1">
      <alignment horizontal="center" vertical="center"/>
    </xf>
    <xf numFmtId="0" fontId="2" fillId="0" borderId="0" xfId="79" applyNumberFormat="1" applyFont="1">
      <alignment vertical="center"/>
    </xf>
    <xf numFmtId="9" fontId="2" fillId="0" borderId="0" xfId="79" applyNumberFormat="1" applyFont="1" applyFill="1">
      <alignment vertical="center"/>
    </xf>
    <xf numFmtId="9" fontId="2" fillId="0" borderId="0" xfId="79" applyNumberFormat="1" applyFont="1">
      <alignment vertical="center"/>
    </xf>
    <xf numFmtId="0" fontId="2" fillId="0" borderId="0" xfId="79" applyFont="1">
      <alignment vertical="center"/>
    </xf>
    <xf numFmtId="0" fontId="142" fillId="0" borderId="102" xfId="79" applyNumberFormat="1" applyFont="1" applyBorder="1">
      <alignment vertical="center"/>
    </xf>
    <xf numFmtId="9" fontId="2" fillId="0" borderId="102" xfId="79" applyNumberFormat="1" applyFont="1" applyFill="1" applyBorder="1">
      <alignment vertical="center"/>
    </xf>
    <xf numFmtId="0" fontId="195" fillId="0" borderId="0" xfId="79" applyFont="1" applyFill="1">
      <alignment vertical="center"/>
    </xf>
    <xf numFmtId="9" fontId="195" fillId="0" borderId="0" xfId="8" applyFont="1" applyFill="1">
      <alignment vertical="center"/>
    </xf>
    <xf numFmtId="0" fontId="2" fillId="0" borderId="0" xfId="79" applyFont="1" applyFill="1">
      <alignment vertical="center"/>
    </xf>
    <xf numFmtId="3" fontId="174" fillId="0" borderId="102" xfId="80" applyNumberFormat="1" applyFont="1" applyBorder="1" applyAlignment="1" applyProtection="1">
      <alignment horizontal="center" vertical="center"/>
      <protection locked="0"/>
    </xf>
    <xf numFmtId="0" fontId="2" fillId="0" borderId="0" xfId="79" applyFont="1" applyAlignment="1">
      <alignment horizontal="center" vertical="center"/>
    </xf>
    <xf numFmtId="0" fontId="2" fillId="0" borderId="62" xfId="79" applyFont="1" applyBorder="1">
      <alignment vertical="center"/>
    </xf>
    <xf numFmtId="212" fontId="142" fillId="3" borderId="62" xfId="16" applyNumberFormat="1" applyFont="1" applyFill="1" applyBorder="1" applyAlignment="1">
      <alignment horizontal="right" vertical="center"/>
    </xf>
    <xf numFmtId="0" fontId="2" fillId="0" borderId="0" xfId="79" applyFont="1" applyAlignment="1">
      <alignment horizontal="right" vertical="center"/>
    </xf>
    <xf numFmtId="0" fontId="122" fillId="0" borderId="0" xfId="78" applyFont="1" applyFill="1" applyAlignment="1" applyProtection="1">
      <alignment vertical="center"/>
    </xf>
    <xf numFmtId="0" fontId="192" fillId="0" borderId="62" xfId="79" applyFont="1" applyFill="1" applyBorder="1">
      <alignment vertical="center"/>
    </xf>
    <xf numFmtId="9" fontId="192" fillId="0" borderId="62" xfId="8" applyFont="1" applyFill="1" applyBorder="1">
      <alignment vertical="center"/>
    </xf>
    <xf numFmtId="9" fontId="142" fillId="3" borderId="62" xfId="8" applyFont="1" applyFill="1" applyBorder="1" applyAlignment="1">
      <alignment horizontal="center" vertical="center"/>
    </xf>
    <xf numFmtId="43" fontId="174" fillId="3" borderId="102" xfId="7" applyFont="1" applyFill="1" applyBorder="1" applyAlignment="1">
      <alignment horizontal="center" vertical="center"/>
    </xf>
    <xf numFmtId="9" fontId="174" fillId="3" borderId="102" xfId="8" applyFont="1" applyFill="1" applyBorder="1" applyAlignment="1">
      <alignment horizontal="center" vertical="center"/>
    </xf>
    <xf numFmtId="43" fontId="95" fillId="3" borderId="102" xfId="7" applyFont="1" applyFill="1" applyBorder="1" applyAlignment="1">
      <alignment horizontal="center" vertical="center"/>
    </xf>
    <xf numFmtId="9" fontId="142" fillId="0" borderId="0" xfId="79" applyNumberFormat="1" applyFont="1">
      <alignment vertical="center"/>
    </xf>
    <xf numFmtId="0" fontId="195" fillId="0" borderId="0" xfId="79" applyFont="1">
      <alignment vertical="center"/>
    </xf>
    <xf numFmtId="212" fontId="2" fillId="27" borderId="62" xfId="16" applyNumberFormat="1" applyFont="1" applyFill="1" applyBorder="1" applyAlignment="1">
      <alignment horizontal="center" vertical="center"/>
    </xf>
    <xf numFmtId="212" fontId="2" fillId="3" borderId="62" xfId="16" applyNumberFormat="1" applyFont="1" applyFill="1" applyBorder="1" applyAlignment="1">
      <alignment horizontal="center" vertical="center"/>
    </xf>
    <xf numFmtId="9" fontId="2" fillId="3" borderId="62" xfId="8" applyFont="1" applyFill="1" applyBorder="1" applyAlignment="1">
      <alignment horizontal="center" vertical="center"/>
    </xf>
    <xf numFmtId="0" fontId="2" fillId="0" borderId="62" xfId="78" applyFont="1" applyFill="1" applyBorder="1" applyAlignment="1" applyProtection="1">
      <alignment vertical="center"/>
    </xf>
    <xf numFmtId="212" fontId="2" fillId="0" borderId="62" xfId="16" applyNumberFormat="1" applyFont="1" applyFill="1" applyBorder="1" applyAlignment="1">
      <alignment horizontal="center" vertical="center"/>
    </xf>
    <xf numFmtId="9" fontId="2" fillId="0" borderId="62" xfId="8" applyFont="1" applyFill="1" applyBorder="1" applyAlignment="1">
      <alignment horizontal="center" vertical="center"/>
    </xf>
    <xf numFmtId="43" fontId="2" fillId="0" borderId="62" xfId="7" applyFont="1" applyFill="1" applyBorder="1" applyAlignment="1">
      <alignment horizontal="center" vertical="center"/>
    </xf>
    <xf numFmtId="212" fontId="2" fillId="27" borderId="62" xfId="16" applyNumberFormat="1" applyFont="1" applyFill="1" applyBorder="1" applyAlignment="1">
      <alignment horizontal="center" vertical="center" wrapText="1"/>
    </xf>
    <xf numFmtId="9" fontId="95" fillId="3" borderId="102" xfId="8" applyFont="1" applyFill="1" applyBorder="1" applyAlignment="1">
      <alignment horizontal="center" vertical="center"/>
    </xf>
    <xf numFmtId="43" fontId="2" fillId="0" borderId="62" xfId="16" applyNumberFormat="1" applyFont="1" applyFill="1" applyBorder="1" applyAlignment="1">
      <alignment horizontal="center" vertical="center"/>
    </xf>
    <xf numFmtId="10" fontId="2" fillId="27" borderId="62" xfId="31" applyNumberFormat="1" applyFont="1" applyFill="1" applyBorder="1" applyAlignment="1">
      <alignment horizontal="center" vertical="center"/>
    </xf>
    <xf numFmtId="43" fontId="2" fillId="0" borderId="62" xfId="31" applyNumberFormat="1" applyFont="1" applyFill="1" applyBorder="1" applyAlignment="1">
      <alignment horizontal="center" vertical="center"/>
    </xf>
    <xf numFmtId="212" fontId="2" fillId="27" borderId="62" xfId="77" applyNumberFormat="1" applyFont="1" applyFill="1" applyBorder="1" applyAlignment="1">
      <alignment horizontal="center" vertical="center"/>
    </xf>
    <xf numFmtId="43" fontId="95" fillId="0" borderId="102" xfId="7" applyFont="1" applyFill="1" applyBorder="1" applyAlignment="1">
      <alignment horizontal="center" vertical="center"/>
    </xf>
    <xf numFmtId="9" fontId="95" fillId="0" borderId="102" xfId="8" applyFont="1" applyFill="1" applyBorder="1" applyAlignment="1">
      <alignment horizontal="center" vertical="center"/>
    </xf>
    <xf numFmtId="43" fontId="174" fillId="3" borderId="102" xfId="8" applyNumberFormat="1" applyFont="1" applyFill="1" applyBorder="1" applyAlignment="1">
      <alignment horizontal="center" vertical="center"/>
    </xf>
    <xf numFmtId="9" fontId="203" fillId="0" borderId="0" xfId="8" applyFont="1" applyFill="1">
      <alignment vertical="center"/>
    </xf>
    <xf numFmtId="43" fontId="203" fillId="0" borderId="0" xfId="7" applyFont="1" applyFill="1">
      <alignment vertical="center"/>
    </xf>
    <xf numFmtId="212" fontId="174" fillId="0" borderId="102" xfId="16" applyNumberFormat="1" applyFont="1" applyFill="1" applyBorder="1" applyAlignment="1">
      <alignment horizontal="center" vertical="center"/>
    </xf>
    <xf numFmtId="9" fontId="174" fillId="0" borderId="102" xfId="8" applyFont="1" applyFill="1" applyBorder="1" applyAlignment="1">
      <alignment horizontal="center" vertical="center"/>
    </xf>
    <xf numFmtId="9" fontId="204" fillId="0" borderId="102" xfId="8" applyFont="1" applyFill="1" applyBorder="1">
      <alignment vertical="center"/>
    </xf>
    <xf numFmtId="43" fontId="192" fillId="0" borderId="0" xfId="79" applyNumberFormat="1" applyFont="1" applyFill="1">
      <alignment vertical="center"/>
    </xf>
    <xf numFmtId="9" fontId="142" fillId="0" borderId="0" xfId="79" applyNumberFormat="1" applyFont="1" applyFill="1">
      <alignment vertical="center"/>
    </xf>
    <xf numFmtId="43" fontId="192" fillId="0" borderId="62" xfId="7" applyFont="1" applyFill="1" applyBorder="1">
      <alignment vertical="center"/>
    </xf>
    <xf numFmtId="43" fontId="95" fillId="0" borderId="62" xfId="7" applyFont="1" applyFill="1" applyBorder="1" applyAlignment="1">
      <alignment horizontal="center" vertical="center"/>
    </xf>
    <xf numFmtId="43" fontId="2" fillId="27" borderId="62" xfId="7" applyNumberFormat="1" applyFont="1" applyFill="1" applyBorder="1" applyAlignment="1">
      <alignment horizontal="center" vertical="center"/>
    </xf>
    <xf numFmtId="43" fontId="192" fillId="0" borderId="0" xfId="7" applyFont="1" applyFill="1">
      <alignment vertical="center"/>
    </xf>
    <xf numFmtId="43" fontId="2" fillId="27" borderId="62" xfId="16" applyNumberFormat="1" applyFont="1" applyFill="1" applyBorder="1" applyAlignment="1">
      <alignment horizontal="center" vertical="center"/>
    </xf>
    <xf numFmtId="43" fontId="142" fillId="27" borderId="62" xfId="7" applyNumberFormat="1" applyFont="1" applyFill="1" applyBorder="1" applyAlignment="1">
      <alignment horizontal="center" vertical="center"/>
    </xf>
    <xf numFmtId="213" fontId="192" fillId="0" borderId="0" xfId="79" applyNumberFormat="1" applyFont="1" applyFill="1">
      <alignment vertical="center"/>
    </xf>
    <xf numFmtId="217" fontId="192" fillId="0" borderId="0" xfId="79" applyNumberFormat="1" applyFont="1" applyFill="1">
      <alignment vertical="center"/>
    </xf>
    <xf numFmtId="0" fontId="0" fillId="0" borderId="62" xfId="0" applyBorder="1" applyAlignment="1">
      <alignment horizontal="center" vertical="center"/>
    </xf>
    <xf numFmtId="43" fontId="142" fillId="27" borderId="62" xfId="7" applyFont="1" applyFill="1" applyBorder="1" applyAlignment="1">
      <alignment horizontal="center" vertical="center"/>
    </xf>
    <xf numFmtId="0" fontId="174" fillId="0" borderId="62" xfId="78" applyFont="1" applyFill="1" applyBorder="1" applyAlignment="1" applyProtection="1">
      <alignment vertical="center"/>
    </xf>
    <xf numFmtId="0" fontId="127" fillId="0" borderId="0" xfId="78" applyFont="1" applyFill="1" applyBorder="1" applyAlignment="1" applyProtection="1">
      <alignment vertical="center"/>
    </xf>
    <xf numFmtId="0" fontId="127" fillId="0" borderId="0" xfId="78" applyFont="1" applyFill="1" applyBorder="1" applyAlignment="1" applyProtection="1">
      <alignment horizontal="right" vertical="center"/>
    </xf>
    <xf numFmtId="9" fontId="203" fillId="0" borderId="0" xfId="8" applyFont="1" applyFill="1" applyBorder="1" applyAlignment="1">
      <alignment horizontal="right" vertical="center"/>
    </xf>
    <xf numFmtId="43" fontId="180" fillId="3" borderId="102" xfId="8" applyNumberFormat="1" applyFont="1" applyFill="1" applyBorder="1" applyAlignment="1">
      <alignment horizontal="center" vertical="center"/>
    </xf>
    <xf numFmtId="43" fontId="180" fillId="3" borderId="102" xfId="7" applyFont="1" applyFill="1" applyBorder="1" applyAlignment="1">
      <alignment horizontal="center" vertical="center"/>
    </xf>
    <xf numFmtId="9" fontId="180" fillId="3" borderId="102" xfId="8" applyFont="1" applyFill="1" applyBorder="1" applyAlignment="1">
      <alignment horizontal="center" vertical="center"/>
    </xf>
    <xf numFmtId="43" fontId="95" fillId="16" borderId="102" xfId="7" applyFont="1" applyFill="1" applyBorder="1" applyAlignment="1">
      <alignment horizontal="center" vertical="center"/>
    </xf>
    <xf numFmtId="9" fontId="95" fillId="16" borderId="102" xfId="8" applyFont="1" applyFill="1" applyBorder="1" applyAlignment="1">
      <alignment horizontal="center" vertical="center"/>
    </xf>
    <xf numFmtId="0" fontId="174" fillId="16" borderId="102" xfId="78" applyFont="1" applyFill="1" applyBorder="1" applyAlignment="1" applyProtection="1">
      <alignment horizontal="right" vertical="center"/>
    </xf>
    <xf numFmtId="212" fontId="95" fillId="16" borderId="102" xfId="16" applyNumberFormat="1" applyFont="1" applyFill="1" applyBorder="1" applyAlignment="1">
      <alignment horizontal="center" vertical="center"/>
    </xf>
    <xf numFmtId="43" fontId="95" fillId="16" borderId="102" xfId="7" applyNumberFormat="1" applyFont="1" applyFill="1" applyBorder="1" applyAlignment="1">
      <alignment horizontal="center" vertical="center"/>
    </xf>
    <xf numFmtId="212" fontId="180" fillId="3" borderId="62" xfId="16" applyNumberFormat="1" applyFont="1" applyFill="1" applyBorder="1" applyAlignment="1">
      <alignment horizontal="center" vertical="center"/>
    </xf>
    <xf numFmtId="9" fontId="180" fillId="3" borderId="62" xfId="8" applyFont="1" applyFill="1" applyBorder="1" applyAlignment="1">
      <alignment horizontal="center" vertical="center"/>
    </xf>
    <xf numFmtId="0" fontId="205" fillId="0" borderId="0" xfId="79" applyFont="1" applyFill="1">
      <alignment vertical="center"/>
    </xf>
    <xf numFmtId="0" fontId="205" fillId="0" borderId="0" xfId="79" applyNumberFormat="1" applyFont="1">
      <alignment vertical="center"/>
    </xf>
    <xf numFmtId="43" fontId="206" fillId="0" borderId="0" xfId="79" applyNumberFormat="1" applyFont="1">
      <alignment vertical="center"/>
    </xf>
    <xf numFmtId="43" fontId="207" fillId="27" borderId="62" xfId="7" applyNumberFormat="1" applyFont="1" applyFill="1" applyBorder="1" applyAlignment="1">
      <alignment horizontal="center" vertical="center"/>
    </xf>
    <xf numFmtId="43" fontId="206" fillId="0" borderId="0" xfId="7" applyFont="1">
      <alignment vertical="center"/>
    </xf>
    <xf numFmtId="0" fontId="205" fillId="0" borderId="0" xfId="79" applyFont="1">
      <alignment vertical="center"/>
    </xf>
    <xf numFmtId="43" fontId="208" fillId="27" borderId="62" xfId="7" applyNumberFormat="1" applyFont="1" applyFill="1" applyBorder="1" applyAlignment="1">
      <alignment horizontal="center" vertical="center"/>
    </xf>
    <xf numFmtId="43" fontId="208" fillId="27" borderId="102" xfId="7" applyNumberFormat="1" applyFont="1" applyFill="1" applyBorder="1" applyAlignment="1">
      <alignment horizontal="center" vertical="center"/>
    </xf>
    <xf numFmtId="43" fontId="206" fillId="27" borderId="0" xfId="79" applyNumberFormat="1" applyFont="1" applyFill="1">
      <alignment vertical="center"/>
    </xf>
    <xf numFmtId="43" fontId="205" fillId="0" borderId="0" xfId="7" applyFont="1">
      <alignment vertical="center"/>
    </xf>
    <xf numFmtId="212" fontId="205" fillId="0" borderId="0" xfId="79" applyNumberFormat="1" applyFont="1">
      <alignment vertical="center"/>
    </xf>
    <xf numFmtId="212" fontId="142" fillId="0" borderId="62" xfId="16" applyNumberFormat="1" applyFont="1" applyFill="1" applyBorder="1" applyAlignment="1">
      <alignment horizontal="center" vertical="center"/>
    </xf>
    <xf numFmtId="9" fontId="142" fillId="0" borderId="62" xfId="8" applyFont="1" applyFill="1" applyBorder="1" applyAlignment="1">
      <alignment horizontal="center" vertical="center"/>
    </xf>
    <xf numFmtId="0" fontId="2" fillId="16" borderId="62" xfId="79" applyFont="1" applyFill="1" applyBorder="1">
      <alignment vertical="center"/>
    </xf>
    <xf numFmtId="212" fontId="142" fillId="16" borderId="62" xfId="16" applyNumberFormat="1" applyFont="1" applyFill="1" applyBorder="1" applyAlignment="1">
      <alignment horizontal="right" vertical="center"/>
    </xf>
    <xf numFmtId="0" fontId="2" fillId="0" borderId="0" xfId="79" applyFont="1" applyAlignment="1">
      <alignment horizontal="left" vertical="center"/>
    </xf>
    <xf numFmtId="43" fontId="174" fillId="11" borderId="102" xfId="8" applyNumberFormat="1" applyFont="1" applyFill="1" applyBorder="1" applyAlignment="1">
      <alignment horizontal="center" vertical="center"/>
    </xf>
    <xf numFmtId="43" fontId="95" fillId="14" borderId="102" xfId="7" applyFont="1" applyFill="1" applyBorder="1" applyAlignment="1" applyProtection="1">
      <alignment horizontal="center" vertical="center"/>
    </xf>
    <xf numFmtId="43" fontId="95" fillId="0" borderId="102" xfId="7" applyFont="1" applyFill="1" applyBorder="1" applyAlignment="1" applyProtection="1">
      <alignment vertical="center"/>
      <protection locked="0"/>
    </xf>
    <xf numFmtId="212" fontId="142" fillId="3" borderId="102" xfId="16" applyNumberFormat="1" applyFont="1" applyFill="1" applyBorder="1" applyAlignment="1">
      <alignment horizontal="right" vertical="center"/>
    </xf>
    <xf numFmtId="43" fontId="180" fillId="0" borderId="102" xfId="7" applyFont="1" applyFill="1" applyBorder="1" applyAlignment="1">
      <alignment horizontal="center" vertical="center"/>
    </xf>
    <xf numFmtId="9" fontId="142" fillId="16" borderId="102" xfId="8" applyFont="1" applyFill="1" applyBorder="1" applyAlignment="1">
      <alignment horizontal="center" vertical="center"/>
    </xf>
    <xf numFmtId="0" fontId="122" fillId="16" borderId="62" xfId="79" applyFont="1" applyFill="1" applyBorder="1">
      <alignment vertical="center"/>
    </xf>
    <xf numFmtId="43" fontId="122" fillId="16" borderId="62" xfId="7" applyFont="1" applyFill="1" applyBorder="1" applyAlignment="1" applyProtection="1">
      <alignment vertical="center"/>
      <protection locked="0"/>
    </xf>
    <xf numFmtId="212" fontId="180" fillId="16" borderId="62" xfId="16" applyNumberFormat="1" applyFont="1" applyFill="1" applyBorder="1" applyAlignment="1">
      <alignment horizontal="right" vertical="center"/>
    </xf>
    <xf numFmtId="43" fontId="122" fillId="0" borderId="62" xfId="7" applyFont="1" applyFill="1" applyBorder="1" applyAlignment="1" applyProtection="1">
      <alignment vertical="center"/>
      <protection locked="0"/>
    </xf>
    <xf numFmtId="212" fontId="180" fillId="3" borderId="62" xfId="16" applyNumberFormat="1" applyFont="1" applyFill="1" applyBorder="1" applyAlignment="1">
      <alignment horizontal="right" vertical="center"/>
    </xf>
    <xf numFmtId="9" fontId="180" fillId="0" borderId="102" xfId="8" applyFont="1" applyFill="1" applyBorder="1" applyAlignment="1">
      <alignment horizontal="center" vertical="center"/>
    </xf>
    <xf numFmtId="212" fontId="1" fillId="0" borderId="102" xfId="16" applyNumberFormat="1" applyFont="1" applyFill="1" applyBorder="1" applyAlignment="1">
      <alignment horizontal="right" vertical="center"/>
    </xf>
    <xf numFmtId="212" fontId="210" fillId="0" borderId="102" xfId="16" applyNumberFormat="1" applyFont="1" applyFill="1" applyBorder="1" applyAlignment="1">
      <alignment horizontal="right" vertical="center"/>
    </xf>
    <xf numFmtId="43" fontId="2" fillId="0" borderId="0" xfId="79" applyNumberFormat="1" applyFont="1">
      <alignment vertical="center"/>
    </xf>
    <xf numFmtId="0" fontId="135" fillId="0" borderId="102" xfId="0" applyFont="1" applyFill="1" applyBorder="1" applyAlignment="1">
      <alignment horizontal="center" vertical="center"/>
    </xf>
    <xf numFmtId="10" fontId="211" fillId="0" borderId="102" xfId="8" applyNumberFormat="1" applyFont="1" applyFill="1" applyBorder="1" applyAlignment="1">
      <alignment horizontal="center" vertical="center"/>
    </xf>
    <xf numFmtId="10" fontId="133" fillId="0" borderId="102" xfId="0" applyNumberFormat="1" applyFont="1" applyBorder="1">
      <alignment vertical="center"/>
    </xf>
    <xf numFmtId="10" fontId="211" fillId="0" borderId="102" xfId="0" applyNumberFormat="1" applyFont="1" applyFill="1" applyBorder="1" applyAlignment="1">
      <alignment horizontal="center" vertical="center"/>
    </xf>
    <xf numFmtId="0" fontId="136" fillId="0" borderId="102" xfId="0" applyFont="1" applyBorder="1" applyAlignment="1">
      <alignment vertical="center"/>
    </xf>
    <xf numFmtId="10" fontId="133" fillId="0" borderId="102" xfId="8" applyNumberFormat="1" applyFont="1" applyBorder="1" applyAlignment="1">
      <alignment horizontal="center" vertical="center"/>
    </xf>
    <xf numFmtId="10" fontId="133" fillId="0" borderId="102" xfId="0" applyNumberFormat="1" applyFont="1" applyFill="1" applyBorder="1" applyAlignment="1">
      <alignment horizontal="center" vertical="center"/>
    </xf>
    <xf numFmtId="0" fontId="136" fillId="0" borderId="102" xfId="0" applyFont="1" applyBorder="1" applyAlignment="1">
      <alignment horizontal="left" vertical="center"/>
    </xf>
    <xf numFmtId="43" fontId="133" fillId="0" borderId="102" xfId="7" applyFont="1" applyBorder="1">
      <alignment vertical="center"/>
    </xf>
    <xf numFmtId="10" fontId="133" fillId="0" borderId="102" xfId="8" applyNumberFormat="1" applyFont="1" applyFill="1" applyBorder="1" applyAlignment="1">
      <alignment horizontal="center" vertical="center"/>
    </xf>
    <xf numFmtId="209" fontId="133" fillId="0" borderId="102" xfId="7" applyNumberFormat="1" applyFont="1" applyFill="1" applyBorder="1" applyAlignment="1">
      <alignment horizontal="center" vertical="center"/>
    </xf>
    <xf numFmtId="0" fontId="136" fillId="0" borderId="102" xfId="0" applyFont="1" applyBorder="1">
      <alignment vertical="center"/>
    </xf>
    <xf numFmtId="43" fontId="133" fillId="0" borderId="102" xfId="7" applyFont="1" applyFill="1" applyBorder="1">
      <alignment vertical="center"/>
    </xf>
    <xf numFmtId="43" fontId="133" fillId="0" borderId="102" xfId="7" applyFont="1" applyBorder="1" applyAlignment="1">
      <alignment horizontal="center" vertical="center"/>
    </xf>
    <xf numFmtId="218" fontId="133" fillId="0" borderId="102" xfId="7" applyNumberFormat="1" applyFont="1" applyFill="1" applyBorder="1" applyAlignment="1">
      <alignment horizontal="center" vertical="center"/>
    </xf>
    <xf numFmtId="43" fontId="133" fillId="16" borderId="102" xfId="7" applyFont="1" applyFill="1" applyBorder="1">
      <alignment vertical="center"/>
    </xf>
    <xf numFmtId="0" fontId="136" fillId="0" borderId="102" xfId="0" applyFont="1" applyBorder="1" applyAlignment="1">
      <alignment horizontal="left" vertical="center" indent="1"/>
    </xf>
    <xf numFmtId="0" fontId="2" fillId="0" borderId="62" xfId="79" applyFont="1" applyFill="1" applyBorder="1">
      <alignment vertical="center"/>
    </xf>
    <xf numFmtId="43" fontId="133" fillId="0" borderId="102" xfId="7" applyFont="1" applyFill="1" applyBorder="1" applyAlignment="1">
      <alignment horizontal="center" vertical="center"/>
    </xf>
    <xf numFmtId="9" fontId="1" fillId="0" borderId="102" xfId="8" applyFont="1" applyFill="1" applyBorder="1" applyAlignment="1">
      <alignment horizontal="center" vertical="center"/>
    </xf>
    <xf numFmtId="0" fontId="0" fillId="0" borderId="102" xfId="0" applyBorder="1">
      <alignment vertical="center"/>
    </xf>
    <xf numFmtId="0" fontId="2" fillId="0" borderId="102" xfId="79" applyFont="1" applyFill="1" applyBorder="1">
      <alignment vertical="center"/>
    </xf>
    <xf numFmtId="0" fontId="2" fillId="0" borderId="102" xfId="79" applyFont="1" applyBorder="1">
      <alignment vertical="center"/>
    </xf>
    <xf numFmtId="9" fontId="0" fillId="0" borderId="0" xfId="0" applyNumberFormat="1">
      <alignment vertical="center"/>
    </xf>
    <xf numFmtId="43" fontId="95" fillId="3" borderId="62" xfId="7" applyFont="1" applyFill="1" applyBorder="1" applyAlignment="1" applyProtection="1">
      <alignment vertical="center"/>
      <protection locked="0"/>
    </xf>
    <xf numFmtId="0" fontId="136" fillId="0" borderId="0" xfId="0" applyFont="1" applyBorder="1">
      <alignment vertical="center"/>
    </xf>
    <xf numFmtId="43" fontId="0" fillId="0" borderId="0" xfId="7" applyFont="1" applyFill="1" applyBorder="1" applyAlignment="1">
      <alignment horizontal="right" vertical="center"/>
    </xf>
    <xf numFmtId="43" fontId="145" fillId="0" borderId="77" xfId="7" applyFont="1" applyFill="1" applyBorder="1" applyAlignment="1">
      <alignment vertical="center"/>
    </xf>
    <xf numFmtId="43" fontId="145" fillId="0" borderId="77" xfId="7" applyFont="1" applyFill="1" applyBorder="1" applyAlignment="1">
      <alignment horizontal="right" vertical="center"/>
    </xf>
    <xf numFmtId="0" fontId="39" fillId="0" borderId="0" xfId="0" applyFont="1" applyBorder="1">
      <alignment vertical="center"/>
    </xf>
    <xf numFmtId="0" fontId="212" fillId="0" borderId="53" xfId="0" applyFont="1" applyBorder="1">
      <alignment vertical="center"/>
    </xf>
    <xf numFmtId="193" fontId="212" fillId="0" borderId="10" xfId="48" applyNumberFormat="1" applyFont="1" applyBorder="1">
      <alignment vertical="center"/>
    </xf>
    <xf numFmtId="193" fontId="212" fillId="23" borderId="11" xfId="48" applyNumberFormat="1" applyFont="1" applyFill="1" applyBorder="1">
      <alignment vertical="center"/>
    </xf>
    <xf numFmtId="206" fontId="212" fillId="0" borderId="10" xfId="0" applyNumberFormat="1" applyFont="1" applyBorder="1" applyAlignment="1">
      <alignment horizontal="center" vertical="center"/>
    </xf>
    <xf numFmtId="206" fontId="212" fillId="0" borderId="11" xfId="0" applyNumberFormat="1" applyFont="1" applyBorder="1" applyAlignment="1">
      <alignment horizontal="center" vertical="center"/>
    </xf>
    <xf numFmtId="0" fontId="212" fillId="0" borderId="0" xfId="0" applyFont="1" applyBorder="1" applyAlignment="1">
      <alignment horizontal="center" vertical="center"/>
    </xf>
    <xf numFmtId="43" fontId="212" fillId="16" borderId="0" xfId="7" applyFont="1" applyFill="1" applyBorder="1" applyAlignment="1">
      <alignment horizontal="center" vertical="center"/>
    </xf>
    <xf numFmtId="43" fontId="212" fillId="0" borderId="53" xfId="7" applyFont="1" applyFill="1" applyBorder="1">
      <alignment vertical="center"/>
    </xf>
    <xf numFmtId="0" fontId="0" fillId="0" borderId="77" xfId="0" applyBorder="1" applyAlignment="1">
      <alignment horizontal="center" vertical="center"/>
    </xf>
    <xf numFmtId="219" fontId="0" fillId="0" borderId="0" xfId="7" applyNumberFormat="1" applyFont="1" applyBorder="1">
      <alignment vertical="center"/>
    </xf>
    <xf numFmtId="0" fontId="0" fillId="3" borderId="102" xfId="0" applyFill="1" applyBorder="1" applyAlignment="1">
      <alignment horizontal="center" vertical="center"/>
    </xf>
    <xf numFmtId="43" fontId="42" fillId="0" borderId="102" xfId="7" applyFont="1" applyFill="1" applyBorder="1">
      <alignment vertical="center"/>
    </xf>
    <xf numFmtId="43" fontId="157" fillId="0" borderId="102" xfId="7" applyFont="1" applyBorder="1">
      <alignment vertical="center"/>
    </xf>
    <xf numFmtId="43" fontId="0" fillId="0" borderId="102" xfId="7" applyFont="1" applyBorder="1">
      <alignment vertical="center"/>
    </xf>
    <xf numFmtId="10" fontId="42" fillId="0" borderId="102" xfId="8" applyNumberFormat="1" applyFont="1" applyFill="1" applyBorder="1">
      <alignment vertical="center"/>
    </xf>
    <xf numFmtId="181" fontId="0" fillId="0" borderId="65" xfId="8" applyNumberFormat="1" applyFont="1" applyBorder="1">
      <alignment vertical="center"/>
    </xf>
    <xf numFmtId="0" fontId="14" fillId="0" borderId="102" xfId="0" applyFont="1" applyBorder="1">
      <alignment vertical="center"/>
    </xf>
    <xf numFmtId="10" fontId="14" fillId="0" borderId="102" xfId="8" applyNumberFormat="1" applyFont="1" applyBorder="1">
      <alignment vertical="center"/>
    </xf>
    <xf numFmtId="182" fontId="36" fillId="39" borderId="0" xfId="0" applyNumberFormat="1" applyFont="1" applyFill="1" applyBorder="1">
      <alignment vertical="center"/>
    </xf>
    <xf numFmtId="43" fontId="2" fillId="0" borderId="62" xfId="7" applyNumberFormat="1" applyFont="1" applyFill="1" applyBorder="1" applyAlignment="1">
      <alignment horizontal="center" vertical="center"/>
    </xf>
    <xf numFmtId="0" fontId="2" fillId="0" borderId="62" xfId="78" applyFont="1" applyFill="1" applyBorder="1" applyAlignment="1" applyProtection="1">
      <alignment vertical="center" wrapText="1"/>
    </xf>
    <xf numFmtId="0" fontId="1" fillId="0" borderId="62" xfId="78" applyFont="1" applyFill="1" applyBorder="1" applyAlignment="1" applyProtection="1">
      <alignment vertical="center"/>
    </xf>
    <xf numFmtId="0" fontId="95" fillId="0" borderId="62" xfId="78" applyFont="1" applyFill="1" applyBorder="1" applyAlignment="1" applyProtection="1">
      <alignment vertical="center"/>
      <protection locked="0"/>
    </xf>
    <xf numFmtId="3" fontId="95" fillId="0" borderId="62" xfId="78" applyNumberFormat="1" applyFont="1" applyFill="1" applyBorder="1" applyAlignment="1" applyProtection="1">
      <alignment vertical="center"/>
      <protection locked="0"/>
    </xf>
    <xf numFmtId="43" fontId="2" fillId="40" borderId="62" xfId="7" applyNumberFormat="1" applyFont="1" applyFill="1" applyBorder="1" applyAlignment="1">
      <alignment horizontal="center" vertical="center"/>
    </xf>
    <xf numFmtId="43" fontId="1" fillId="40" borderId="102" xfId="7" applyNumberFormat="1" applyFont="1" applyFill="1" applyBorder="1" applyAlignment="1">
      <alignment horizontal="center" vertical="center"/>
    </xf>
    <xf numFmtId="182" fontId="2" fillId="0" borderId="62" xfId="7" applyNumberFormat="1" applyFont="1" applyFill="1" applyBorder="1" applyAlignment="1">
      <alignment horizontal="center" vertical="center"/>
    </xf>
    <xf numFmtId="182" fontId="2" fillId="40" borderId="62" xfId="7" applyNumberFormat="1" applyFont="1" applyFill="1" applyBorder="1" applyAlignment="1">
      <alignment horizontal="center" vertical="center"/>
    </xf>
    <xf numFmtId="10" fontId="136" fillId="23" borderId="77" xfId="8" applyNumberFormat="1" applyFont="1" applyFill="1" applyBorder="1">
      <alignment vertical="center"/>
    </xf>
    <xf numFmtId="0" fontId="41" fillId="0" borderId="101" xfId="0" applyFont="1" applyBorder="1" applyAlignment="1">
      <alignment horizontal="center" vertical="center"/>
    </xf>
    <xf numFmtId="0" fontId="41" fillId="0" borderId="97" xfId="0" applyFont="1" applyBorder="1" applyAlignment="1">
      <alignment horizontal="center" vertical="center"/>
    </xf>
    <xf numFmtId="0" fontId="41" fillId="0" borderId="96" xfId="0" applyFont="1" applyBorder="1">
      <alignment vertical="center"/>
    </xf>
    <xf numFmtId="0" fontId="41" fillId="0" borderId="101" xfId="0" applyFont="1" applyBorder="1" applyAlignment="1">
      <alignment horizontal="center" vertical="center" wrapText="1"/>
    </xf>
    <xf numFmtId="0" fontId="136" fillId="0" borderId="10" xfId="0" applyFont="1" applyFill="1" applyBorder="1" applyAlignment="1">
      <alignment horizontal="center" vertical="center"/>
    </xf>
    <xf numFmtId="0" fontId="136" fillId="0" borderId="75" xfId="0" applyFont="1" applyFill="1" applyBorder="1" applyAlignment="1">
      <alignment horizontal="center" vertical="center"/>
    </xf>
    <xf numFmtId="0" fontId="136" fillId="0" borderId="77" xfId="0" applyFont="1" applyFill="1" applyBorder="1">
      <alignment vertical="center"/>
    </xf>
    <xf numFmtId="43" fontId="136" fillId="0" borderId="77" xfId="7" applyFont="1" applyFill="1" applyBorder="1">
      <alignment vertical="center"/>
    </xf>
    <xf numFmtId="10" fontId="136" fillId="16" borderId="0" xfId="8" applyNumberFormat="1" applyFont="1" applyFill="1" applyBorder="1">
      <alignment vertical="center"/>
    </xf>
    <xf numFmtId="43" fontId="136" fillId="16" borderId="0" xfId="0" applyNumberFormat="1" applyFont="1" applyFill="1" applyBorder="1">
      <alignment vertical="center"/>
    </xf>
    <xf numFmtId="10" fontId="136" fillId="16" borderId="11" xfId="8" applyNumberFormat="1" applyFont="1" applyFill="1" applyBorder="1">
      <alignment vertical="center"/>
    </xf>
    <xf numFmtId="43" fontId="0" fillId="16" borderId="0" xfId="7" applyFont="1" applyFill="1" applyBorder="1">
      <alignment vertical="center"/>
    </xf>
    <xf numFmtId="43" fontId="0" fillId="0" borderId="0" xfId="0" applyNumberFormat="1" applyBorder="1">
      <alignment vertical="center"/>
    </xf>
    <xf numFmtId="43" fontId="0" fillId="0" borderId="77" xfId="0" applyNumberFormat="1" applyBorder="1">
      <alignment vertical="center"/>
    </xf>
    <xf numFmtId="43" fontId="0" fillId="16" borderId="77" xfId="7" applyFont="1" applyFill="1" applyBorder="1">
      <alignment vertical="center"/>
    </xf>
    <xf numFmtId="10" fontId="136" fillId="16" borderId="77" xfId="8" applyNumberFormat="1" applyFont="1" applyFill="1" applyBorder="1">
      <alignment vertical="center"/>
    </xf>
    <xf numFmtId="43" fontId="136" fillId="16" borderId="77" xfId="0" applyNumberFormat="1" applyFont="1" applyFill="1" applyBorder="1">
      <alignment vertical="center"/>
    </xf>
    <xf numFmtId="10" fontId="136" fillId="16" borderId="76" xfId="8" applyNumberFormat="1" applyFont="1" applyFill="1" applyBorder="1">
      <alignment vertical="center"/>
    </xf>
    <xf numFmtId="0" fontId="135" fillId="0" borderId="96" xfId="0" applyFont="1" applyFill="1" applyBorder="1" applyAlignment="1">
      <alignment horizontal="center" vertical="center" wrapText="1"/>
    </xf>
    <xf numFmtId="0" fontId="135" fillId="0" borderId="101" xfId="0" applyFont="1" applyFill="1" applyBorder="1" applyAlignment="1">
      <alignment horizontal="center" vertical="center" wrapText="1"/>
    </xf>
    <xf numFmtId="0" fontId="41" fillId="0" borderId="97" xfId="0" applyFont="1" applyBorder="1" applyAlignment="1">
      <alignment horizontal="center" vertical="center" wrapText="1"/>
    </xf>
    <xf numFmtId="0" fontId="136" fillId="16" borderId="0" xfId="0" applyFont="1" applyFill="1" applyBorder="1" applyAlignment="1">
      <alignment horizontal="center" vertical="center"/>
    </xf>
    <xf numFmtId="9" fontId="136" fillId="16" borderId="77" xfId="0" applyNumberFormat="1" applyFont="1" applyFill="1" applyBorder="1" applyAlignment="1">
      <alignment horizontal="center" vertical="center"/>
    </xf>
    <xf numFmtId="0" fontId="41" fillId="0" borderId="101" xfId="0" applyFont="1" applyFill="1" applyBorder="1" applyAlignment="1">
      <alignment horizontal="center" vertical="center" wrapText="1"/>
    </xf>
    <xf numFmtId="0" fontId="53" fillId="0" borderId="0" xfId="0" applyFont="1" applyBorder="1">
      <alignment vertical="center"/>
    </xf>
    <xf numFmtId="0" fontId="53" fillId="0" borderId="77" xfId="0" applyFont="1" applyBorder="1">
      <alignment vertical="center"/>
    </xf>
    <xf numFmtId="198" fontId="136" fillId="0" borderId="0" xfId="48" applyFont="1" applyFill="1" applyBorder="1" applyAlignment="1">
      <alignment horizontal="center" vertical="center"/>
    </xf>
    <xf numFmtId="10" fontId="0" fillId="0" borderId="77" xfId="0" applyNumberFormat="1" applyFill="1" applyBorder="1">
      <alignment vertical="center"/>
    </xf>
    <xf numFmtId="43" fontId="142" fillId="7" borderId="36" xfId="0" applyNumberFormat="1" applyFont="1" applyFill="1" applyBorder="1">
      <alignment vertical="center"/>
    </xf>
    <xf numFmtId="0" fontId="143" fillId="0" borderId="0" xfId="0" applyFont="1" applyFill="1" applyBorder="1">
      <alignment vertical="center"/>
    </xf>
    <xf numFmtId="206" fontId="169" fillId="9" borderId="102" xfId="0" applyNumberFormat="1" applyFont="1" applyFill="1" applyBorder="1" applyAlignment="1">
      <alignment horizontal="center" vertical="center"/>
    </xf>
    <xf numFmtId="192" fontId="16" fillId="0" borderId="36" xfId="7" applyNumberFormat="1" applyFont="1" applyBorder="1" applyAlignment="1" applyProtection="1">
      <alignment vertical="center"/>
    </xf>
    <xf numFmtId="43" fontId="95" fillId="7" borderId="36" xfId="7" applyFont="1" applyFill="1" applyBorder="1" applyAlignment="1" applyProtection="1">
      <alignment vertical="center"/>
    </xf>
    <xf numFmtId="183" fontId="95" fillId="24" borderId="0" xfId="0" applyNumberFormat="1" applyFont="1" applyFill="1" applyBorder="1">
      <alignment vertical="center"/>
    </xf>
    <xf numFmtId="0" fontId="1" fillId="0" borderId="0" xfId="0" applyFont="1" applyFill="1" applyBorder="1">
      <alignment vertical="center"/>
    </xf>
    <xf numFmtId="43" fontId="95" fillId="27" borderId="36" xfId="7" applyFont="1" applyFill="1" applyBorder="1" applyAlignment="1" applyProtection="1">
      <alignment vertical="center"/>
    </xf>
    <xf numFmtId="0" fontId="1" fillId="24" borderId="0" xfId="0" applyFont="1" applyFill="1" applyBorder="1" applyAlignment="1">
      <alignment horizontal="left" vertical="center" indent="2"/>
    </xf>
    <xf numFmtId="9" fontId="95" fillId="16" borderId="0" xfId="0" applyNumberFormat="1" applyFont="1" applyFill="1" applyBorder="1" applyProtection="1">
      <alignment vertical="center"/>
    </xf>
    <xf numFmtId="206" fontId="1" fillId="0" borderId="102" xfId="0" applyNumberFormat="1" applyFont="1" applyBorder="1">
      <alignment vertical="center"/>
    </xf>
    <xf numFmtId="192" fontId="5" fillId="0" borderId="102" xfId="7" applyNumberFormat="1" applyFont="1" applyBorder="1">
      <alignment vertical="center"/>
    </xf>
    <xf numFmtId="192" fontId="17" fillId="0" borderId="102" xfId="7" applyNumberFormat="1" applyFont="1" applyBorder="1">
      <alignment vertical="center"/>
    </xf>
    <xf numFmtId="210" fontId="5" fillId="0" borderId="102" xfId="0" applyNumberFormat="1" applyFont="1" applyBorder="1">
      <alignment vertical="center"/>
    </xf>
    <xf numFmtId="206" fontId="1" fillId="0" borderId="102" xfId="0" applyNumberFormat="1" applyFont="1" applyBorder="1" applyAlignment="1">
      <alignment horizontal="right" vertical="center"/>
    </xf>
    <xf numFmtId="206" fontId="142" fillId="0" borderId="102" xfId="0" applyNumberFormat="1" applyFont="1" applyBorder="1">
      <alignment vertical="center"/>
    </xf>
    <xf numFmtId="0" fontId="1" fillId="0" borderId="36" xfId="0" applyFont="1" applyFill="1" applyBorder="1">
      <alignment vertical="center"/>
    </xf>
    <xf numFmtId="10" fontId="5" fillId="0" borderId="102" xfId="8" applyNumberFormat="1" applyFont="1" applyBorder="1">
      <alignment vertical="center"/>
    </xf>
    <xf numFmtId="181" fontId="95" fillId="7" borderId="2" xfId="8" applyNumberFormat="1" applyFont="1" applyFill="1" applyBorder="1" applyAlignment="1">
      <alignment horizontal="right" vertical="center"/>
    </xf>
    <xf numFmtId="183" fontId="95" fillId="24" borderId="0" xfId="0" applyNumberFormat="1" applyFont="1" applyFill="1" applyBorder="1" applyAlignment="1">
      <alignment horizontal="right" vertical="center"/>
    </xf>
    <xf numFmtId="206" fontId="169" fillId="9" borderId="102" xfId="0" applyNumberFormat="1" applyFont="1" applyFill="1" applyBorder="1" applyAlignment="1">
      <alignment horizontal="center" vertical="center"/>
    </xf>
    <xf numFmtId="43" fontId="172" fillId="7" borderId="36" xfId="7" applyFont="1" applyFill="1" applyBorder="1" applyProtection="1">
      <alignment vertical="center"/>
    </xf>
    <xf numFmtId="192" fontId="17" fillId="0" borderId="62" xfId="7" applyNumberFormat="1" applyFont="1" applyBorder="1">
      <alignment vertical="center"/>
    </xf>
    <xf numFmtId="210" fontId="169" fillId="9" borderId="102" xfId="0" applyNumberFormat="1" applyFont="1" applyFill="1" applyBorder="1" applyAlignment="1">
      <alignment horizontal="center" vertical="center"/>
    </xf>
    <xf numFmtId="183" fontId="95" fillId="0" borderId="36" xfId="0" applyNumberFormat="1" applyFont="1" applyFill="1" applyBorder="1" applyProtection="1">
      <alignment vertical="center"/>
    </xf>
    <xf numFmtId="183" fontId="95" fillId="8" borderId="36" xfId="0" applyNumberFormat="1" applyFont="1" applyFill="1" applyBorder="1" applyProtection="1">
      <alignment vertical="center"/>
    </xf>
    <xf numFmtId="182" fontId="95" fillId="8" borderId="36" xfId="0" applyNumberFormat="1" applyFont="1" applyFill="1" applyBorder="1" applyProtection="1">
      <alignment vertical="center"/>
    </xf>
    <xf numFmtId="183" fontId="95" fillId="0" borderId="36" xfId="0" applyNumberFormat="1" applyFont="1" applyFill="1" applyBorder="1" applyProtection="1">
      <alignment vertical="center"/>
      <protection locked="0"/>
    </xf>
    <xf numFmtId="43" fontId="173" fillId="16" borderId="36" xfId="7" applyFont="1" applyFill="1" applyBorder="1" applyProtection="1">
      <alignment vertical="center"/>
      <protection locked="0"/>
    </xf>
    <xf numFmtId="181" fontId="173" fillId="16" borderId="36" xfId="8" applyNumberFormat="1" applyFont="1" applyFill="1" applyBorder="1" applyProtection="1">
      <alignment vertical="center"/>
      <protection locked="0"/>
    </xf>
    <xf numFmtId="215" fontId="95" fillId="7" borderId="0" xfId="0" applyNumberFormat="1" applyFont="1" applyFill="1" applyBorder="1">
      <alignment vertical="center"/>
    </xf>
    <xf numFmtId="206" fontId="169" fillId="9" borderId="106" xfId="0" applyNumberFormat="1" applyFont="1" applyFill="1" applyBorder="1" applyAlignment="1">
      <alignment horizontal="center" vertical="center"/>
    </xf>
    <xf numFmtId="206" fontId="1" fillId="0" borderId="102" xfId="0" applyNumberFormat="1" applyFont="1" applyFill="1" applyBorder="1">
      <alignment vertical="center"/>
    </xf>
    <xf numFmtId="192" fontId="17" fillId="0" borderId="102" xfId="7" applyNumberFormat="1" applyFont="1" applyFill="1" applyBorder="1">
      <alignment vertical="center"/>
    </xf>
    <xf numFmtId="206" fontId="17" fillId="0" borderId="62" xfId="0" applyNumberFormat="1" applyFont="1" applyFill="1" applyBorder="1">
      <alignment vertical="center"/>
    </xf>
    <xf numFmtId="206" fontId="169" fillId="9" borderId="87" xfId="0" applyNumberFormat="1" applyFont="1" applyFill="1" applyBorder="1" applyAlignment="1">
      <alignment vertical="center"/>
    </xf>
    <xf numFmtId="10" fontId="5" fillId="0" borderId="0" xfId="8" applyNumberFormat="1" applyFont="1" applyBorder="1">
      <alignment vertical="center"/>
    </xf>
    <xf numFmtId="206" fontId="169" fillId="0" borderId="0" xfId="0" applyNumberFormat="1" applyFont="1" applyFill="1" applyBorder="1" applyAlignment="1">
      <alignment horizontal="center" vertical="center"/>
    </xf>
    <xf numFmtId="220" fontId="5" fillId="0" borderId="102" xfId="0" applyNumberFormat="1" applyFont="1" applyBorder="1">
      <alignment vertical="center"/>
    </xf>
    <xf numFmtId="220" fontId="5" fillId="0" borderId="102" xfId="8" applyNumberFormat="1" applyFont="1" applyBorder="1">
      <alignment vertical="center"/>
    </xf>
    <xf numFmtId="220" fontId="17" fillId="0" borderId="102" xfId="8" applyNumberFormat="1" applyFont="1" applyBorder="1">
      <alignment vertical="center"/>
    </xf>
    <xf numFmtId="0" fontId="0" fillId="0" borderId="62" xfId="0" applyBorder="1" applyAlignment="1">
      <alignment horizontal="left" vertical="center"/>
    </xf>
    <xf numFmtId="176" fontId="56" fillId="0" borderId="2" xfId="1" applyNumberFormat="1" applyFont="1" applyBorder="1" applyAlignment="1">
      <alignment horizontal="center" vertical="center" wrapText="1"/>
    </xf>
    <xf numFmtId="176" fontId="56" fillId="0" borderId="2" xfId="1" applyNumberFormat="1" applyFont="1" applyBorder="1" applyAlignment="1">
      <alignment horizontal="center" vertical="center"/>
    </xf>
    <xf numFmtId="0" fontId="0" fillId="0" borderId="62" xfId="0" applyBorder="1" applyAlignment="1">
      <alignment horizontal="center" vertical="center"/>
    </xf>
    <xf numFmtId="0" fontId="0" fillId="0" borderId="12" xfId="0" applyBorder="1" applyAlignment="1">
      <alignment vertical="center"/>
    </xf>
    <xf numFmtId="0" fontId="0" fillId="0" borderId="64" xfId="0" applyBorder="1" applyAlignment="1">
      <alignment vertical="center"/>
    </xf>
    <xf numFmtId="0" fontId="0" fillId="0" borderId="65" xfId="0" applyBorder="1" applyAlignment="1">
      <alignment vertical="center"/>
    </xf>
    <xf numFmtId="176" fontId="40" fillId="10" borderId="41" xfId="1" applyNumberFormat="1" applyFont="1" applyFill="1" applyBorder="1" applyAlignment="1">
      <alignment horizontal="center" vertical="center"/>
    </xf>
    <xf numFmtId="176" fontId="40" fillId="10" borderId="9" xfId="1" applyNumberFormat="1" applyFont="1" applyFill="1" applyBorder="1" applyAlignment="1">
      <alignment horizontal="center" vertical="center"/>
    </xf>
    <xf numFmtId="176" fontId="40" fillId="10" borderId="43" xfId="1" applyNumberFormat="1" applyFont="1" applyFill="1" applyBorder="1" applyAlignment="1">
      <alignment horizontal="center" vertical="center"/>
    </xf>
    <xf numFmtId="176" fontId="40" fillId="10" borderId="62" xfId="1" applyNumberFormat="1" applyFont="1" applyFill="1" applyBorder="1" applyAlignment="1">
      <alignment horizontal="center" vertical="center"/>
    </xf>
    <xf numFmtId="176" fontId="96" fillId="0" borderId="3" xfId="1" applyNumberFormat="1" applyFont="1" applyBorder="1" applyAlignment="1">
      <alignment horizontal="left"/>
    </xf>
    <xf numFmtId="176" fontId="82" fillId="0" borderId="0" xfId="1" applyNumberFormat="1" applyFont="1" applyFill="1" applyBorder="1" applyAlignment="1">
      <alignment horizontal="center"/>
    </xf>
    <xf numFmtId="176" fontId="84" fillId="0" borderId="0" xfId="1" applyNumberFormat="1" applyFont="1" applyAlignment="1">
      <alignment horizontal="center"/>
    </xf>
    <xf numFmtId="176" fontId="86" fillId="0" borderId="0" xfId="1" applyNumberFormat="1" applyFont="1" applyAlignment="1">
      <alignment horizontal="center"/>
    </xf>
    <xf numFmtId="176" fontId="87" fillId="0" borderId="0" xfId="1" applyNumberFormat="1" applyFont="1" applyAlignment="1">
      <alignment horizontal="center"/>
    </xf>
    <xf numFmtId="176" fontId="74" fillId="0" borderId="0" xfId="1" applyNumberFormat="1" applyFont="1" applyAlignment="1">
      <alignment horizontal="left" wrapText="1"/>
    </xf>
    <xf numFmtId="0" fontId="0" fillId="3" borderId="62" xfId="0" applyFill="1" applyBorder="1" applyAlignment="1">
      <alignment horizontal="center" vertical="center"/>
    </xf>
    <xf numFmtId="9" fontId="151" fillId="0" borderId="63" xfId="7" applyNumberFormat="1" applyFont="1" applyBorder="1" applyAlignment="1">
      <alignment horizontal="left" vertical="top" wrapText="1"/>
    </xf>
    <xf numFmtId="9" fontId="151" fillId="0" borderId="93" xfId="7" applyNumberFormat="1" applyFont="1" applyBorder="1" applyAlignment="1">
      <alignment horizontal="left" vertical="top" wrapText="1"/>
    </xf>
    <xf numFmtId="9" fontId="151" fillId="0" borderId="0" xfId="7" applyNumberFormat="1" applyFont="1" applyBorder="1" applyAlignment="1">
      <alignment horizontal="left" vertical="top" wrapText="1"/>
    </xf>
    <xf numFmtId="0" fontId="0" fillId="3" borderId="8" xfId="0" applyFill="1" applyBorder="1" applyAlignment="1">
      <alignment horizontal="center" vertical="center"/>
    </xf>
    <xf numFmtId="0" fontId="0" fillId="3" borderId="70" xfId="0" applyFill="1" applyBorder="1" applyAlignment="1">
      <alignment horizontal="center" vertical="center"/>
    </xf>
    <xf numFmtId="0" fontId="0" fillId="3" borderId="12" xfId="0" applyFill="1" applyBorder="1" applyAlignment="1">
      <alignment horizontal="center" vertical="center"/>
    </xf>
    <xf numFmtId="0" fontId="0" fillId="3" borderId="109" xfId="0" applyFill="1" applyBorder="1" applyAlignment="1">
      <alignment horizontal="center" vertical="center"/>
    </xf>
    <xf numFmtId="0" fontId="0" fillId="3" borderId="108" xfId="0" applyFill="1" applyBorder="1" applyAlignment="1">
      <alignment horizontal="center" vertical="center"/>
    </xf>
    <xf numFmtId="0" fontId="36" fillId="0" borderId="8" xfId="0" applyFont="1" applyBorder="1" applyAlignment="1">
      <alignment horizontal="center" vertical="center"/>
    </xf>
    <xf numFmtId="0" fontId="36" fillId="0" borderId="6" xfId="0" applyFont="1" applyBorder="1" applyAlignment="1">
      <alignment horizontal="center" vertical="center"/>
    </xf>
    <xf numFmtId="0" fontId="36" fillId="0" borderId="70" xfId="0" applyFont="1" applyBorder="1" applyAlignment="1">
      <alignment horizontal="center" vertical="center"/>
    </xf>
    <xf numFmtId="0" fontId="45" fillId="3" borderId="62" xfId="0" applyFont="1" applyFill="1" applyBorder="1" applyAlignment="1">
      <alignment horizontal="center" vertical="center"/>
    </xf>
    <xf numFmtId="0" fontId="0" fillId="3" borderId="15" xfId="0" applyFill="1" applyBorder="1" applyAlignment="1">
      <alignment horizontal="center" vertical="center"/>
    </xf>
    <xf numFmtId="0" fontId="0" fillId="3" borderId="71" xfId="0" applyFill="1" applyBorder="1" applyAlignment="1">
      <alignment horizontal="center" vertical="center"/>
    </xf>
    <xf numFmtId="206" fontId="169" fillId="9" borderId="87" xfId="0" applyNumberFormat="1" applyFont="1" applyFill="1" applyBorder="1" applyAlignment="1">
      <alignment horizontal="center" vertical="center"/>
    </xf>
    <xf numFmtId="206" fontId="169" fillId="9" borderId="106" xfId="0" applyNumberFormat="1" applyFont="1" applyFill="1" applyBorder="1" applyAlignment="1">
      <alignment horizontal="center" vertical="center"/>
    </xf>
    <xf numFmtId="206" fontId="169" fillId="9" borderId="105" xfId="0" applyNumberFormat="1" applyFont="1" applyFill="1" applyBorder="1" applyAlignment="1">
      <alignment horizontal="center" vertical="center"/>
    </xf>
    <xf numFmtId="206" fontId="169" fillId="9" borderId="93" xfId="0" applyNumberFormat="1" applyFont="1" applyFill="1" applyBorder="1" applyAlignment="1">
      <alignment horizontal="center" vertical="center"/>
    </xf>
    <xf numFmtId="206" fontId="169" fillId="9" borderId="102" xfId="0" applyNumberFormat="1" applyFont="1" applyFill="1" applyBorder="1" applyAlignment="1">
      <alignment horizontal="center" vertical="center"/>
    </xf>
    <xf numFmtId="0" fontId="0" fillId="3" borderId="64" xfId="0" applyFill="1" applyBorder="1" applyAlignment="1">
      <alignment horizontal="center" vertical="center"/>
    </xf>
    <xf numFmtId="0" fontId="0" fillId="3" borderId="65" xfId="0" applyFill="1" applyBorder="1" applyAlignment="1">
      <alignment horizontal="center" vertical="center"/>
    </xf>
    <xf numFmtId="0" fontId="36" fillId="0" borderId="8" xfId="0" applyFont="1" applyBorder="1" applyAlignment="1">
      <alignment horizontal="center" vertical="center" wrapText="1"/>
    </xf>
    <xf numFmtId="0" fontId="36" fillId="0" borderId="6" xfId="0" applyFont="1" applyBorder="1" applyAlignment="1">
      <alignment horizontal="center" vertical="center" wrapText="1"/>
    </xf>
    <xf numFmtId="0" fontId="36" fillId="0" borderId="70" xfId="0" applyFont="1" applyBorder="1" applyAlignment="1">
      <alignment horizontal="center" vertical="center" wrapText="1"/>
    </xf>
    <xf numFmtId="0" fontId="127" fillId="5" borderId="0" xfId="43" applyFont="1" applyFill="1" applyBorder="1" applyAlignment="1">
      <alignment horizontal="center" vertical="center"/>
    </xf>
    <xf numFmtId="0" fontId="127" fillId="5" borderId="63" xfId="43" applyFont="1" applyFill="1" applyBorder="1" applyAlignment="1">
      <alignment horizontal="center" vertical="center"/>
    </xf>
    <xf numFmtId="2" fontId="125" fillId="0" borderId="12" xfId="44" applyNumberFormat="1" applyFont="1" applyFill="1" applyBorder="1" applyAlignment="1">
      <alignment horizontal="center" vertical="center"/>
    </xf>
    <xf numFmtId="2" fontId="125" fillId="0" borderId="64" xfId="44" applyNumberFormat="1" applyFont="1" applyFill="1" applyBorder="1" applyAlignment="1">
      <alignment horizontal="center" vertical="center"/>
    </xf>
    <xf numFmtId="2" fontId="125" fillId="0" borderId="65" xfId="44" applyNumberFormat="1" applyFont="1" applyFill="1" applyBorder="1" applyAlignment="1">
      <alignment horizontal="center" vertical="center"/>
    </xf>
    <xf numFmtId="0" fontId="125" fillId="3" borderId="62" xfId="43" applyFont="1" applyFill="1" applyBorder="1" applyAlignment="1">
      <alignment horizontal="center" vertical="center"/>
    </xf>
    <xf numFmtId="0" fontId="127" fillId="5" borderId="62" xfId="43" applyFont="1" applyFill="1" applyBorder="1" applyAlignment="1">
      <alignment horizontal="center" vertical="center"/>
    </xf>
    <xf numFmtId="0" fontId="153" fillId="3" borderId="70" xfId="43" applyFont="1" applyFill="1" applyBorder="1" applyAlignment="1">
      <alignment horizontal="center" vertical="center"/>
    </xf>
    <xf numFmtId="0" fontId="125" fillId="5" borderId="62" xfId="43" applyFont="1" applyFill="1" applyBorder="1" applyAlignment="1">
      <alignment horizontal="center" vertical="center"/>
    </xf>
    <xf numFmtId="0" fontId="153" fillId="3" borderId="62" xfId="43" applyFont="1" applyFill="1" applyBorder="1" applyAlignment="1">
      <alignment horizontal="center" vertical="center"/>
    </xf>
    <xf numFmtId="209" fontId="125" fillId="0" borderId="12" xfId="7" applyNumberFormat="1" applyFont="1" applyFill="1" applyBorder="1" applyAlignment="1">
      <alignment horizontal="center" vertical="center"/>
    </xf>
    <xf numFmtId="209" fontId="125" fillId="0" borderId="64" xfId="7" applyNumberFormat="1" applyFont="1" applyFill="1" applyBorder="1" applyAlignment="1">
      <alignment horizontal="center" vertical="center"/>
    </xf>
    <xf numFmtId="209" fontId="125" fillId="0" borderId="65" xfId="7" applyNumberFormat="1" applyFont="1" applyFill="1" applyBorder="1" applyAlignment="1">
      <alignment horizontal="center" vertical="center"/>
    </xf>
    <xf numFmtId="2" fontId="0" fillId="0" borderId="47" xfId="7" applyNumberFormat="1" applyFont="1" applyBorder="1" applyAlignment="1">
      <alignment horizontal="center" vertical="center"/>
    </xf>
    <xf numFmtId="2" fontId="0" fillId="0" borderId="48" xfId="7" applyNumberFormat="1" applyFont="1" applyBorder="1" applyAlignment="1">
      <alignment horizontal="center" vertical="center"/>
    </xf>
    <xf numFmtId="0" fontId="127" fillId="26" borderId="47" xfId="43" applyFont="1" applyFill="1" applyBorder="1" applyAlignment="1">
      <alignment horizontal="center" vertical="center"/>
    </xf>
    <xf numFmtId="2" fontId="0" fillId="0" borderId="0" xfId="7" applyNumberFormat="1" applyFont="1" applyBorder="1" applyAlignment="1">
      <alignment horizontal="center" vertical="center"/>
    </xf>
    <xf numFmtId="2" fontId="0" fillId="0" borderId="11" xfId="7" applyNumberFormat="1" applyFont="1" applyBorder="1" applyAlignment="1">
      <alignment horizontal="center" vertical="center"/>
    </xf>
    <xf numFmtId="0" fontId="127" fillId="3" borderId="62" xfId="43" applyFont="1" applyFill="1" applyBorder="1" applyAlignment="1">
      <alignment horizontal="center" vertical="center"/>
    </xf>
    <xf numFmtId="0" fontId="43" fillId="0" borderId="18" xfId="0" applyFont="1" applyBorder="1" applyAlignment="1">
      <alignment horizontal="left" vertical="center" wrapText="1" indent="1"/>
    </xf>
    <xf numFmtId="0" fontId="43" fillId="0" borderId="18" xfId="0" applyFont="1" applyBorder="1" applyAlignment="1">
      <alignment horizontal="left" vertical="center" wrapText="1"/>
    </xf>
    <xf numFmtId="0" fontId="41" fillId="13" borderId="0" xfId="30" applyFont="1" applyFill="1" applyBorder="1" applyAlignment="1" applyProtection="1">
      <alignment horizontal="center" vertical="center"/>
      <protection locked="0"/>
    </xf>
    <xf numFmtId="0" fontId="41" fillId="3" borderId="0" xfId="30" applyFont="1" applyFill="1" applyBorder="1" applyAlignment="1">
      <alignment horizontal="left" vertical="center"/>
    </xf>
    <xf numFmtId="0" fontId="41" fillId="3" borderId="0" xfId="30" applyFont="1" applyFill="1" applyBorder="1" applyAlignment="1">
      <alignment horizontal="center" vertical="center"/>
    </xf>
    <xf numFmtId="0" fontId="41" fillId="3" borderId="0" xfId="30" applyFont="1" applyFill="1" applyBorder="1" applyAlignment="1" applyProtection="1">
      <alignment horizontal="left" vertical="center"/>
      <protection locked="0"/>
    </xf>
    <xf numFmtId="0" fontId="41" fillId="3" borderId="0" xfId="30" applyFont="1" applyFill="1" applyBorder="1" applyAlignment="1" applyProtection="1">
      <alignment horizontal="center" vertical="center"/>
      <protection locked="0"/>
    </xf>
    <xf numFmtId="0" fontId="41" fillId="13" borderId="0" xfId="30" applyFont="1" applyFill="1" applyBorder="1" applyAlignment="1">
      <alignment horizontal="center" vertical="center"/>
    </xf>
    <xf numFmtId="0" fontId="42" fillId="0" borderId="0" xfId="30" applyFont="1" applyFill="1" applyBorder="1" applyAlignment="1" applyProtection="1">
      <alignment horizontal="left" vertical="center" indent="1"/>
      <protection locked="0"/>
    </xf>
    <xf numFmtId="43" fontId="208" fillId="0" borderId="8" xfId="16" applyNumberFormat="1" applyFont="1" applyFill="1" applyBorder="1" applyAlignment="1">
      <alignment horizontal="center" vertical="center"/>
    </xf>
    <xf numFmtId="43" fontId="208" fillId="0" borderId="6" xfId="16" applyNumberFormat="1" applyFont="1" applyFill="1" applyBorder="1" applyAlignment="1">
      <alignment horizontal="center" vertical="center"/>
    </xf>
    <xf numFmtId="43" fontId="208" fillId="0" borderId="107" xfId="16" applyNumberFormat="1" applyFont="1" applyFill="1" applyBorder="1" applyAlignment="1">
      <alignment horizontal="center" vertical="center"/>
    </xf>
    <xf numFmtId="43" fontId="208" fillId="0" borderId="8" xfId="7" applyFont="1" applyFill="1" applyBorder="1" applyAlignment="1">
      <alignment horizontal="center" vertical="center"/>
    </xf>
    <xf numFmtId="43" fontId="208" fillId="0" borderId="6" xfId="7" applyFont="1" applyFill="1" applyBorder="1" applyAlignment="1">
      <alignment horizontal="center" vertical="center"/>
    </xf>
    <xf numFmtId="43" fontId="208" fillId="0" borderId="107" xfId="7" applyFont="1" applyFill="1" applyBorder="1" applyAlignment="1">
      <alignment horizontal="center" vertical="center"/>
    </xf>
    <xf numFmtId="0" fontId="209" fillId="0" borderId="8" xfId="79" applyFont="1" applyFill="1" applyBorder="1" applyAlignment="1">
      <alignment horizontal="center" vertical="center"/>
    </xf>
    <xf numFmtId="0" fontId="209" fillId="0" borderId="6" xfId="79" applyFont="1" applyFill="1" applyBorder="1" applyAlignment="1">
      <alignment horizontal="center" vertical="center"/>
    </xf>
    <xf numFmtId="0" fontId="209" fillId="0" borderId="107" xfId="79" applyFont="1" applyFill="1" applyBorder="1" applyAlignment="1">
      <alignment horizontal="center" vertical="center"/>
    </xf>
    <xf numFmtId="43" fontId="95" fillId="0" borderId="8" xfId="7" applyFont="1" applyFill="1" applyBorder="1" applyAlignment="1" applyProtection="1">
      <alignment horizontal="center" vertical="center"/>
      <protection locked="0"/>
    </xf>
    <xf numFmtId="43" fontId="95" fillId="0" borderId="107" xfId="7" applyFont="1" applyFill="1" applyBorder="1" applyAlignment="1" applyProtection="1">
      <alignment horizontal="center" vertical="center"/>
      <protection locked="0"/>
    </xf>
    <xf numFmtId="0" fontId="12" fillId="0" borderId="62" xfId="0" applyFont="1" applyBorder="1" applyAlignment="1">
      <alignment horizontal="center" vertical="center"/>
    </xf>
    <xf numFmtId="0" fontId="191" fillId="38" borderId="73" xfId="0" applyFont="1" applyFill="1" applyBorder="1" applyAlignment="1" applyProtection="1">
      <alignment horizontal="center" vertical="center" wrapText="1"/>
      <protection locked="0"/>
    </xf>
    <xf numFmtId="0" fontId="191" fillId="38" borderId="64" xfId="0" applyFont="1" applyFill="1" applyBorder="1" applyAlignment="1" applyProtection="1">
      <alignment horizontal="center" vertical="center" wrapText="1"/>
      <protection locked="0"/>
    </xf>
    <xf numFmtId="0" fontId="11" fillId="0" borderId="62" xfId="0" applyFont="1" applyBorder="1" applyAlignment="1">
      <alignment horizontal="center" vertical="center"/>
    </xf>
    <xf numFmtId="0" fontId="70" fillId="7" borderId="2" xfId="9" applyFont="1" applyFill="1" applyBorder="1" applyAlignment="1" applyProtection="1">
      <alignment horizontal="center"/>
    </xf>
    <xf numFmtId="0" fontId="142" fillId="3" borderId="0" xfId="0" applyFont="1" applyFill="1" applyBorder="1" applyAlignment="1">
      <alignment horizontal="center" vertical="center"/>
    </xf>
    <xf numFmtId="0" fontId="39" fillId="3" borderId="0" xfId="0" applyFont="1" applyFill="1" applyBorder="1" applyAlignment="1">
      <alignment horizontal="center" vertical="center"/>
    </xf>
    <xf numFmtId="0" fontId="39" fillId="5" borderId="0" xfId="0" applyFont="1" applyFill="1" applyBorder="1" applyAlignment="1">
      <alignment horizontal="center" vertical="center"/>
    </xf>
    <xf numFmtId="0" fontId="125" fillId="0" borderId="10" xfId="43" applyFont="1" applyFill="1" applyBorder="1" applyAlignment="1">
      <alignment horizontal="right" vertical="center"/>
    </xf>
    <xf numFmtId="0" fontId="125" fillId="0" borderId="0" xfId="43" applyFont="1" applyFill="1" applyBorder="1" applyAlignment="1">
      <alignment horizontal="right" vertical="center"/>
    </xf>
    <xf numFmtId="0" fontId="125" fillId="0" borderId="11" xfId="43" applyFont="1" applyFill="1" applyBorder="1" applyAlignment="1">
      <alignment horizontal="right" vertical="center"/>
    </xf>
    <xf numFmtId="0" fontId="125" fillId="0" borderId="10" xfId="43" applyFont="1" applyFill="1" applyBorder="1" applyAlignment="1">
      <alignment horizontal="left" vertical="center" wrapText="1"/>
    </xf>
    <xf numFmtId="0" fontId="125" fillId="0" borderId="0" xfId="43" applyFont="1" applyFill="1" applyBorder="1" applyAlignment="1">
      <alignment horizontal="left" vertical="center" wrapText="1"/>
    </xf>
    <xf numFmtId="0" fontId="125" fillId="0" borderId="11" xfId="43" applyFont="1" applyFill="1" applyBorder="1" applyAlignment="1">
      <alignment horizontal="left" vertical="center" wrapText="1"/>
    </xf>
    <xf numFmtId="0" fontId="125" fillId="0" borderId="75" xfId="43" applyFont="1" applyFill="1" applyBorder="1" applyAlignment="1">
      <alignment horizontal="left" vertical="center"/>
    </xf>
    <xf numFmtId="0" fontId="125" fillId="0" borderId="77" xfId="43" applyFont="1" applyFill="1" applyBorder="1" applyAlignment="1">
      <alignment horizontal="left" vertical="center"/>
    </xf>
    <xf numFmtId="0" fontId="125" fillId="0" borderId="76" xfId="43" applyFont="1" applyFill="1" applyBorder="1" applyAlignment="1">
      <alignment horizontal="left" vertical="center"/>
    </xf>
    <xf numFmtId="0" fontId="127" fillId="19" borderId="10" xfId="43" applyFont="1" applyFill="1" applyBorder="1" applyAlignment="1">
      <alignment horizontal="left" vertical="top"/>
    </xf>
    <xf numFmtId="0" fontId="127" fillId="19" borderId="0" xfId="43" applyFont="1" applyFill="1" applyBorder="1" applyAlignment="1">
      <alignment horizontal="left" vertical="top"/>
    </xf>
    <xf numFmtId="0" fontId="127" fillId="19" borderId="11" xfId="43" applyFont="1" applyFill="1" applyBorder="1" applyAlignment="1">
      <alignment horizontal="left" vertical="top"/>
    </xf>
    <xf numFmtId="0" fontId="125" fillId="0" borderId="10" xfId="43" applyFont="1" applyFill="1" applyBorder="1" applyAlignment="1">
      <alignment horizontal="right" vertical="center" wrapText="1"/>
    </xf>
    <xf numFmtId="0" fontId="174" fillId="19" borderId="41" xfId="43" applyFont="1" applyFill="1" applyBorder="1" applyAlignment="1">
      <alignment horizontal="left" vertical="center" wrapText="1"/>
    </xf>
    <xf numFmtId="0" fontId="174" fillId="19" borderId="42" xfId="43" applyFont="1" applyFill="1" applyBorder="1" applyAlignment="1">
      <alignment horizontal="left" vertical="center"/>
    </xf>
    <xf numFmtId="0" fontId="95" fillId="0" borderId="10" xfId="43" applyFont="1" applyFill="1" applyBorder="1" applyAlignment="1">
      <alignment horizontal="right" vertical="center" wrapText="1"/>
    </xf>
    <xf numFmtId="0" fontId="95" fillId="0" borderId="0" xfId="43" applyFont="1" applyFill="1" applyBorder="1" applyAlignment="1">
      <alignment horizontal="right" vertical="center"/>
    </xf>
    <xf numFmtId="0" fontId="125" fillId="0" borderId="8" xfId="43" applyFont="1" applyFill="1" applyBorder="1" applyAlignment="1">
      <alignment horizontal="center" vertical="top" wrapText="1"/>
    </xf>
    <xf numFmtId="0" fontId="125" fillId="0" borderId="6" xfId="43" applyFont="1" applyFill="1" applyBorder="1" applyAlignment="1">
      <alignment horizontal="center" vertical="top" wrapText="1"/>
    </xf>
    <xf numFmtId="0" fontId="125" fillId="0" borderId="87" xfId="43" applyFont="1" applyFill="1" applyBorder="1" applyAlignment="1">
      <alignment horizontal="center" vertical="top" wrapText="1"/>
    </xf>
    <xf numFmtId="0" fontId="125" fillId="0" borderId="70" xfId="43" applyFont="1" applyFill="1" applyBorder="1" applyAlignment="1">
      <alignment horizontal="center" vertical="top" wrapText="1"/>
    </xf>
    <xf numFmtId="0" fontId="125" fillId="0" borderId="8" xfId="43" applyFont="1" applyFill="1" applyBorder="1" applyAlignment="1">
      <alignment horizontal="center" vertical="center" wrapText="1"/>
    </xf>
    <xf numFmtId="0" fontId="125" fillId="0" borderId="6" xfId="43" applyFont="1" applyFill="1" applyBorder="1" applyAlignment="1">
      <alignment horizontal="center" vertical="center" wrapText="1"/>
    </xf>
    <xf numFmtId="0" fontId="125" fillId="0" borderId="70" xfId="43" applyFont="1" applyFill="1" applyBorder="1" applyAlignment="1">
      <alignment horizontal="center" vertical="center" wrapText="1"/>
    </xf>
    <xf numFmtId="0" fontId="127" fillId="19" borderId="10" xfId="43" applyFont="1" applyFill="1" applyBorder="1" applyAlignment="1">
      <alignment horizontal="left" vertical="top" wrapText="1"/>
    </xf>
    <xf numFmtId="201" fontId="125" fillId="0" borderId="18" xfId="43" applyNumberFormat="1" applyFont="1" applyFill="1" applyBorder="1" applyAlignment="1">
      <alignment horizontal="center" vertical="center"/>
    </xf>
    <xf numFmtId="0" fontId="127" fillId="0" borderId="0" xfId="43" applyFont="1" applyFill="1" applyAlignment="1">
      <alignment horizontal="center" vertical="center"/>
    </xf>
    <xf numFmtId="0" fontId="125" fillId="0" borderId="49" xfId="43" applyFont="1" applyFill="1" applyBorder="1" applyAlignment="1">
      <alignment horizontal="center" vertical="center"/>
    </xf>
    <xf numFmtId="0" fontId="125" fillId="0" borderId="50" xfId="43" applyFont="1" applyFill="1" applyBorder="1" applyAlignment="1">
      <alignment horizontal="center" vertical="center"/>
    </xf>
    <xf numFmtId="0" fontId="125" fillId="0" borderId="51" xfId="43" applyFont="1" applyFill="1" applyBorder="1" applyAlignment="1">
      <alignment horizontal="center" vertical="center"/>
    </xf>
    <xf numFmtId="0" fontId="125" fillId="0" borderId="18" xfId="43" applyFont="1" applyFill="1" applyBorder="1" applyAlignment="1">
      <alignment horizontal="left" vertical="top" wrapText="1"/>
    </xf>
    <xf numFmtId="0" fontId="174" fillId="3" borderId="0" xfId="0" applyFont="1" applyFill="1" applyBorder="1" applyAlignment="1">
      <alignment horizontal="center" vertical="center"/>
    </xf>
    <xf numFmtId="0" fontId="142" fillId="3" borderId="58" xfId="0" applyFont="1" applyFill="1" applyBorder="1" applyAlignment="1">
      <alignment horizontal="center" vertical="center"/>
    </xf>
    <xf numFmtId="0" fontId="170" fillId="6" borderId="0" xfId="0" applyFont="1" applyFill="1" applyBorder="1" applyAlignment="1">
      <alignment horizontal="center" vertical="center"/>
    </xf>
    <xf numFmtId="0" fontId="174" fillId="3" borderId="61" xfId="0" applyFont="1" applyFill="1" applyBorder="1" applyAlignment="1">
      <alignment horizontal="center" vertical="center"/>
    </xf>
    <xf numFmtId="0" fontId="142" fillId="3" borderId="49" xfId="0" applyFont="1" applyFill="1" applyBorder="1" applyAlignment="1">
      <alignment horizontal="center" vertical="center"/>
    </xf>
    <xf numFmtId="0" fontId="170" fillId="6" borderId="49" xfId="0" applyFont="1" applyFill="1" applyBorder="1" applyAlignment="1">
      <alignment horizontal="center" vertical="center"/>
    </xf>
    <xf numFmtId="0" fontId="170" fillId="6" borderId="50" xfId="0" applyFont="1" applyFill="1" applyBorder="1" applyAlignment="1">
      <alignment horizontal="center" vertical="center"/>
    </xf>
    <xf numFmtId="0" fontId="142" fillId="3" borderId="61" xfId="0" applyFont="1" applyFill="1" applyBorder="1" applyAlignment="1">
      <alignment horizontal="center" vertical="center"/>
    </xf>
    <xf numFmtId="0" fontId="170" fillId="6" borderId="61" xfId="0" applyFont="1" applyFill="1" applyBorder="1" applyAlignment="1">
      <alignment horizontal="center" vertical="center"/>
    </xf>
    <xf numFmtId="0" fontId="170" fillId="6" borderId="94" xfId="0" applyFont="1" applyFill="1" applyBorder="1" applyAlignment="1">
      <alignment horizontal="center" vertical="center"/>
    </xf>
    <xf numFmtId="206" fontId="0" fillId="0" borderId="73" xfId="0" applyNumberFormat="1" applyBorder="1" applyAlignment="1">
      <alignment horizontal="center" vertical="center"/>
    </xf>
    <xf numFmtId="206" fontId="0" fillId="0" borderId="74" xfId="0" applyNumberFormat="1" applyBorder="1" applyAlignment="1">
      <alignment horizontal="center" vertical="center"/>
    </xf>
    <xf numFmtId="0" fontId="44" fillId="3" borderId="0" xfId="30" applyFont="1" applyFill="1" applyBorder="1" applyAlignment="1">
      <alignment horizontal="center" vertical="center"/>
    </xf>
    <xf numFmtId="49" fontId="103" fillId="15" borderId="18" xfId="40" applyNumberFormat="1" applyFont="1" applyFill="1" applyBorder="1" applyAlignment="1">
      <alignment horizontal="center" vertical="center" wrapText="1"/>
      <protection locked="0"/>
    </xf>
    <xf numFmtId="49" fontId="97" fillId="0" borderId="0" xfId="40" applyNumberFormat="1" applyFont="1" applyAlignment="1">
      <alignment horizontal="center" vertical="center"/>
      <protection locked="0"/>
    </xf>
    <xf numFmtId="3" fontId="97" fillId="0" borderId="0" xfId="40" applyNumberFormat="1" applyFont="1" applyAlignment="1">
      <alignment horizontal="center" vertical="center"/>
      <protection locked="0"/>
    </xf>
    <xf numFmtId="0" fontId="97" fillId="0" borderId="0" xfId="40" applyFont="1" applyAlignment="1">
      <alignment horizontal="center" vertical="center"/>
      <protection locked="0"/>
    </xf>
    <xf numFmtId="49" fontId="74" fillId="0" borderId="0" xfId="40" applyNumberFormat="1" applyFont="1" applyBorder="1" applyAlignment="1">
      <alignment horizontal="center" vertical="center"/>
      <protection locked="0"/>
    </xf>
    <xf numFmtId="0" fontId="74" fillId="0" borderId="0" xfId="40" applyFont="1" applyBorder="1" applyAlignment="1">
      <alignment horizontal="right" vertical="center"/>
      <protection locked="0"/>
    </xf>
    <xf numFmtId="49" fontId="103" fillId="15" borderId="18" xfId="40" applyNumberFormat="1" applyFont="1" applyFill="1" applyBorder="1" applyAlignment="1">
      <alignment horizontal="center" vertical="center"/>
      <protection locked="0"/>
    </xf>
    <xf numFmtId="49" fontId="104" fillId="15" borderId="18" xfId="40" applyNumberFormat="1" applyFont="1" applyFill="1" applyBorder="1" applyAlignment="1">
      <alignment horizontal="center" vertical="center"/>
      <protection locked="0"/>
    </xf>
    <xf numFmtId="3" fontId="104" fillId="15" borderId="18" xfId="40" applyNumberFormat="1" applyFont="1" applyFill="1" applyBorder="1" applyAlignment="1">
      <alignment horizontal="center" vertical="center"/>
      <protection locked="0"/>
    </xf>
    <xf numFmtId="49" fontId="74" fillId="0" borderId="18" xfId="40" applyNumberFormat="1" applyFont="1" applyBorder="1" applyAlignment="1">
      <alignment horizontal="center" vertical="center"/>
      <protection locked="0"/>
    </xf>
    <xf numFmtId="49" fontId="106" fillId="15" borderId="18" xfId="40" applyNumberFormat="1" applyFont="1" applyFill="1" applyBorder="1" applyAlignment="1">
      <alignment horizontal="center" vertical="center" wrapText="1"/>
      <protection locked="0"/>
    </xf>
    <xf numFmtId="49" fontId="103" fillId="14" borderId="18" xfId="40" applyNumberFormat="1" applyFont="1" applyFill="1" applyBorder="1" applyAlignment="1">
      <alignment horizontal="center" vertical="center"/>
      <protection locked="0"/>
    </xf>
    <xf numFmtId="49" fontId="105" fillId="15" borderId="18" xfId="40" applyNumberFormat="1" applyFont="1" applyFill="1" applyBorder="1" applyAlignment="1">
      <alignment horizontal="center" vertical="center" wrapText="1"/>
      <protection locked="0"/>
    </xf>
    <xf numFmtId="49" fontId="112" fillId="14" borderId="28" xfId="40" applyNumberFormat="1" applyFont="1" applyFill="1" applyBorder="1" applyAlignment="1">
      <alignment horizontal="center" vertical="center"/>
      <protection locked="0"/>
    </xf>
    <xf numFmtId="49" fontId="111" fillId="14" borderId="29" xfId="40" applyNumberFormat="1" applyFont="1" applyFill="1" applyBorder="1" applyAlignment="1">
      <alignment horizontal="center" vertical="center"/>
      <protection locked="0"/>
    </xf>
    <xf numFmtId="49" fontId="78" fillId="0" borderId="0" xfId="40" applyNumberFormat="1" applyFont="1" applyBorder="1" applyAlignment="1">
      <alignment horizontal="left" vertical="center"/>
      <protection locked="0"/>
    </xf>
    <xf numFmtId="0" fontId="78" fillId="0" borderId="0" xfId="40" applyFont="1" applyBorder="1" applyAlignment="1">
      <alignment horizontal="left" vertical="center"/>
      <protection locked="0"/>
    </xf>
    <xf numFmtId="3" fontId="78" fillId="0" borderId="0" xfId="40" applyNumberFormat="1" applyFont="1" applyBorder="1" applyAlignment="1">
      <alignment horizontal="right" vertical="center"/>
      <protection locked="0"/>
    </xf>
    <xf numFmtId="49" fontId="78" fillId="0" borderId="0" xfId="40" applyNumberFormat="1" applyFont="1" applyBorder="1" applyAlignment="1">
      <alignment horizontal="center" vertical="center"/>
      <protection locked="0"/>
    </xf>
    <xf numFmtId="0" fontId="78" fillId="0" borderId="0" xfId="40" applyFont="1" applyBorder="1" applyAlignment="1">
      <alignment horizontal="center" vertical="center"/>
      <protection locked="0"/>
    </xf>
    <xf numFmtId="0" fontId="78" fillId="0" borderId="0" xfId="40" applyFont="1" applyBorder="1" applyAlignment="1">
      <alignment horizontal="right" vertical="center"/>
      <protection locked="0"/>
    </xf>
    <xf numFmtId="0" fontId="112" fillId="14" borderId="24" xfId="40" applyFont="1" applyFill="1" applyBorder="1" applyAlignment="1">
      <alignment horizontal="center" vertical="center"/>
      <protection locked="0"/>
    </xf>
    <xf numFmtId="3" fontId="112" fillId="14" borderId="28" xfId="40" applyNumberFormat="1" applyFont="1" applyFill="1" applyBorder="1" applyAlignment="1">
      <alignment horizontal="center" vertical="center"/>
      <protection locked="0"/>
    </xf>
    <xf numFmtId="0" fontId="111" fillId="14" borderId="28" xfId="40" applyFont="1" applyFill="1" applyBorder="1" applyAlignment="1">
      <alignment horizontal="center" vertical="center"/>
      <protection locked="0"/>
    </xf>
    <xf numFmtId="0" fontId="112" fillId="14" borderId="25" xfId="40" applyFont="1" applyFill="1" applyBorder="1" applyAlignment="1">
      <alignment horizontal="center" vertical="center"/>
      <protection locked="0"/>
    </xf>
    <xf numFmtId="49" fontId="112" fillId="14" borderId="26" xfId="40" applyNumberFormat="1" applyFont="1" applyFill="1" applyBorder="1" applyAlignment="1">
      <alignment horizontal="center" vertical="center"/>
      <protection locked="0"/>
    </xf>
    <xf numFmtId="49" fontId="112" fillId="14" borderId="24" xfId="40" applyNumberFormat="1" applyFont="1" applyFill="1" applyBorder="1" applyAlignment="1">
      <alignment horizontal="center" vertical="center"/>
      <protection locked="0"/>
    </xf>
    <xf numFmtId="49" fontId="112" fillId="14" borderId="25" xfId="40" applyNumberFormat="1" applyFont="1" applyFill="1" applyBorder="1" applyAlignment="1">
      <alignment horizontal="center" vertical="center"/>
      <protection locked="0"/>
    </xf>
    <xf numFmtId="49" fontId="112" fillId="14" borderId="27" xfId="40" applyNumberFormat="1" applyFont="1" applyFill="1" applyBorder="1" applyAlignment="1">
      <alignment horizontal="center" vertical="center"/>
      <protection locked="0"/>
    </xf>
    <xf numFmtId="49" fontId="112" fillId="14" borderId="34" xfId="40" applyNumberFormat="1" applyFont="1" applyFill="1" applyBorder="1" applyAlignment="1">
      <alignment horizontal="center" vertical="center"/>
      <protection locked="0"/>
    </xf>
    <xf numFmtId="49" fontId="111" fillId="14" borderId="34" xfId="40" applyNumberFormat="1" applyFont="1" applyFill="1" applyBorder="1" applyAlignment="1">
      <alignment horizontal="center" vertical="center"/>
      <protection locked="0"/>
    </xf>
    <xf numFmtId="3" fontId="112" fillId="14" borderId="29" xfId="40" applyNumberFormat="1" applyFont="1" applyFill="1" applyBorder="1" applyAlignment="1">
      <alignment horizontal="center" vertical="center"/>
      <protection locked="0"/>
    </xf>
    <xf numFmtId="0" fontId="111" fillId="14" borderId="29" xfId="40" applyFont="1" applyFill="1" applyBorder="1" applyAlignment="1">
      <alignment horizontal="center" vertical="center"/>
      <protection locked="0"/>
    </xf>
    <xf numFmtId="49" fontId="112" fillId="14" borderId="30" xfId="40" applyNumberFormat="1" applyFont="1" applyFill="1" applyBorder="1" applyAlignment="1">
      <alignment horizontal="center" vertical="center"/>
      <protection locked="0"/>
    </xf>
    <xf numFmtId="49" fontId="111" fillId="14" borderId="0" xfId="40" applyNumberFormat="1" applyFont="1" applyFill="1" applyBorder="1" applyAlignment="1">
      <alignment horizontal="center" vertical="center"/>
      <protection locked="0"/>
    </xf>
    <xf numFmtId="49" fontId="112" fillId="14" borderId="32" xfId="40" applyNumberFormat="1" applyFont="1" applyFill="1" applyBorder="1" applyAlignment="1">
      <alignment horizontal="center" vertical="center"/>
      <protection locked="0"/>
    </xf>
    <xf numFmtId="49" fontId="112" fillId="14" borderId="31" xfId="40" applyNumberFormat="1" applyFont="1" applyFill="1" applyBorder="1" applyAlignment="1">
      <alignment horizontal="center" vertical="center"/>
      <protection locked="0"/>
    </xf>
    <xf numFmtId="49" fontId="112" fillId="14" borderId="28" xfId="40" applyNumberFormat="1" applyFont="1" applyFill="1" applyBorder="1" applyAlignment="1">
      <alignment horizontal="center" vertical="center" wrapText="1"/>
      <protection locked="0"/>
    </xf>
    <xf numFmtId="49" fontId="111" fillId="14" borderId="29" xfId="40" applyNumberFormat="1" applyFont="1" applyFill="1" applyBorder="1" applyAlignment="1">
      <alignment horizontal="center" vertical="center" wrapText="1"/>
      <protection locked="0"/>
    </xf>
    <xf numFmtId="49" fontId="112" fillId="14" borderId="29" xfId="40" applyNumberFormat="1" applyFont="1" applyFill="1" applyBorder="1" applyAlignment="1">
      <alignment horizontal="center" vertical="center"/>
      <protection locked="0"/>
    </xf>
    <xf numFmtId="49" fontId="112" fillId="14" borderId="33" xfId="40" applyNumberFormat="1" applyFont="1" applyFill="1" applyBorder="1" applyAlignment="1">
      <alignment horizontal="center" vertical="center"/>
      <protection locked="0"/>
    </xf>
  </cellXfs>
  <cellStyles count="81">
    <cellStyle name="_Comma" xfId="22" xr:uid="{00000000-0005-0000-0000-000000000000}"/>
    <cellStyle name="_CurrencySpace" xfId="3" xr:uid="{00000000-0005-0000-0000-000001000000}"/>
    <cellStyle name="_CurrencySpace 2" xfId="27" xr:uid="{00000000-0005-0000-0000-000002000000}"/>
    <cellStyle name="_CurrencySpace 8" xfId="39" xr:uid="{00000000-0005-0000-0000-000003000000}"/>
    <cellStyle name="_Multiple" xfId="59" xr:uid="{00000000-0005-0000-0000-000004000000}"/>
    <cellStyle name="_Table" xfId="26" xr:uid="{00000000-0005-0000-0000-000005000000}"/>
    <cellStyle name="_Table 2" xfId="4" xr:uid="{00000000-0005-0000-0000-000006000000}"/>
    <cellStyle name="_Table 2_动因指标和成果指标内部影响分析" xfId="63" xr:uid="{00000000-0005-0000-0000-000007000000}"/>
    <cellStyle name="_Table_动因指标和成果指标内部影响分析" xfId="62" xr:uid="{00000000-0005-0000-0000-000008000000}"/>
    <cellStyle name="_TableHead" xfId="9" xr:uid="{00000000-0005-0000-0000-000009000000}"/>
    <cellStyle name="_TableHead 2" xfId="60" xr:uid="{00000000-0005-0000-0000-00000A000000}"/>
    <cellStyle name="_TableHead_动因指标和成果指标内部影响分析" xfId="64" xr:uid="{00000000-0005-0000-0000-00000B000000}"/>
    <cellStyle name="_TableRowHead 2" xfId="61" xr:uid="{00000000-0005-0000-0000-00000C000000}"/>
    <cellStyle name="_TableSuperHead" xfId="34" xr:uid="{00000000-0005-0000-0000-00000D000000}"/>
    <cellStyle name="_TableSuperHead_动因指标和成果指标内部影响分析" xfId="65" xr:uid="{00000000-0005-0000-0000-00000E000000}"/>
    <cellStyle name="Blue" xfId="2" xr:uid="{00000000-0005-0000-0000-00000F000000}"/>
    <cellStyle name="Comma 11 3" xfId="38" xr:uid="{00000000-0005-0000-0000-000010000000}"/>
    <cellStyle name="Comma 12" xfId="24" xr:uid="{00000000-0005-0000-0000-000011000000}"/>
    <cellStyle name="Comma 16" xfId="23" xr:uid="{00000000-0005-0000-0000-000012000000}"/>
    <cellStyle name="Normal 15" xfId="10" xr:uid="{00000000-0005-0000-0000-000013000000}"/>
    <cellStyle name="Normal 15 2" xfId="37" xr:uid="{00000000-0005-0000-0000-000014000000}"/>
    <cellStyle name="Normal 15 3" xfId="11" xr:uid="{00000000-0005-0000-0000-000015000000}"/>
    <cellStyle name="Normal 2" xfId="1" xr:uid="{00000000-0005-0000-0000-000016000000}"/>
    <cellStyle name="Normal 23" xfId="20" xr:uid="{00000000-0005-0000-0000-000017000000}"/>
    <cellStyle name="Normal 24" xfId="21" xr:uid="{00000000-0005-0000-0000-000018000000}"/>
    <cellStyle name="Normal 29" xfId="36" xr:uid="{00000000-0005-0000-0000-000019000000}"/>
    <cellStyle name="Normal 31" xfId="41" xr:uid="{00000000-0005-0000-0000-00001A000000}"/>
    <cellStyle name="Normal 7" xfId="54" xr:uid="{00000000-0005-0000-0000-00001B000000}"/>
    <cellStyle name="Normal 7 2" xfId="55" xr:uid="{00000000-0005-0000-0000-00001C000000}"/>
    <cellStyle name="Percent 11" xfId="25" xr:uid="{00000000-0005-0000-0000-00001D000000}"/>
    <cellStyle name="Percent 2" xfId="35" xr:uid="{00000000-0005-0000-0000-00001E000000}"/>
    <cellStyle name="百分比" xfId="8" builtinId="5"/>
    <cellStyle name="百分比 2" xfId="31" xr:uid="{00000000-0005-0000-0000-000020000000}"/>
    <cellStyle name="百分比 2 3" xfId="53" xr:uid="{00000000-0005-0000-0000-000021000000}"/>
    <cellStyle name="百分比 4" xfId="47" xr:uid="{00000000-0005-0000-0000-000022000000}"/>
    <cellStyle name="百分比 4 2" xfId="75" xr:uid="{00000000-0005-0000-0000-000023000000}"/>
    <cellStyle name="百分比 5" xfId="46" xr:uid="{00000000-0005-0000-0000-000024000000}"/>
    <cellStyle name="百分比 8" xfId="15" xr:uid="{00000000-0005-0000-0000-000025000000}"/>
    <cellStyle name="差_动因指标和成果指标内部影响分析" xfId="66" xr:uid="{00000000-0005-0000-0000-000026000000}"/>
    <cellStyle name="常规" xfId="0" builtinId="0"/>
    <cellStyle name="常规 10 2" xfId="50" xr:uid="{00000000-0005-0000-0000-000028000000}"/>
    <cellStyle name="常规 10 2 2" xfId="70" xr:uid="{00000000-0005-0000-0000-000029000000}"/>
    <cellStyle name="常规 10 3" xfId="13" xr:uid="{00000000-0005-0000-0000-00002A000000}"/>
    <cellStyle name="常规 11 2" xfId="49" xr:uid="{00000000-0005-0000-0000-00002B000000}"/>
    <cellStyle name="常规 13" xfId="33" xr:uid="{00000000-0005-0000-0000-00002C000000}"/>
    <cellStyle name="常规 2" xfId="5" xr:uid="{00000000-0005-0000-0000-00002D000000}"/>
    <cellStyle name="常规 2 2" xfId="56" xr:uid="{00000000-0005-0000-0000-00002E000000}"/>
    <cellStyle name="常规 2 2 2" xfId="80" xr:uid="{00000000-0005-0000-0000-00002F000000}"/>
    <cellStyle name="常规 2 3" xfId="52" xr:uid="{00000000-0005-0000-0000-000030000000}"/>
    <cellStyle name="常规 2 3 2" xfId="73" xr:uid="{00000000-0005-0000-0000-000031000000}"/>
    <cellStyle name="常规 2 4" xfId="76" xr:uid="{00000000-0005-0000-0000-000032000000}"/>
    <cellStyle name="常规 2 7" xfId="40" xr:uid="{00000000-0005-0000-0000-000033000000}"/>
    <cellStyle name="常规 2 8 2" xfId="12" xr:uid="{00000000-0005-0000-0000-000034000000}"/>
    <cellStyle name="常规 2_动因指标和成果指标内部影响分析" xfId="67" xr:uid="{00000000-0005-0000-0000-000035000000}"/>
    <cellStyle name="常规 3" xfId="29" xr:uid="{00000000-0005-0000-0000-000036000000}"/>
    <cellStyle name="常规 3 2" xfId="78" xr:uid="{00000000-0005-0000-0000-000037000000}"/>
    <cellStyle name="常规 4" xfId="30" xr:uid="{00000000-0005-0000-0000-000038000000}"/>
    <cellStyle name="常规 5" xfId="72" xr:uid="{00000000-0005-0000-0000-000039000000}"/>
    <cellStyle name="常规 6" xfId="79" xr:uid="{00000000-0005-0000-0000-00003A000000}"/>
    <cellStyle name="常规 7" xfId="43" xr:uid="{00000000-0005-0000-0000-00003B000000}"/>
    <cellStyle name="常规 7 2" xfId="74" xr:uid="{00000000-0005-0000-0000-00003C000000}"/>
    <cellStyle name="常规_Cape M&amp;E Report" xfId="18" xr:uid="{00000000-0005-0000-0000-00003D000000}"/>
    <cellStyle name="超链接" xfId="6" builtinId="8"/>
    <cellStyle name="超链接 2" xfId="28" xr:uid="{00000000-0005-0000-0000-00003F000000}"/>
    <cellStyle name="超链接 2 2" xfId="71" xr:uid="{00000000-0005-0000-0000-000040000000}"/>
    <cellStyle name="超链接 3" xfId="42" xr:uid="{00000000-0005-0000-0000-000041000000}"/>
    <cellStyle name="超链接 4" xfId="45" xr:uid="{00000000-0005-0000-0000-000042000000}"/>
    <cellStyle name="超链接 5" xfId="69" xr:uid="{00000000-0005-0000-0000-000043000000}"/>
    <cellStyle name="好_动因指标和成果指标内部影响分析" xfId="68" xr:uid="{00000000-0005-0000-0000-000044000000}"/>
    <cellStyle name="千位分隔" xfId="7" builtinId="3"/>
    <cellStyle name="千位分隔 11" xfId="48" xr:uid="{00000000-0005-0000-0000-000046000000}"/>
    <cellStyle name="千位分隔 12" xfId="58" xr:uid="{00000000-0005-0000-0000-000047000000}"/>
    <cellStyle name="千位分隔 16" xfId="77" xr:uid="{00000000-0005-0000-0000-000048000000}"/>
    <cellStyle name="千位分隔 2" xfId="16" xr:uid="{00000000-0005-0000-0000-000049000000}"/>
    <cellStyle name="千位分隔 3" xfId="32" xr:uid="{00000000-0005-0000-0000-00004A000000}"/>
    <cellStyle name="千位分隔 4" xfId="51" xr:uid="{00000000-0005-0000-0000-00004B000000}"/>
    <cellStyle name="千位分隔 6" xfId="57" xr:uid="{00000000-0005-0000-0000-00004C000000}"/>
    <cellStyle name="千位分隔 8" xfId="14" xr:uid="{00000000-0005-0000-0000-00004D000000}"/>
    <cellStyle name="千位分隔 8 2" xfId="17" xr:uid="{00000000-0005-0000-0000-00004E000000}"/>
    <cellStyle name="千位分隔 8 2 2" xfId="44" xr:uid="{00000000-0005-0000-0000-00004F000000}"/>
    <cellStyle name="样式 1" xfId="19" xr:uid="{00000000-0005-0000-0000-000050000000}"/>
  </cellStyles>
  <dxfs count="27">
    <dxf>
      <font>
        <color rgb="FFFF0000"/>
      </font>
    </dxf>
    <dxf>
      <font>
        <color rgb="FFFF0000"/>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b val="0"/>
        <i val="0"/>
        <color indexed="9"/>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DFD99"/>
      <color rgb="FFFFFFCC"/>
      <color rgb="FF3399FF"/>
      <color rgb="FF0000FF"/>
      <color rgb="FF0033CC"/>
      <color rgb="FF0000CC"/>
      <color rgb="FFE4E4E4"/>
      <color rgb="FFE2E2E2"/>
      <color rgb="FFE1E1E1"/>
      <color rgb="FFEAEA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theme" Target="theme/theme1.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connections" Target="connection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powerPivotData" Target="model/item.data"/><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t>过程指标</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动态展示!$K$3:$K$9</c:f>
              <c:strCache>
                <c:ptCount val="7"/>
                <c:pt idx="0">
                  <c:v>营业总收入</c:v>
                </c:pt>
                <c:pt idx="1">
                  <c:v>售电收入</c:v>
                </c:pt>
                <c:pt idx="2">
                  <c:v>营业总成本</c:v>
                </c:pt>
                <c:pt idx="3">
                  <c:v>购电成本</c:v>
                </c:pt>
                <c:pt idx="4">
                  <c:v>资产总额</c:v>
                </c:pt>
                <c:pt idx="5">
                  <c:v>负债总额</c:v>
                </c:pt>
                <c:pt idx="6">
                  <c:v>权益总额</c:v>
                </c:pt>
              </c:strCache>
            </c:strRef>
          </c:cat>
          <c:val>
            <c:numRef>
              <c:f>动态展示!$L$3:$L$9</c:f>
              <c:numCache>
                <c:formatCode>_ * #,##0_ ;_ * \-#,##0_ ;_ * "-"??_ ;_ @_ </c:formatCode>
                <c:ptCount val="7"/>
                <c:pt idx="0">
                  <c:v>896.77070800000001</c:v>
                </c:pt>
                <c:pt idx="1">
                  <c:v>856.22417199999984</c:v>
                </c:pt>
                <c:pt idx="2">
                  <c:v>866.48928367999997</c:v>
                </c:pt>
                <c:pt idx="3">
                  <c:v>547.53011119999996</c:v>
                </c:pt>
                <c:pt idx="4">
                  <c:v>1920.4947</c:v>
                </c:pt>
                <c:pt idx="5">
                  <c:v>585.74860000000001</c:v>
                </c:pt>
                <c:pt idx="6">
                  <c:v>1334.7460999999998</c:v>
                </c:pt>
              </c:numCache>
            </c:numRef>
          </c:val>
          <c:extLst>
            <c:ext xmlns:c16="http://schemas.microsoft.com/office/drawing/2014/chart" uri="{C3380CC4-5D6E-409C-BE32-E72D297353CC}">
              <c16:uniqueId val="{00000000-A432-472E-8559-477038D0A4B5}"/>
            </c:ext>
          </c:extLst>
        </c:ser>
        <c:ser>
          <c:idx val="1"/>
          <c:order val="1"/>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动态展示!$K$3:$K$9</c:f>
              <c:strCache>
                <c:ptCount val="7"/>
                <c:pt idx="0">
                  <c:v>营业总收入</c:v>
                </c:pt>
                <c:pt idx="1">
                  <c:v>售电收入</c:v>
                </c:pt>
                <c:pt idx="2">
                  <c:v>营业总成本</c:v>
                </c:pt>
                <c:pt idx="3">
                  <c:v>购电成本</c:v>
                </c:pt>
                <c:pt idx="4">
                  <c:v>资产总额</c:v>
                </c:pt>
                <c:pt idx="5">
                  <c:v>负债总额</c:v>
                </c:pt>
                <c:pt idx="6">
                  <c:v>权益总额</c:v>
                </c:pt>
              </c:strCache>
            </c:strRef>
          </c:cat>
          <c:val>
            <c:numRef>
              <c:f>动态展示!$M$3:$M$9</c:f>
              <c:numCache>
                <c:formatCode>_ * #,##0_ ;_ * \-#,##0_ ;_ * "-"??_ ;_ @_ </c:formatCode>
                <c:ptCount val="7"/>
                <c:pt idx="0">
                  <c:v>890.25524394621448</c:v>
                </c:pt>
                <c:pt idx="1">
                  <c:v>849.70870794621453</c:v>
                </c:pt>
                <c:pt idx="2">
                  <c:v>859.81985121847856</c:v>
                </c:pt>
                <c:pt idx="3">
                  <c:v>547.89054568581719</c:v>
                </c:pt>
                <c:pt idx="4">
                  <c:v>1928.3288084030385</c:v>
                </c:pt>
                <c:pt idx="5">
                  <c:v>585.70320189212168</c:v>
                </c:pt>
                <c:pt idx="6">
                  <c:v>1342.6256065109169</c:v>
                </c:pt>
              </c:numCache>
            </c:numRef>
          </c:val>
          <c:extLst>
            <c:ext xmlns:c16="http://schemas.microsoft.com/office/drawing/2014/chart" uri="{C3380CC4-5D6E-409C-BE32-E72D297353CC}">
              <c16:uniqueId val="{00000001-A432-472E-8559-477038D0A4B5}"/>
            </c:ext>
          </c:extLst>
        </c:ser>
        <c:dLbls>
          <c:showLegendKey val="0"/>
          <c:showVal val="0"/>
          <c:showCatName val="0"/>
          <c:showSerName val="0"/>
          <c:showPercent val="0"/>
          <c:showBubbleSize val="0"/>
        </c:dLbls>
        <c:gapWidth val="219"/>
        <c:overlap val="-27"/>
        <c:axId val="391721896"/>
        <c:axId val="391725032"/>
      </c:barChart>
      <c:catAx>
        <c:axId val="391721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91725032"/>
        <c:crosses val="autoZero"/>
        <c:auto val="1"/>
        <c:lblAlgn val="ctr"/>
        <c:lblOffset val="100"/>
        <c:noMultiLvlLbl val="0"/>
      </c:catAx>
      <c:valAx>
        <c:axId val="391725032"/>
        <c:scaling>
          <c:orientation val="minMax"/>
        </c:scaling>
        <c:delete val="0"/>
        <c:axPos val="l"/>
        <c:majorGridlines>
          <c:spPr>
            <a:ln w="9525" cap="flat" cmpd="sng" algn="ctr">
              <a:solidFill>
                <a:schemeClr val="tx1">
                  <a:lumMod val="15000"/>
                  <a:lumOff val="85000"/>
                </a:schemeClr>
              </a:solidFill>
              <a:round/>
            </a:ln>
            <a:effectLst/>
          </c:spPr>
        </c:majorGridlines>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91721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zh-CN"/>
        </a:p>
      </c:txPr>
    </c:title>
    <c:autoTitleDeleted val="0"/>
    <c:plotArea>
      <c:layout/>
      <c:lineChart>
        <c:grouping val="standard"/>
        <c:varyColors val="0"/>
        <c:ser>
          <c:idx val="0"/>
          <c:order val="0"/>
          <c:tx>
            <c:strRef>
              <c:f>动态展示!$Q$3</c:f>
              <c:strCache>
                <c:ptCount val="1"/>
                <c:pt idx="0">
                  <c:v>营业总收入</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动态展示!$R$2:$AC$2</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动态展示!$R$3:$AC$3</c:f>
              <c:numCache>
                <c:formatCode>0.00_);[Red]\(0.00\)</c:formatCode>
                <c:ptCount val="12"/>
                <c:pt idx="0">
                  <c:v>83.492232803600004</c:v>
                </c:pt>
                <c:pt idx="1">
                  <c:v>63.925429839899998</c:v>
                </c:pt>
                <c:pt idx="2">
                  <c:v>70.746372467100002</c:v>
                </c:pt>
                <c:pt idx="3">
                  <c:v>63.150898991000005</c:v>
                </c:pt>
                <c:pt idx="4">
                  <c:v>69.794146742500004</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2A1B-4473-97DB-C7DA4012FEA3}"/>
            </c:ext>
          </c:extLst>
        </c:ser>
        <c:dLbls>
          <c:dLblPos val="ctr"/>
          <c:showLegendKey val="0"/>
          <c:showVal val="1"/>
          <c:showCatName val="0"/>
          <c:showSerName val="0"/>
          <c:showPercent val="0"/>
          <c:showBubbleSize val="0"/>
        </c:dLbls>
        <c:marker val="1"/>
        <c:smooth val="0"/>
        <c:axId val="441703264"/>
        <c:axId val="441702872"/>
      </c:lineChart>
      <c:catAx>
        <c:axId val="44170326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zh-CN"/>
          </a:p>
        </c:txPr>
        <c:crossAx val="441702872"/>
        <c:crosses val="autoZero"/>
        <c:auto val="1"/>
        <c:lblAlgn val="ctr"/>
        <c:lblOffset val="100"/>
        <c:noMultiLvlLbl val="0"/>
      </c:catAx>
      <c:valAx>
        <c:axId val="441702872"/>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_);[Red]\(0.00\)" sourceLinked="1"/>
        <c:majorTickMark val="none"/>
        <c:minorTickMark val="none"/>
        <c:tickLblPos val="nextTo"/>
        <c:crossAx val="441703264"/>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zh-CN"/>
        </a:p>
      </c:txPr>
    </c:title>
    <c:autoTitleDeleted val="0"/>
    <c:plotArea>
      <c:layout/>
      <c:lineChart>
        <c:grouping val="standard"/>
        <c:varyColors val="0"/>
        <c:ser>
          <c:idx val="0"/>
          <c:order val="0"/>
          <c:tx>
            <c:strRef>
              <c:f>动态展示!$Q$5</c:f>
              <c:strCache>
                <c:ptCount val="1"/>
                <c:pt idx="0">
                  <c:v>营业总成本</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动态展示!$R$5:$AC$5</c:f>
              <c:numCache>
                <c:formatCode>0.00_);[Red]\(0.00\)</c:formatCode>
                <c:ptCount val="12"/>
                <c:pt idx="0">
                  <c:v>79.305822953499998</c:v>
                </c:pt>
                <c:pt idx="1">
                  <c:v>62.164019300500001</c:v>
                </c:pt>
                <c:pt idx="2">
                  <c:v>68.372594383100008</c:v>
                </c:pt>
                <c:pt idx="3">
                  <c:v>60.927064808499999</c:v>
                </c:pt>
                <c:pt idx="4">
                  <c:v>67.943986067099999</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8CF1-4BE8-81AF-32CCB2606250}"/>
            </c:ext>
          </c:extLst>
        </c:ser>
        <c:dLbls>
          <c:dLblPos val="ctr"/>
          <c:showLegendKey val="0"/>
          <c:showVal val="1"/>
          <c:showCatName val="0"/>
          <c:showSerName val="0"/>
          <c:showPercent val="0"/>
          <c:showBubbleSize val="0"/>
        </c:dLbls>
        <c:marker val="1"/>
        <c:smooth val="0"/>
        <c:axId val="444767792"/>
        <c:axId val="444768184"/>
      </c:lineChart>
      <c:catAx>
        <c:axId val="444767792"/>
        <c:scaling>
          <c:orientation val="minMax"/>
        </c:scaling>
        <c:delete val="0"/>
        <c:axPos val="b"/>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zh-CN"/>
          </a:p>
        </c:txPr>
        <c:crossAx val="444768184"/>
        <c:crosses val="autoZero"/>
        <c:auto val="1"/>
        <c:lblAlgn val="ctr"/>
        <c:lblOffset val="100"/>
        <c:noMultiLvlLbl val="0"/>
      </c:catAx>
      <c:valAx>
        <c:axId val="444768184"/>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_);[Red]\(0.00\)" sourceLinked="1"/>
        <c:majorTickMark val="none"/>
        <c:minorTickMark val="none"/>
        <c:tickLblPos val="nextTo"/>
        <c:crossAx val="444767792"/>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zh-CN"/>
        </a:p>
      </c:txPr>
    </c:title>
    <c:autoTitleDeleted val="0"/>
    <c:plotArea>
      <c:layout/>
      <c:lineChart>
        <c:grouping val="standard"/>
        <c:varyColors val="0"/>
        <c:ser>
          <c:idx val="0"/>
          <c:order val="0"/>
          <c:tx>
            <c:strRef>
              <c:f>动态展示!$Q$7</c:f>
              <c:strCache>
                <c:ptCount val="1"/>
                <c:pt idx="0">
                  <c:v>利润总额</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动态展示!$R$7:$AC$7</c:f>
              <c:numCache>
                <c:formatCode>0.00_);[Red]\(0.00\)</c:formatCode>
                <c:ptCount val="12"/>
                <c:pt idx="0">
                  <c:v>4.5013125150999995</c:v>
                </c:pt>
                <c:pt idx="1">
                  <c:v>1.9987288882999996</c:v>
                </c:pt>
                <c:pt idx="2">
                  <c:v>2.9999836027999995</c:v>
                </c:pt>
                <c:pt idx="3">
                  <c:v>2.5012002807999996</c:v>
                </c:pt>
                <c:pt idx="4">
                  <c:v>1.9992224455000001</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4F05-44AF-BBB6-77B4D3605447}"/>
            </c:ext>
          </c:extLst>
        </c:ser>
        <c:dLbls>
          <c:dLblPos val="ctr"/>
          <c:showLegendKey val="0"/>
          <c:showVal val="1"/>
          <c:showCatName val="0"/>
          <c:showSerName val="0"/>
          <c:showPercent val="0"/>
          <c:showBubbleSize val="0"/>
        </c:dLbls>
        <c:marker val="1"/>
        <c:smooth val="0"/>
        <c:axId val="444815288"/>
        <c:axId val="444997808"/>
      </c:lineChart>
      <c:catAx>
        <c:axId val="444815288"/>
        <c:scaling>
          <c:orientation val="minMax"/>
        </c:scaling>
        <c:delete val="0"/>
        <c:axPos val="b"/>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zh-CN"/>
          </a:p>
        </c:txPr>
        <c:crossAx val="444997808"/>
        <c:crosses val="autoZero"/>
        <c:auto val="1"/>
        <c:lblAlgn val="ctr"/>
        <c:lblOffset val="100"/>
        <c:noMultiLvlLbl val="0"/>
      </c:catAx>
      <c:valAx>
        <c:axId val="444997808"/>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_);[Red]\(0.00\)" sourceLinked="1"/>
        <c:majorTickMark val="none"/>
        <c:minorTickMark val="none"/>
        <c:tickLblPos val="nextTo"/>
        <c:crossAx val="444815288"/>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EVA</a:t>
            </a:r>
            <a:r>
              <a:rPr lang="zh-CN"/>
              <a:t>和利润总额</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zh-CN"/>
        </a:p>
      </c:txPr>
    </c:title>
    <c:autoTitleDeleted val="0"/>
    <c:plotArea>
      <c:layout/>
      <c:barChart>
        <c:barDir val="col"/>
        <c:grouping val="clustered"/>
        <c:varyColors val="0"/>
        <c:ser>
          <c:idx val="0"/>
          <c:order val="0"/>
          <c:tx>
            <c:v>预算</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动态展示!$E$3:$E$4</c:f>
              <c:strCache>
                <c:ptCount val="2"/>
                <c:pt idx="0">
                  <c:v>EVA</c:v>
                </c:pt>
                <c:pt idx="1">
                  <c:v>利润总额</c:v>
                </c:pt>
              </c:strCache>
            </c:strRef>
          </c:cat>
          <c:val>
            <c:numRef>
              <c:f>动态展示!$F$3:$F$4</c:f>
              <c:numCache>
                <c:formatCode>0.00_ ;[Red]\-0.00\ </c:formatCode>
                <c:ptCount val="2"/>
                <c:pt idx="0">
                  <c:v>-4.5323132180055232</c:v>
                </c:pt>
                <c:pt idx="1">
                  <c:v>31.466924319999851</c:v>
                </c:pt>
              </c:numCache>
            </c:numRef>
          </c:val>
          <c:extLst>
            <c:ext xmlns:c16="http://schemas.microsoft.com/office/drawing/2014/chart" uri="{C3380CC4-5D6E-409C-BE32-E72D297353CC}">
              <c16:uniqueId val="{00000000-DE79-4770-B401-FB095ABA0F3B}"/>
            </c:ext>
          </c:extLst>
        </c:ser>
        <c:ser>
          <c:idx val="1"/>
          <c:order val="1"/>
          <c:tx>
            <c:v>预测</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动态展示!$E$3:$E$4</c:f>
              <c:strCache>
                <c:ptCount val="2"/>
                <c:pt idx="0">
                  <c:v>EVA</c:v>
                </c:pt>
                <c:pt idx="1">
                  <c:v>利润总额</c:v>
                </c:pt>
              </c:strCache>
            </c:strRef>
          </c:cat>
          <c:val>
            <c:numRef>
              <c:f>动态展示!$G$3:$G$4</c:f>
              <c:numCache>
                <c:formatCode>0.00_ ;[Red]\-0.00\ </c:formatCode>
                <c:ptCount val="2"/>
                <c:pt idx="0">
                  <c:v>-24.199425139865632</c:v>
                </c:pt>
                <c:pt idx="1">
                  <c:v>31.379227543914535</c:v>
                </c:pt>
              </c:numCache>
            </c:numRef>
          </c:val>
          <c:extLst>
            <c:ext xmlns:c16="http://schemas.microsoft.com/office/drawing/2014/chart" uri="{C3380CC4-5D6E-409C-BE32-E72D297353CC}">
              <c16:uniqueId val="{00000001-DE79-4770-B401-FB095ABA0F3B}"/>
            </c:ext>
          </c:extLst>
        </c:ser>
        <c:dLbls>
          <c:showLegendKey val="0"/>
          <c:showVal val="0"/>
          <c:showCatName val="0"/>
          <c:showSerName val="0"/>
          <c:showPercent val="0"/>
          <c:showBubbleSize val="0"/>
        </c:dLbls>
        <c:gapWidth val="100"/>
        <c:overlap val="-24"/>
        <c:axId val="392379912"/>
        <c:axId val="392380696"/>
      </c:barChart>
      <c:catAx>
        <c:axId val="3923799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zh-CN"/>
          </a:p>
        </c:txPr>
        <c:crossAx val="392380696"/>
        <c:crosses val="autoZero"/>
        <c:auto val="1"/>
        <c:lblAlgn val="ctr"/>
        <c:lblOffset val="100"/>
        <c:noMultiLvlLbl val="0"/>
      </c:catAx>
      <c:valAx>
        <c:axId val="392380696"/>
        <c:scaling>
          <c:orientation val="minMax"/>
        </c:scaling>
        <c:delete val="0"/>
        <c:axPos val="l"/>
        <c:majorGridlines>
          <c:spPr>
            <a:ln w="9525" cap="flat" cmpd="sng" algn="ctr">
              <a:solidFill>
                <a:schemeClr val="tx2">
                  <a:lumMod val="15000"/>
                  <a:lumOff val="85000"/>
                </a:schemeClr>
              </a:solidFill>
              <a:round/>
            </a:ln>
            <a:effectLst/>
          </c:spPr>
        </c:majorGridlines>
        <c:numFmt formatCode="0.00_ ;[Red]\-0.0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zh-CN"/>
          </a:p>
        </c:txPr>
        <c:crossAx val="392379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zh-CN"/>
              <a:t>资产负债率和净资产收益率</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0"/>
          <c:order val="0"/>
          <c:tx>
            <c:v>预算</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动态展示!$E$5:$E$6</c:f>
              <c:strCache>
                <c:ptCount val="2"/>
                <c:pt idx="0">
                  <c:v>资产负债率</c:v>
                </c:pt>
                <c:pt idx="1">
                  <c:v>净资产收益率</c:v>
                </c:pt>
              </c:strCache>
            </c:strRef>
          </c:cat>
          <c:val>
            <c:numRef>
              <c:f>动态展示!$F$5:$F$6</c:f>
              <c:numCache>
                <c:formatCode>0.00_ ;[Red]\-0.00\ </c:formatCode>
                <c:ptCount val="2"/>
                <c:pt idx="0">
                  <c:v>0.30499881098344089</c:v>
                </c:pt>
                <c:pt idx="1">
                  <c:v>1.7500000000000002E-2</c:v>
                </c:pt>
              </c:numCache>
            </c:numRef>
          </c:val>
          <c:extLst>
            <c:ext xmlns:c16="http://schemas.microsoft.com/office/drawing/2014/chart" uri="{C3380CC4-5D6E-409C-BE32-E72D297353CC}">
              <c16:uniqueId val="{00000000-B9EF-42F5-A02E-2C9F983B501F}"/>
            </c:ext>
          </c:extLst>
        </c:ser>
        <c:ser>
          <c:idx val="1"/>
          <c:order val="1"/>
          <c:tx>
            <c:v>预测</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动态展示!$E$5:$E$6</c:f>
              <c:strCache>
                <c:ptCount val="2"/>
                <c:pt idx="0">
                  <c:v>资产负债率</c:v>
                </c:pt>
                <c:pt idx="1">
                  <c:v>净资产收益率</c:v>
                </c:pt>
              </c:strCache>
            </c:strRef>
          </c:cat>
          <c:val>
            <c:numRef>
              <c:f>动态展示!$G$5:$G$6</c:f>
              <c:numCache>
                <c:formatCode>0.00_ ;[Red]\-0.00\ </c:formatCode>
                <c:ptCount val="2"/>
                <c:pt idx="0">
                  <c:v>0.30373616747300303</c:v>
                </c:pt>
                <c:pt idx="1">
                  <c:v>1.763944534300349E-2</c:v>
                </c:pt>
              </c:numCache>
            </c:numRef>
          </c:val>
          <c:extLst>
            <c:ext xmlns:c16="http://schemas.microsoft.com/office/drawing/2014/chart" uri="{C3380CC4-5D6E-409C-BE32-E72D297353CC}">
              <c16:uniqueId val="{00000001-B9EF-42F5-A02E-2C9F983B501F}"/>
            </c:ext>
          </c:extLst>
        </c:ser>
        <c:dLbls>
          <c:showLegendKey val="0"/>
          <c:showVal val="0"/>
          <c:showCatName val="0"/>
          <c:showSerName val="0"/>
          <c:showPercent val="0"/>
          <c:showBubbleSize val="0"/>
        </c:dLbls>
        <c:gapWidth val="100"/>
        <c:overlap val="-24"/>
        <c:axId val="445562544"/>
        <c:axId val="441335480"/>
      </c:barChart>
      <c:catAx>
        <c:axId val="445562544"/>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41335480"/>
        <c:crosses val="autoZero"/>
        <c:auto val="1"/>
        <c:lblAlgn val="ctr"/>
        <c:lblOffset val="100"/>
        <c:noMultiLvlLbl val="0"/>
      </c:catAx>
      <c:valAx>
        <c:axId val="441335480"/>
        <c:scaling>
          <c:orientation val="minMax"/>
        </c:scaling>
        <c:delete val="0"/>
        <c:axPos val="l"/>
        <c:majorGridlines>
          <c:spPr>
            <a:ln w="9525" cap="flat" cmpd="sng" algn="ctr">
              <a:solidFill>
                <a:schemeClr val="tx1">
                  <a:lumMod val="15000"/>
                  <a:lumOff val="85000"/>
                </a:schemeClr>
              </a:solidFill>
              <a:round/>
            </a:ln>
            <a:effectLst/>
          </c:spPr>
        </c:majorGridlines>
        <c:numFmt formatCode="0.00_ ;[Red]\-0.0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45562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实际完成进度</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bar"/>
        <c:grouping val="percentStacked"/>
        <c:varyColors val="0"/>
        <c:ser>
          <c:idx val="0"/>
          <c:order val="0"/>
          <c:tx>
            <c:strRef>
              <c:f>损益预算完成情况!$Y$2</c:f>
              <c:strCache>
                <c:ptCount val="1"/>
                <c:pt idx="0">
                  <c:v>已完成</c:v>
                </c:pt>
              </c:strCache>
            </c:strRef>
          </c:tx>
          <c:spPr>
            <a:solidFill>
              <a:schemeClr val="accent1"/>
            </a:solidFill>
            <a:ln>
              <a:noFill/>
            </a:ln>
            <a:effectLst/>
          </c:spPr>
          <c:invertIfNegative val="0"/>
          <c:cat>
            <c:strRef>
              <c:f>损益预算完成情况!$D$5:$D$63</c:f>
              <c:strCache>
                <c:ptCount val="59"/>
                <c:pt idx="0">
                  <c:v>一、营业收入</c:v>
                </c:pt>
                <c:pt idx="1">
                  <c:v>（一）电力产品主营业务收入</c:v>
                </c:pt>
                <c:pt idx="2">
                  <c:v>    1、售电收入</c:v>
                </c:pt>
                <c:pt idx="3">
                  <c:v>      （1）省内售电收入</c:v>
                </c:pt>
                <c:pt idx="4">
                  <c:v>             售电量（千千瓦时）</c:v>
                </c:pt>
                <c:pt idx="5">
                  <c:v>             售电单价（元/千千瓦时）</c:v>
                </c:pt>
                <c:pt idx="6">
                  <c:v>      （2）网间售电收入</c:v>
                </c:pt>
                <c:pt idx="7">
                  <c:v>             售电量（亿千瓦时）</c:v>
                </c:pt>
                <c:pt idx="8">
                  <c:v>             售电单价（元/千千瓦时）</c:v>
                </c:pt>
                <c:pt idx="9">
                  <c:v>       售电量合计（亿千瓦时）</c:v>
                </c:pt>
                <c:pt idx="10">
                  <c:v>       售电单价（元/千千瓦时）</c:v>
                </c:pt>
                <c:pt idx="11">
                  <c:v>    2、输电收入</c:v>
                </c:pt>
                <c:pt idx="12">
                  <c:v>    3、高可靠性供电收入</c:v>
                </c:pt>
                <c:pt idx="13">
                  <c:v>    4、自备电厂系统备用费收入</c:v>
                </c:pt>
                <c:pt idx="14">
                  <c:v>    5、受托运行维护收入</c:v>
                </c:pt>
                <c:pt idx="15">
                  <c:v>    6、临时接电收入</c:v>
                </c:pt>
                <c:pt idx="16">
                  <c:v>    7、可再生能源电价附加</c:v>
                </c:pt>
                <c:pt idx="17">
                  <c:v>    8、其他</c:v>
                </c:pt>
                <c:pt idx="18">
                  <c:v>售电收入调整项</c:v>
                </c:pt>
                <c:pt idx="19">
                  <c:v>（二）其他主营业务收入</c:v>
                </c:pt>
                <c:pt idx="20">
                  <c:v>（三）其他业务收入</c:v>
                </c:pt>
                <c:pt idx="21">
                  <c:v>二、营业总成本</c:v>
                </c:pt>
                <c:pt idx="22">
                  <c:v>（一）电力产品主营业务成本</c:v>
                </c:pt>
                <c:pt idx="23">
                  <c:v>    1、购电成本</c:v>
                </c:pt>
                <c:pt idx="24">
                  <c:v>         供电量（亿千瓦时）</c:v>
                </c:pt>
                <c:pt idx="25">
                  <c:v>         购电量（亿千瓦时）</c:v>
                </c:pt>
                <c:pt idx="26">
                  <c:v>         购电单价（元/千千瓦时）</c:v>
                </c:pt>
                <c:pt idx="27">
                  <c:v>         线损率（发展部口径）</c:v>
                </c:pt>
                <c:pt idx="28">
                  <c:v>         线损率（财务部口径）</c:v>
                </c:pt>
                <c:pt idx="29">
                  <c:v>    2、输配电成本</c:v>
                </c:pt>
                <c:pt idx="30">
                  <c:v>      （1）输电费</c:v>
                </c:pt>
                <c:pt idx="31">
                  <c:v>      （2）折旧</c:v>
                </c:pt>
                <c:pt idx="32">
                  <c:v>      （3）工资总额</c:v>
                </c:pt>
                <c:pt idx="33">
                  <c:v>      （4）委托运行维护费</c:v>
                </c:pt>
                <c:pt idx="34">
                  <c:v>      （5）材料费及修理费</c:v>
                </c:pt>
                <c:pt idx="35">
                  <c:v>      （6）其他运营费用</c:v>
                </c:pt>
                <c:pt idx="36">
                  <c:v>    3、发电成本</c:v>
                </c:pt>
                <c:pt idx="37">
                  <c:v>      （1）燃料费</c:v>
                </c:pt>
                <c:pt idx="38">
                  <c:v>      （2）购入电力费</c:v>
                </c:pt>
                <c:pt idx="39">
                  <c:v>      （3）折旧费</c:v>
                </c:pt>
                <c:pt idx="40">
                  <c:v>      （4）水费</c:v>
                </c:pt>
                <c:pt idx="41">
                  <c:v>      （5）工资总额</c:v>
                </c:pt>
                <c:pt idx="42">
                  <c:v>      （6）委托运行维护费</c:v>
                </c:pt>
                <c:pt idx="43">
                  <c:v>      （7）材料费及修理费</c:v>
                </c:pt>
                <c:pt idx="44">
                  <c:v>      （8）其他运营费用</c:v>
                </c:pt>
                <c:pt idx="45">
                  <c:v>（二）其他主营业务成本</c:v>
                </c:pt>
                <c:pt idx="46">
                  <c:v>（三）其他业务成本</c:v>
                </c:pt>
                <c:pt idx="47">
                  <c:v>（四）营业税金及附加</c:v>
                </c:pt>
                <c:pt idx="48">
                  <c:v>（五）营业费用</c:v>
                </c:pt>
                <c:pt idx="49">
                  <c:v>（六）管理费用</c:v>
                </c:pt>
                <c:pt idx="50">
                  <c:v>（七）财务费用</c:v>
                </c:pt>
                <c:pt idx="51">
                  <c:v>（八）资产减值损失</c:v>
                </c:pt>
                <c:pt idx="52">
                  <c:v>营业成本调整项</c:v>
                </c:pt>
                <c:pt idx="53">
                  <c:v>      加：公允价值变动收益</c:v>
                </c:pt>
                <c:pt idx="54">
                  <c:v>              投资收益</c:v>
                </c:pt>
                <c:pt idx="55">
                  <c:v>              其他收益</c:v>
                </c:pt>
                <c:pt idx="56">
                  <c:v>三、营业利润</c:v>
                </c:pt>
                <c:pt idx="57">
                  <c:v>     加：营业外收入</c:v>
                </c:pt>
                <c:pt idx="58">
                  <c:v>     减：营业外支出</c:v>
                </c:pt>
              </c:strCache>
            </c:strRef>
          </c:cat>
          <c:val>
            <c:numRef>
              <c:f>损益预算完成情况!$Y$5:$Y$63</c:f>
              <c:numCache>
                <c:formatCode>0%</c:formatCode>
                <c:ptCount val="59"/>
                <c:pt idx="0">
                  <c:v>2.006812933969738</c:v>
                </c:pt>
                <c:pt idx="1">
                  <c:v>1.7653908956514037</c:v>
                </c:pt>
                <c:pt idx="2">
                  <c:v>0.65613249367740201</c:v>
                </c:pt>
                <c:pt idx="3">
                  <c:v>0.4098732438769232</c:v>
                </c:pt>
                <c:pt idx="4">
                  <c:v>0.40987324387692314</c:v>
                </c:pt>
                <c:pt idx="5">
                  <c:v>0</c:v>
                </c:pt>
                <c:pt idx="6">
                  <c:v>0.24625924980047886</c:v>
                </c:pt>
                <c:pt idx="7">
                  <c:v>0.24625924980047886</c:v>
                </c:pt>
                <c:pt idx="8">
                  <c:v>0</c:v>
                </c:pt>
                <c:pt idx="9">
                  <c:v>0.40379946274405237</c:v>
                </c:pt>
                <c:pt idx="10">
                  <c:v>0</c:v>
                </c:pt>
                <c:pt idx="11">
                  <c:v>-2.9140079051524968E-17</c:v>
                </c:pt>
                <c:pt idx="12">
                  <c:v>0.37118520683783784</c:v>
                </c:pt>
                <c:pt idx="13">
                  <c:v>0.50002232385374346</c:v>
                </c:pt>
                <c:pt idx="14">
                  <c:v>7.7370932202385889E-2</c:v>
                </c:pt>
                <c:pt idx="15">
                  <c:v>0</c:v>
                </c:pt>
                <c:pt idx="16">
                  <c:v>0</c:v>
                </c:pt>
                <c:pt idx="17">
                  <c:v>0.16067993908003453</c:v>
                </c:pt>
                <c:pt idx="19">
                  <c:v>0</c:v>
                </c:pt>
                <c:pt idx="20">
                  <c:v>0.24142203831833436</c:v>
                </c:pt>
                <c:pt idx="21">
                  <c:v>0.39090326203940579</c:v>
                </c:pt>
                <c:pt idx="22">
                  <c:v>0.40175330568197615</c:v>
                </c:pt>
                <c:pt idx="23">
                  <c:v>0.37794747170985465</c:v>
                </c:pt>
                <c:pt idx="24">
                  <c:v>0</c:v>
                </c:pt>
                <c:pt idx="25">
                  <c:v>0.37768339069159712</c:v>
                </c:pt>
                <c:pt idx="26">
                  <c:v>0</c:v>
                </c:pt>
                <c:pt idx="27">
                  <c:v>0</c:v>
                </c:pt>
                <c:pt idx="28">
                  <c:v>0</c:v>
                </c:pt>
                <c:pt idx="29">
                  <c:v>0.42283197829554559</c:v>
                </c:pt>
                <c:pt idx="30">
                  <c:v>0.37679573848184628</c:v>
                </c:pt>
                <c:pt idx="31">
                  <c:v>0.41685984980059532</c:v>
                </c:pt>
                <c:pt idx="32">
                  <c:v>0.61806299159701983</c:v>
                </c:pt>
                <c:pt idx="33">
                  <c:v>0.3206035529374141</c:v>
                </c:pt>
                <c:pt idx="34">
                  <c:v>0.33436764958796139</c:v>
                </c:pt>
                <c:pt idx="35">
                  <c:v>0.24679597169743445</c:v>
                </c:pt>
                <c:pt idx="36">
                  <c:v>0.26948652588551492</c:v>
                </c:pt>
                <c:pt idx="37">
                  <c:v>3.487574645902855E-2</c:v>
                </c:pt>
                <c:pt idx="38">
                  <c:v>0</c:v>
                </c:pt>
                <c:pt idx="39">
                  <c:v>0.40289447900355874</c:v>
                </c:pt>
                <c:pt idx="40">
                  <c:v>0.22981166</c:v>
                </c:pt>
                <c:pt idx="41">
                  <c:v>0.85174806866858077</c:v>
                </c:pt>
                <c:pt idx="42">
                  <c:v>0.34862243017177003</c:v>
                </c:pt>
                <c:pt idx="43">
                  <c:v>0.28519679833766232</c:v>
                </c:pt>
                <c:pt idx="44">
                  <c:v>0</c:v>
                </c:pt>
                <c:pt idx="45">
                  <c:v>0</c:v>
                </c:pt>
                <c:pt idx="46">
                  <c:v>0.54198773191904659</c:v>
                </c:pt>
                <c:pt idx="47">
                  <c:v>0.43568119053457577</c:v>
                </c:pt>
                <c:pt idx="48">
                  <c:v>0.38496184449597592</c:v>
                </c:pt>
                <c:pt idx="49">
                  <c:v>0.37952310967656067</c:v>
                </c:pt>
                <c:pt idx="50">
                  <c:v>5.2965929503916445E-2</c:v>
                </c:pt>
                <c:pt idx="51">
                  <c:v>0</c:v>
                </c:pt>
                <c:pt idx="53">
                  <c:v>0</c:v>
                </c:pt>
                <c:pt idx="54">
                  <c:v>0.48145918162947587</c:v>
                </c:pt>
                <c:pt idx="55">
                  <c:v>0.43339642692772734</c:v>
                </c:pt>
                <c:pt idx="56">
                  <c:v>0.41283424095809218</c:v>
                </c:pt>
                <c:pt idx="57">
                  <c:v>0.27258515234474023</c:v>
                </c:pt>
                <c:pt idx="58">
                  <c:v>6.0024593542773133E-2</c:v>
                </c:pt>
              </c:numCache>
            </c:numRef>
          </c:val>
          <c:extLst>
            <c:ext xmlns:c16="http://schemas.microsoft.com/office/drawing/2014/chart" uri="{C3380CC4-5D6E-409C-BE32-E72D297353CC}">
              <c16:uniqueId val="{00000000-C514-4E8A-852C-189D8711EDDD}"/>
            </c:ext>
          </c:extLst>
        </c:ser>
        <c:ser>
          <c:idx val="1"/>
          <c:order val="1"/>
          <c:tx>
            <c:strRef>
              <c:f>损益预算完成情况!$Z$2</c:f>
              <c:strCache>
                <c:ptCount val="1"/>
                <c:pt idx="0">
                  <c:v>未完成</c:v>
                </c:pt>
              </c:strCache>
            </c:strRef>
          </c:tx>
          <c:spPr>
            <a:solidFill>
              <a:schemeClr val="accent2"/>
            </a:solidFill>
            <a:ln>
              <a:noFill/>
            </a:ln>
            <a:effectLst/>
          </c:spPr>
          <c:invertIfNegative val="0"/>
          <c:cat>
            <c:strRef>
              <c:f>损益预算完成情况!$D$5:$D$63</c:f>
              <c:strCache>
                <c:ptCount val="59"/>
                <c:pt idx="0">
                  <c:v>一、营业收入</c:v>
                </c:pt>
                <c:pt idx="1">
                  <c:v>（一）电力产品主营业务收入</c:v>
                </c:pt>
                <c:pt idx="2">
                  <c:v>    1、售电收入</c:v>
                </c:pt>
                <c:pt idx="3">
                  <c:v>      （1）省内售电收入</c:v>
                </c:pt>
                <c:pt idx="4">
                  <c:v>             售电量（千千瓦时）</c:v>
                </c:pt>
                <c:pt idx="5">
                  <c:v>             售电单价（元/千千瓦时）</c:v>
                </c:pt>
                <c:pt idx="6">
                  <c:v>      （2）网间售电收入</c:v>
                </c:pt>
                <c:pt idx="7">
                  <c:v>             售电量（亿千瓦时）</c:v>
                </c:pt>
                <c:pt idx="8">
                  <c:v>             售电单价（元/千千瓦时）</c:v>
                </c:pt>
                <c:pt idx="9">
                  <c:v>       售电量合计（亿千瓦时）</c:v>
                </c:pt>
                <c:pt idx="10">
                  <c:v>       售电单价（元/千千瓦时）</c:v>
                </c:pt>
                <c:pt idx="11">
                  <c:v>    2、输电收入</c:v>
                </c:pt>
                <c:pt idx="12">
                  <c:v>    3、高可靠性供电收入</c:v>
                </c:pt>
                <c:pt idx="13">
                  <c:v>    4、自备电厂系统备用费收入</c:v>
                </c:pt>
                <c:pt idx="14">
                  <c:v>    5、受托运行维护收入</c:v>
                </c:pt>
                <c:pt idx="15">
                  <c:v>    6、临时接电收入</c:v>
                </c:pt>
                <c:pt idx="16">
                  <c:v>    7、可再生能源电价附加</c:v>
                </c:pt>
                <c:pt idx="17">
                  <c:v>    8、其他</c:v>
                </c:pt>
                <c:pt idx="18">
                  <c:v>售电收入调整项</c:v>
                </c:pt>
                <c:pt idx="19">
                  <c:v>（二）其他主营业务收入</c:v>
                </c:pt>
                <c:pt idx="20">
                  <c:v>（三）其他业务收入</c:v>
                </c:pt>
                <c:pt idx="21">
                  <c:v>二、营业总成本</c:v>
                </c:pt>
                <c:pt idx="22">
                  <c:v>（一）电力产品主营业务成本</c:v>
                </c:pt>
                <c:pt idx="23">
                  <c:v>    1、购电成本</c:v>
                </c:pt>
                <c:pt idx="24">
                  <c:v>         供电量（亿千瓦时）</c:v>
                </c:pt>
                <c:pt idx="25">
                  <c:v>         购电量（亿千瓦时）</c:v>
                </c:pt>
                <c:pt idx="26">
                  <c:v>         购电单价（元/千千瓦时）</c:v>
                </c:pt>
                <c:pt idx="27">
                  <c:v>         线损率（发展部口径）</c:v>
                </c:pt>
                <c:pt idx="28">
                  <c:v>         线损率（财务部口径）</c:v>
                </c:pt>
                <c:pt idx="29">
                  <c:v>    2、输配电成本</c:v>
                </c:pt>
                <c:pt idx="30">
                  <c:v>      （1）输电费</c:v>
                </c:pt>
                <c:pt idx="31">
                  <c:v>      （2）折旧</c:v>
                </c:pt>
                <c:pt idx="32">
                  <c:v>      （3）工资总额</c:v>
                </c:pt>
                <c:pt idx="33">
                  <c:v>      （4）委托运行维护费</c:v>
                </c:pt>
                <c:pt idx="34">
                  <c:v>      （5）材料费及修理费</c:v>
                </c:pt>
                <c:pt idx="35">
                  <c:v>      （6）其他运营费用</c:v>
                </c:pt>
                <c:pt idx="36">
                  <c:v>    3、发电成本</c:v>
                </c:pt>
                <c:pt idx="37">
                  <c:v>      （1）燃料费</c:v>
                </c:pt>
                <c:pt idx="38">
                  <c:v>      （2）购入电力费</c:v>
                </c:pt>
                <c:pt idx="39">
                  <c:v>      （3）折旧费</c:v>
                </c:pt>
                <c:pt idx="40">
                  <c:v>      （4）水费</c:v>
                </c:pt>
                <c:pt idx="41">
                  <c:v>      （5）工资总额</c:v>
                </c:pt>
                <c:pt idx="42">
                  <c:v>      （6）委托运行维护费</c:v>
                </c:pt>
                <c:pt idx="43">
                  <c:v>      （7）材料费及修理费</c:v>
                </c:pt>
                <c:pt idx="44">
                  <c:v>      （8）其他运营费用</c:v>
                </c:pt>
                <c:pt idx="45">
                  <c:v>（二）其他主营业务成本</c:v>
                </c:pt>
                <c:pt idx="46">
                  <c:v>（三）其他业务成本</c:v>
                </c:pt>
                <c:pt idx="47">
                  <c:v>（四）营业税金及附加</c:v>
                </c:pt>
                <c:pt idx="48">
                  <c:v>（五）营业费用</c:v>
                </c:pt>
                <c:pt idx="49">
                  <c:v>（六）管理费用</c:v>
                </c:pt>
                <c:pt idx="50">
                  <c:v>（七）财务费用</c:v>
                </c:pt>
                <c:pt idx="51">
                  <c:v>（八）资产减值损失</c:v>
                </c:pt>
                <c:pt idx="52">
                  <c:v>营业成本调整项</c:v>
                </c:pt>
                <c:pt idx="53">
                  <c:v>      加：公允价值变动收益</c:v>
                </c:pt>
                <c:pt idx="54">
                  <c:v>              投资收益</c:v>
                </c:pt>
                <c:pt idx="55">
                  <c:v>              其他收益</c:v>
                </c:pt>
                <c:pt idx="56">
                  <c:v>三、营业利润</c:v>
                </c:pt>
                <c:pt idx="57">
                  <c:v>     加：营业外收入</c:v>
                </c:pt>
                <c:pt idx="58">
                  <c:v>     减：营业外支出</c:v>
                </c:pt>
              </c:strCache>
            </c:strRef>
          </c:cat>
          <c:val>
            <c:numRef>
              <c:f>损益预算完成情况!$Z$5:$Z$63</c:f>
              <c:numCache>
                <c:formatCode>0%</c:formatCode>
                <c:ptCount val="59"/>
                <c:pt idx="0">
                  <c:v>-1.006812933969738</c:v>
                </c:pt>
                <c:pt idx="1">
                  <c:v>-0.76539089565140372</c:v>
                </c:pt>
                <c:pt idx="2">
                  <c:v>0.34386750632259799</c:v>
                </c:pt>
                <c:pt idx="3">
                  <c:v>0.59012675612307675</c:v>
                </c:pt>
                <c:pt idx="4">
                  <c:v>0.59012675612307686</c:v>
                </c:pt>
                <c:pt idx="5">
                  <c:v>1</c:v>
                </c:pt>
                <c:pt idx="6">
                  <c:v>0.75374075019952114</c:v>
                </c:pt>
                <c:pt idx="7">
                  <c:v>0.75374075019952114</c:v>
                </c:pt>
                <c:pt idx="8">
                  <c:v>1</c:v>
                </c:pt>
                <c:pt idx="9">
                  <c:v>0.59620053725594757</c:v>
                </c:pt>
                <c:pt idx="10">
                  <c:v>1</c:v>
                </c:pt>
                <c:pt idx="11">
                  <c:v>1</c:v>
                </c:pt>
                <c:pt idx="12">
                  <c:v>0.62881479316216216</c:v>
                </c:pt>
                <c:pt idx="13">
                  <c:v>0.49997767614625654</c:v>
                </c:pt>
                <c:pt idx="14">
                  <c:v>0.92262906779761411</c:v>
                </c:pt>
                <c:pt idx="15">
                  <c:v>1</c:v>
                </c:pt>
                <c:pt idx="16">
                  <c:v>1</c:v>
                </c:pt>
                <c:pt idx="17">
                  <c:v>0.83932006091996547</c:v>
                </c:pt>
                <c:pt idx="19">
                  <c:v>1</c:v>
                </c:pt>
                <c:pt idx="20">
                  <c:v>0.75857796168166569</c:v>
                </c:pt>
                <c:pt idx="21">
                  <c:v>0.60909673796059427</c:v>
                </c:pt>
                <c:pt idx="22">
                  <c:v>0.5982466943180238</c:v>
                </c:pt>
                <c:pt idx="23">
                  <c:v>0.62205252829014535</c:v>
                </c:pt>
                <c:pt idx="24">
                  <c:v>1</c:v>
                </c:pt>
                <c:pt idx="25">
                  <c:v>0.62231660930840293</c:v>
                </c:pt>
                <c:pt idx="26">
                  <c:v>1</c:v>
                </c:pt>
                <c:pt idx="27">
                  <c:v>1</c:v>
                </c:pt>
                <c:pt idx="28">
                  <c:v>1</c:v>
                </c:pt>
                <c:pt idx="29">
                  <c:v>0.57716802170445436</c:v>
                </c:pt>
                <c:pt idx="30">
                  <c:v>0.62320426151815367</c:v>
                </c:pt>
                <c:pt idx="31">
                  <c:v>0.58314015019940468</c:v>
                </c:pt>
                <c:pt idx="32">
                  <c:v>0.38193700840298017</c:v>
                </c:pt>
                <c:pt idx="33">
                  <c:v>0.67939644706258595</c:v>
                </c:pt>
                <c:pt idx="34">
                  <c:v>0.66563235041203861</c:v>
                </c:pt>
                <c:pt idx="35">
                  <c:v>0.75320402830256561</c:v>
                </c:pt>
                <c:pt idx="36">
                  <c:v>0.73051347411448508</c:v>
                </c:pt>
                <c:pt idx="37">
                  <c:v>0.96512425354097142</c:v>
                </c:pt>
                <c:pt idx="38">
                  <c:v>1</c:v>
                </c:pt>
                <c:pt idx="39">
                  <c:v>0.59710552099644132</c:v>
                </c:pt>
                <c:pt idx="40">
                  <c:v>0.77018834000000003</c:v>
                </c:pt>
                <c:pt idx="41">
                  <c:v>0.14825193133141923</c:v>
                </c:pt>
                <c:pt idx="42">
                  <c:v>0.65137756982823003</c:v>
                </c:pt>
                <c:pt idx="43">
                  <c:v>0.71480320166233768</c:v>
                </c:pt>
                <c:pt idx="44">
                  <c:v>1</c:v>
                </c:pt>
                <c:pt idx="45">
                  <c:v>1</c:v>
                </c:pt>
                <c:pt idx="46">
                  <c:v>0.45801226808095341</c:v>
                </c:pt>
                <c:pt idx="47">
                  <c:v>0.56431880946542423</c:v>
                </c:pt>
                <c:pt idx="48">
                  <c:v>0.61503815550402408</c:v>
                </c:pt>
                <c:pt idx="49">
                  <c:v>0.62047689032343933</c:v>
                </c:pt>
                <c:pt idx="50">
                  <c:v>0.94703407049608357</c:v>
                </c:pt>
                <c:pt idx="51">
                  <c:v>1</c:v>
                </c:pt>
                <c:pt idx="53">
                  <c:v>1</c:v>
                </c:pt>
                <c:pt idx="54">
                  <c:v>0.51854081837052413</c:v>
                </c:pt>
                <c:pt idx="55">
                  <c:v>0.56660357307227271</c:v>
                </c:pt>
                <c:pt idx="56">
                  <c:v>0.58716575904190782</c:v>
                </c:pt>
                <c:pt idx="57">
                  <c:v>0.72741484765525977</c:v>
                </c:pt>
                <c:pt idx="58">
                  <c:v>0.93997540645722688</c:v>
                </c:pt>
              </c:numCache>
            </c:numRef>
          </c:val>
          <c:extLst>
            <c:ext xmlns:c16="http://schemas.microsoft.com/office/drawing/2014/chart" uri="{C3380CC4-5D6E-409C-BE32-E72D297353CC}">
              <c16:uniqueId val="{00000001-C514-4E8A-852C-189D8711EDDD}"/>
            </c:ext>
          </c:extLst>
        </c:ser>
        <c:dLbls>
          <c:showLegendKey val="0"/>
          <c:showVal val="0"/>
          <c:showCatName val="0"/>
          <c:showSerName val="0"/>
          <c:showPercent val="0"/>
          <c:showBubbleSize val="0"/>
        </c:dLbls>
        <c:gapWidth val="150"/>
        <c:overlap val="100"/>
        <c:axId val="310285312"/>
        <c:axId val="306209544"/>
      </c:barChart>
      <c:catAx>
        <c:axId val="3102853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06209544"/>
        <c:crosses val="autoZero"/>
        <c:auto val="1"/>
        <c:lblAlgn val="ctr"/>
        <c:lblOffset val="100"/>
        <c:noMultiLvlLbl val="0"/>
      </c:catAx>
      <c:valAx>
        <c:axId val="30620954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10285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0"/>
          <c:order val="0"/>
          <c:tx>
            <c:strRef>
              <c:f>购售电分析!$B$11</c:f>
              <c:strCache>
                <c:ptCount val="1"/>
                <c:pt idx="0">
                  <c:v>2018年</c:v>
                </c:pt>
              </c:strCache>
            </c:strRef>
          </c:tx>
          <c:spPr>
            <a:solidFill>
              <a:schemeClr val="accent1"/>
            </a:solidFill>
            <a:ln>
              <a:noFill/>
            </a:ln>
            <a:effectLst/>
          </c:spPr>
          <c:invertIfNegative val="0"/>
          <c:cat>
            <c:strRef>
              <c:f>购售电分析!$C$10:$F$10</c:f>
              <c:strCache>
                <c:ptCount val="4"/>
                <c:pt idx="0">
                  <c:v>第一季度</c:v>
                </c:pt>
                <c:pt idx="1">
                  <c:v>第二季度</c:v>
                </c:pt>
                <c:pt idx="2">
                  <c:v>第三季度</c:v>
                </c:pt>
                <c:pt idx="3">
                  <c:v>第四季度</c:v>
                </c:pt>
              </c:strCache>
            </c:strRef>
          </c:cat>
          <c:val>
            <c:numRef>
              <c:f>购售电分析!$C$11:$F$11</c:f>
              <c:numCache>
                <c:formatCode>_(* #,##0.00_);_(* \(#,##0.00\);_(* "-"??_);_(@_)</c:formatCode>
                <c:ptCount val="4"/>
                <c:pt idx="0">
                  <c:v>217.24701326410897</c:v>
                </c:pt>
                <c:pt idx="1">
                  <c:v>123.65276643933204</c:v>
                </c:pt>
                <c:pt idx="2">
                  <c:v>0</c:v>
                </c:pt>
                <c:pt idx="3">
                  <c:v>0</c:v>
                </c:pt>
              </c:numCache>
            </c:numRef>
          </c:val>
          <c:extLst>
            <c:ext xmlns:c16="http://schemas.microsoft.com/office/drawing/2014/chart" uri="{C3380CC4-5D6E-409C-BE32-E72D297353CC}">
              <c16:uniqueId val="{00000000-12CB-42C7-B7EB-361A6DF9F132}"/>
            </c:ext>
          </c:extLst>
        </c:ser>
        <c:ser>
          <c:idx val="1"/>
          <c:order val="1"/>
          <c:tx>
            <c:strRef>
              <c:f>购售电分析!$B$12</c:f>
              <c:strCache>
                <c:ptCount val="1"/>
                <c:pt idx="0">
                  <c:v>2017年</c:v>
                </c:pt>
              </c:strCache>
            </c:strRef>
          </c:tx>
          <c:spPr>
            <a:solidFill>
              <a:schemeClr val="accent2"/>
            </a:solidFill>
            <a:ln>
              <a:noFill/>
            </a:ln>
            <a:effectLst/>
          </c:spPr>
          <c:invertIfNegative val="0"/>
          <c:cat>
            <c:strRef>
              <c:f>购售电分析!$C$10:$F$10</c:f>
              <c:strCache>
                <c:ptCount val="4"/>
                <c:pt idx="0">
                  <c:v>第一季度</c:v>
                </c:pt>
                <c:pt idx="1">
                  <c:v>第二季度</c:v>
                </c:pt>
                <c:pt idx="2">
                  <c:v>第三季度</c:v>
                </c:pt>
                <c:pt idx="3">
                  <c:v>第四季度</c:v>
                </c:pt>
              </c:strCache>
            </c:strRef>
          </c:cat>
          <c:val>
            <c:numRef>
              <c:f>购售电分析!$C$12:$F$12</c:f>
              <c:numCache>
                <c:formatCode>_(* #,##0.00_);_(* \(#,##0.00\);_(* "-"??_);_(@_)</c:formatCode>
                <c:ptCount val="4"/>
                <c:pt idx="0">
                  <c:v>190.76574466426013</c:v>
                </c:pt>
                <c:pt idx="1">
                  <c:v>176.49673240999837</c:v>
                </c:pt>
                <c:pt idx="2">
                  <c:v>246.37758422854512</c:v>
                </c:pt>
                <c:pt idx="3">
                  <c:v>187.20655398419359</c:v>
                </c:pt>
              </c:numCache>
            </c:numRef>
          </c:val>
          <c:extLst>
            <c:ext xmlns:c16="http://schemas.microsoft.com/office/drawing/2014/chart" uri="{C3380CC4-5D6E-409C-BE32-E72D297353CC}">
              <c16:uniqueId val="{00000001-12CB-42C7-B7EB-361A6DF9F132}"/>
            </c:ext>
          </c:extLst>
        </c:ser>
        <c:dLbls>
          <c:showLegendKey val="0"/>
          <c:showVal val="0"/>
          <c:showCatName val="0"/>
          <c:showSerName val="0"/>
          <c:showPercent val="0"/>
          <c:showBubbleSize val="0"/>
        </c:dLbls>
        <c:gapWidth val="219"/>
        <c:overlap val="-27"/>
        <c:axId val="310050360"/>
        <c:axId val="310955344"/>
      </c:barChart>
      <c:lineChart>
        <c:grouping val="standard"/>
        <c:varyColors val="0"/>
        <c:ser>
          <c:idx val="2"/>
          <c:order val="2"/>
          <c:tx>
            <c:strRef>
              <c:f>购售电分析!$B$14</c:f>
              <c:strCache>
                <c:ptCount val="1"/>
                <c:pt idx="0">
                  <c:v>2018年同比增长率</c:v>
                </c:pt>
              </c:strCache>
            </c:strRef>
          </c:tx>
          <c:spPr>
            <a:ln w="28575" cap="rnd">
              <a:solidFill>
                <a:schemeClr val="accent3"/>
              </a:solidFill>
              <a:round/>
            </a:ln>
            <a:effectLst/>
          </c:spPr>
          <c:marker>
            <c:symbol val="none"/>
          </c:marker>
          <c:cat>
            <c:strRef>
              <c:f>购售电分析!$C$10:$F$10</c:f>
              <c:strCache>
                <c:ptCount val="4"/>
                <c:pt idx="0">
                  <c:v>第一季度</c:v>
                </c:pt>
                <c:pt idx="1">
                  <c:v>第二季度</c:v>
                </c:pt>
                <c:pt idx="2">
                  <c:v>第三季度</c:v>
                </c:pt>
                <c:pt idx="3">
                  <c:v>第四季度</c:v>
                </c:pt>
              </c:strCache>
            </c:strRef>
          </c:cat>
          <c:val>
            <c:numRef>
              <c:f>购售电分析!$C$14:$F$14</c:f>
              <c:numCache>
                <c:formatCode>0%</c:formatCode>
                <c:ptCount val="4"/>
                <c:pt idx="0">
                  <c:v>0.13881563823974163</c:v>
                </c:pt>
                <c:pt idx="1">
                  <c:v>-0.29940478358494971</c:v>
                </c:pt>
                <c:pt idx="2">
                  <c:v>-1</c:v>
                </c:pt>
                <c:pt idx="3">
                  <c:v>-1</c:v>
                </c:pt>
              </c:numCache>
            </c:numRef>
          </c:val>
          <c:smooth val="0"/>
          <c:extLst>
            <c:ext xmlns:c16="http://schemas.microsoft.com/office/drawing/2014/chart" uri="{C3380CC4-5D6E-409C-BE32-E72D297353CC}">
              <c16:uniqueId val="{00000002-12CB-42C7-B7EB-361A6DF9F132}"/>
            </c:ext>
          </c:extLst>
        </c:ser>
        <c:dLbls>
          <c:showLegendKey val="0"/>
          <c:showVal val="0"/>
          <c:showCatName val="0"/>
          <c:showSerName val="0"/>
          <c:showPercent val="0"/>
          <c:showBubbleSize val="0"/>
        </c:dLbls>
        <c:marker val="1"/>
        <c:smooth val="0"/>
        <c:axId val="310956128"/>
        <c:axId val="310955736"/>
      </c:lineChart>
      <c:catAx>
        <c:axId val="310050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10955344"/>
        <c:crosses val="autoZero"/>
        <c:auto val="1"/>
        <c:lblAlgn val="ctr"/>
        <c:lblOffset val="100"/>
        <c:noMultiLvlLbl val="0"/>
      </c:catAx>
      <c:valAx>
        <c:axId val="310955344"/>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10050360"/>
        <c:crosses val="autoZero"/>
        <c:crossBetween val="between"/>
      </c:valAx>
      <c:valAx>
        <c:axId val="31095573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10956128"/>
        <c:crosses val="max"/>
        <c:crossBetween val="between"/>
      </c:valAx>
      <c:catAx>
        <c:axId val="310956128"/>
        <c:scaling>
          <c:orientation val="minMax"/>
        </c:scaling>
        <c:delete val="1"/>
        <c:axPos val="b"/>
        <c:numFmt formatCode="General" sourceLinked="1"/>
        <c:majorTickMark val="out"/>
        <c:minorTickMark val="none"/>
        <c:tickLblPos val="nextTo"/>
        <c:crossAx val="31095573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省内售电量增长情况</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spPr>
            <a:ln w="28575" cap="rnd">
              <a:solidFill>
                <a:schemeClr val="accent1"/>
              </a:solidFill>
              <a:round/>
            </a:ln>
            <a:effectLst/>
          </c:spPr>
          <c:marker>
            <c:symbol val="none"/>
          </c:marker>
          <c:cat>
            <c:multiLvlStrRef>
              <c:f>购售电分析图表!$B$2:$I$3</c:f>
              <c:multiLvlStrCache>
                <c:ptCount val="8"/>
                <c:lvl>
                  <c:pt idx="0">
                    <c:v>第一季度</c:v>
                  </c:pt>
                  <c:pt idx="1">
                    <c:v>第二季度</c:v>
                  </c:pt>
                  <c:pt idx="2">
                    <c:v>第三季度</c:v>
                  </c:pt>
                  <c:pt idx="3">
                    <c:v>第四季度</c:v>
                  </c:pt>
                  <c:pt idx="4">
                    <c:v>第一季度</c:v>
                  </c:pt>
                  <c:pt idx="5">
                    <c:v>第二季度</c:v>
                  </c:pt>
                  <c:pt idx="6">
                    <c:v>第三季度</c:v>
                  </c:pt>
                  <c:pt idx="7">
                    <c:v>第四季度</c:v>
                  </c:pt>
                </c:lvl>
                <c:lvl>
                  <c:pt idx="0">
                    <c:v>2017年</c:v>
                  </c:pt>
                  <c:pt idx="4">
                    <c:v>2018年</c:v>
                  </c:pt>
                </c:lvl>
              </c:multiLvlStrCache>
            </c:multiLvlStrRef>
          </c:cat>
          <c:val>
            <c:numRef>
              <c:f>购售电分析图表!$B$4:$I$4</c:f>
              <c:numCache>
                <c:formatCode>0.0%</c:formatCode>
                <c:ptCount val="8"/>
                <c:pt idx="0">
                  <c:v>4.7887937544670578E-3</c:v>
                </c:pt>
                <c:pt idx="1">
                  <c:v>6.5450527617705312E-4</c:v>
                </c:pt>
                <c:pt idx="2">
                  <c:v>7.5043629520887389E-2</c:v>
                </c:pt>
                <c:pt idx="3">
                  <c:v>3.1143085702499462E-2</c:v>
                </c:pt>
                <c:pt idx="4" formatCode="0%">
                  <c:v>0.11671543413656282</c:v>
                </c:pt>
                <c:pt idx="5" formatCode="0%">
                  <c:v>-0.31300074833690517</c:v>
                </c:pt>
                <c:pt idx="6" formatCode="0%">
                  <c:v>-1</c:v>
                </c:pt>
                <c:pt idx="7" formatCode="0%">
                  <c:v>-1</c:v>
                </c:pt>
              </c:numCache>
            </c:numRef>
          </c:val>
          <c:smooth val="0"/>
          <c:extLst>
            <c:ext xmlns:c16="http://schemas.microsoft.com/office/drawing/2014/chart" uri="{C3380CC4-5D6E-409C-BE32-E72D297353CC}">
              <c16:uniqueId val="{00000000-610A-4884-A111-D264C30385BE}"/>
            </c:ext>
          </c:extLst>
        </c:ser>
        <c:dLbls>
          <c:showLegendKey val="0"/>
          <c:showVal val="0"/>
          <c:showCatName val="0"/>
          <c:showSerName val="0"/>
          <c:showPercent val="0"/>
          <c:showBubbleSize val="0"/>
        </c:dLbls>
        <c:smooth val="0"/>
        <c:axId val="309028784"/>
        <c:axId val="309029176"/>
      </c:lineChart>
      <c:catAx>
        <c:axId val="309028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09029176"/>
        <c:crosses val="autoZero"/>
        <c:auto val="1"/>
        <c:lblAlgn val="ctr"/>
        <c:lblOffset val="100"/>
        <c:noMultiLvlLbl val="0"/>
      </c:catAx>
      <c:valAx>
        <c:axId val="30902917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090287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大工业售电量增长情况</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spPr>
            <a:ln w="28575" cap="rnd">
              <a:solidFill>
                <a:schemeClr val="accent1"/>
              </a:solidFill>
              <a:round/>
            </a:ln>
            <a:effectLst/>
          </c:spPr>
          <c:marker>
            <c:symbol val="none"/>
          </c:marker>
          <c:cat>
            <c:multiLvlStrRef>
              <c:f>购售电分析图表!$B$6:$I$7</c:f>
              <c:multiLvlStrCache>
                <c:ptCount val="8"/>
                <c:lvl>
                  <c:pt idx="0">
                    <c:v>第一季度</c:v>
                  </c:pt>
                  <c:pt idx="1">
                    <c:v>第二季度</c:v>
                  </c:pt>
                  <c:pt idx="2">
                    <c:v>第三季度</c:v>
                  </c:pt>
                  <c:pt idx="3">
                    <c:v>第四季度</c:v>
                  </c:pt>
                  <c:pt idx="4">
                    <c:v>第一季度</c:v>
                  </c:pt>
                  <c:pt idx="5">
                    <c:v>第二季度</c:v>
                  </c:pt>
                  <c:pt idx="6">
                    <c:v>第三季度</c:v>
                  </c:pt>
                  <c:pt idx="7">
                    <c:v>第四季度</c:v>
                  </c:pt>
                </c:lvl>
                <c:lvl>
                  <c:pt idx="0">
                    <c:v>2017年</c:v>
                  </c:pt>
                  <c:pt idx="4">
                    <c:v>2018年</c:v>
                  </c:pt>
                </c:lvl>
              </c:multiLvlStrCache>
            </c:multiLvlStrRef>
          </c:cat>
          <c:val>
            <c:numRef>
              <c:f>购售电分析图表!$B$8:$I$8</c:f>
              <c:numCache>
                <c:formatCode>0%</c:formatCode>
                <c:ptCount val="8"/>
                <c:pt idx="0">
                  <c:v>-7.6155906037119747E-3</c:v>
                </c:pt>
                <c:pt idx="1">
                  <c:v>-4.7248058853605945E-2</c:v>
                </c:pt>
                <c:pt idx="2">
                  <c:v>4.2983347491152069E-2</c:v>
                </c:pt>
                <c:pt idx="3">
                  <c:v>2.4674135483844228E-2</c:v>
                </c:pt>
                <c:pt idx="4">
                  <c:v>1.7598526921220103E-2</c:v>
                </c:pt>
                <c:pt idx="5">
                  <c:v>-0.65437970444335747</c:v>
                </c:pt>
                <c:pt idx="6">
                  <c:v>-1.0429833474911521</c:v>
                </c:pt>
                <c:pt idx="7">
                  <c:v>-1.0246741354838442</c:v>
                </c:pt>
              </c:numCache>
            </c:numRef>
          </c:val>
          <c:smooth val="0"/>
          <c:extLst>
            <c:ext xmlns:c16="http://schemas.microsoft.com/office/drawing/2014/chart" uri="{C3380CC4-5D6E-409C-BE32-E72D297353CC}">
              <c16:uniqueId val="{00000000-CCE2-4057-85EA-DD1E37641656}"/>
            </c:ext>
          </c:extLst>
        </c:ser>
        <c:dLbls>
          <c:showLegendKey val="0"/>
          <c:showVal val="0"/>
          <c:showCatName val="0"/>
          <c:showSerName val="0"/>
          <c:showPercent val="0"/>
          <c:showBubbleSize val="0"/>
        </c:dLbls>
        <c:smooth val="0"/>
        <c:axId val="309028392"/>
        <c:axId val="309028000"/>
      </c:lineChart>
      <c:catAx>
        <c:axId val="309028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09028000"/>
        <c:crosses val="autoZero"/>
        <c:auto val="1"/>
        <c:lblAlgn val="ctr"/>
        <c:lblOffset val="100"/>
        <c:noMultiLvlLbl val="0"/>
      </c:catAx>
      <c:valAx>
        <c:axId val="30902800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090283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分类售电量增长情况</a:t>
            </a:r>
            <a:endParaRPr lang="en-US" altLang="zh-C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0"/>
          <c:order val="0"/>
          <c:tx>
            <c:strRef>
              <c:f>购售电分析图表!$C$10</c:f>
              <c:strCache>
                <c:ptCount val="1"/>
                <c:pt idx="0">
                  <c:v>2018年第一季度</c:v>
                </c:pt>
              </c:strCache>
            </c:strRef>
          </c:tx>
          <c:spPr>
            <a:solidFill>
              <a:schemeClr val="accent1"/>
            </a:solidFill>
            <a:ln>
              <a:noFill/>
            </a:ln>
            <a:effectLst/>
          </c:spPr>
          <c:invertIfNegative val="0"/>
          <c:cat>
            <c:strRef>
              <c:f>购售电分析图表!$B$11:$B$18</c:f>
              <c:strCache>
                <c:ptCount val="8"/>
                <c:pt idx="0">
                  <c:v>大工业用电</c:v>
                </c:pt>
                <c:pt idx="1">
                  <c:v>非工业、普通工业用电</c:v>
                </c:pt>
                <c:pt idx="2">
                  <c:v>居民生活用电</c:v>
                </c:pt>
                <c:pt idx="3">
                  <c:v>非居民照明用电</c:v>
                </c:pt>
                <c:pt idx="4">
                  <c:v>商业用电</c:v>
                </c:pt>
                <c:pt idx="5">
                  <c:v>农业生产用电</c:v>
                </c:pt>
                <c:pt idx="6">
                  <c:v>跨区（省）送电</c:v>
                </c:pt>
                <c:pt idx="7">
                  <c:v>合计</c:v>
                </c:pt>
              </c:strCache>
            </c:strRef>
          </c:cat>
          <c:val>
            <c:numRef>
              <c:f>购售电分析图表!$C$11:$C$18</c:f>
              <c:numCache>
                <c:formatCode>_(* #,##0.00_);_(* \(#,##0.00\);_(* "-"??_);_(@_)</c:formatCode>
                <c:ptCount val="8"/>
                <c:pt idx="0">
                  <c:v>132.40202281999998</c:v>
                </c:pt>
                <c:pt idx="1">
                  <c:v>22.173080120000002</c:v>
                </c:pt>
                <c:pt idx="2">
                  <c:v>87.742926710000006</c:v>
                </c:pt>
                <c:pt idx="3">
                  <c:v>5.5910362899999999</c:v>
                </c:pt>
                <c:pt idx="4">
                  <c:v>80.29776708</c:v>
                </c:pt>
                <c:pt idx="5">
                  <c:v>1.50380884</c:v>
                </c:pt>
                <c:pt idx="6">
                  <c:v>9.8520870000000009</c:v>
                </c:pt>
                <c:pt idx="7">
                  <c:v>339.56272885999999</c:v>
                </c:pt>
              </c:numCache>
            </c:numRef>
          </c:val>
          <c:extLst>
            <c:ext xmlns:c16="http://schemas.microsoft.com/office/drawing/2014/chart" uri="{C3380CC4-5D6E-409C-BE32-E72D297353CC}">
              <c16:uniqueId val="{00000000-7842-495C-80C0-340C2189CFCD}"/>
            </c:ext>
          </c:extLst>
        </c:ser>
        <c:ser>
          <c:idx val="1"/>
          <c:order val="1"/>
          <c:tx>
            <c:strRef>
              <c:f>购售电分析图表!$D$10</c:f>
              <c:strCache>
                <c:ptCount val="1"/>
                <c:pt idx="0">
                  <c:v>2017年第一季度</c:v>
                </c:pt>
              </c:strCache>
            </c:strRef>
          </c:tx>
          <c:spPr>
            <a:solidFill>
              <a:schemeClr val="accent2"/>
            </a:solidFill>
            <a:ln>
              <a:noFill/>
            </a:ln>
            <a:effectLst/>
          </c:spPr>
          <c:invertIfNegative val="0"/>
          <c:cat>
            <c:strRef>
              <c:f>购售电分析图表!$B$11:$B$18</c:f>
              <c:strCache>
                <c:ptCount val="8"/>
                <c:pt idx="0">
                  <c:v>大工业用电</c:v>
                </c:pt>
                <c:pt idx="1">
                  <c:v>非工业、普通工业用电</c:v>
                </c:pt>
                <c:pt idx="2">
                  <c:v>居民生活用电</c:v>
                </c:pt>
                <c:pt idx="3">
                  <c:v>非居民照明用电</c:v>
                </c:pt>
                <c:pt idx="4">
                  <c:v>商业用电</c:v>
                </c:pt>
                <c:pt idx="5">
                  <c:v>农业生产用电</c:v>
                </c:pt>
                <c:pt idx="6">
                  <c:v>跨区（省）送电</c:v>
                </c:pt>
                <c:pt idx="7">
                  <c:v>合计</c:v>
                </c:pt>
              </c:strCache>
            </c:strRef>
          </c:cat>
          <c:val>
            <c:numRef>
              <c:f>购售电分析图表!$D$11:$D$18</c:f>
              <c:numCache>
                <c:formatCode>_(* #,##0.00_);_(* \(#,##0.00\);_(* "-"??_);_(@_)</c:formatCode>
                <c:ptCount val="8"/>
                <c:pt idx="0">
                  <c:v>131.09332649000001</c:v>
                </c:pt>
                <c:pt idx="1">
                  <c:v>21.618348279999999</c:v>
                </c:pt>
                <c:pt idx="2">
                  <c:v>70.272404640000005</c:v>
                </c:pt>
                <c:pt idx="3">
                  <c:v>5.3225878900000003</c:v>
                </c:pt>
                <c:pt idx="4">
                  <c:v>74.31022621000001</c:v>
                </c:pt>
                <c:pt idx="5">
                  <c:v>1.45585276</c:v>
                </c:pt>
                <c:pt idx="6">
                  <c:v>6.9709359000000006</c:v>
                </c:pt>
                <c:pt idx="7">
                  <c:v>311.04368217000001</c:v>
                </c:pt>
              </c:numCache>
            </c:numRef>
          </c:val>
          <c:extLst>
            <c:ext xmlns:c16="http://schemas.microsoft.com/office/drawing/2014/chart" uri="{C3380CC4-5D6E-409C-BE32-E72D297353CC}">
              <c16:uniqueId val="{00000001-7842-495C-80C0-340C2189CFCD}"/>
            </c:ext>
          </c:extLst>
        </c:ser>
        <c:dLbls>
          <c:showLegendKey val="0"/>
          <c:showVal val="0"/>
          <c:showCatName val="0"/>
          <c:showSerName val="0"/>
          <c:showPercent val="0"/>
          <c:showBubbleSize val="0"/>
        </c:dLbls>
        <c:gapWidth val="219"/>
        <c:overlap val="-27"/>
        <c:axId val="309029960"/>
        <c:axId val="309030352"/>
      </c:barChart>
      <c:catAx>
        <c:axId val="309029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09030352"/>
        <c:crosses val="autoZero"/>
        <c:auto val="1"/>
        <c:lblAlgn val="ctr"/>
        <c:lblOffset val="100"/>
        <c:noMultiLvlLbl val="0"/>
      </c:catAx>
      <c:valAx>
        <c:axId val="309030352"/>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09029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分类售电量增长情况</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0"/>
          <c:order val="0"/>
          <c:tx>
            <c:strRef>
              <c:f>购售电分析图表!$C$20</c:f>
              <c:strCache>
                <c:ptCount val="1"/>
                <c:pt idx="0">
                  <c:v>2018年第二季度</c:v>
                </c:pt>
              </c:strCache>
            </c:strRef>
          </c:tx>
          <c:spPr>
            <a:solidFill>
              <a:schemeClr val="accent1"/>
            </a:solidFill>
            <a:ln>
              <a:noFill/>
            </a:ln>
            <a:effectLst/>
          </c:spPr>
          <c:invertIfNegative val="0"/>
          <c:cat>
            <c:strRef>
              <c:f>购售电分析图表!$B$21:$B$28</c:f>
              <c:strCache>
                <c:ptCount val="8"/>
                <c:pt idx="0">
                  <c:v>大工业用电</c:v>
                </c:pt>
                <c:pt idx="1">
                  <c:v>非工业、普通工业用电</c:v>
                </c:pt>
                <c:pt idx="2">
                  <c:v>居民生活用电</c:v>
                </c:pt>
                <c:pt idx="3">
                  <c:v>非居民照明用电</c:v>
                </c:pt>
                <c:pt idx="4">
                  <c:v>商业用电</c:v>
                </c:pt>
                <c:pt idx="5">
                  <c:v>农业生产用电</c:v>
                </c:pt>
                <c:pt idx="6">
                  <c:v>跨区（省）送电</c:v>
                </c:pt>
                <c:pt idx="7">
                  <c:v>合计</c:v>
                </c:pt>
              </c:strCache>
            </c:strRef>
          </c:cat>
          <c:val>
            <c:numRef>
              <c:f>购售电分析图表!$C$21:$C$28</c:f>
              <c:numCache>
                <c:formatCode>_(* #,##0.00_);_(* \(#,##0.00\);_(* "-"??_);_(@_)</c:formatCode>
                <c:ptCount val="8"/>
                <c:pt idx="0">
                  <c:v>40.063318259999996</c:v>
                </c:pt>
                <c:pt idx="1">
                  <c:v>7.5020987000000003</c:v>
                </c:pt>
                <c:pt idx="2">
                  <c:v>20.547833400000002</c:v>
                </c:pt>
                <c:pt idx="3">
                  <c:v>0.99550172999999997</c:v>
                </c:pt>
                <c:pt idx="4">
                  <c:v>21.827596200000002</c:v>
                </c:pt>
                <c:pt idx="5">
                  <c:v>0.46222777999999998</c:v>
                </c:pt>
                <c:pt idx="6">
                  <c:v>2.4904266000000002</c:v>
                </c:pt>
                <c:pt idx="7">
                  <c:v>93.889002670000011</c:v>
                </c:pt>
              </c:numCache>
            </c:numRef>
          </c:val>
          <c:extLst>
            <c:ext xmlns:c16="http://schemas.microsoft.com/office/drawing/2014/chart" uri="{C3380CC4-5D6E-409C-BE32-E72D297353CC}">
              <c16:uniqueId val="{00000000-B6FB-48B5-9E42-66E18C621D56}"/>
            </c:ext>
          </c:extLst>
        </c:ser>
        <c:ser>
          <c:idx val="1"/>
          <c:order val="1"/>
          <c:tx>
            <c:strRef>
              <c:f>购售电分析图表!$D$20</c:f>
              <c:strCache>
                <c:ptCount val="1"/>
                <c:pt idx="0">
                  <c:v>2017年第二季度</c:v>
                </c:pt>
              </c:strCache>
            </c:strRef>
          </c:tx>
          <c:spPr>
            <a:solidFill>
              <a:schemeClr val="accent2"/>
            </a:solidFill>
            <a:ln>
              <a:noFill/>
            </a:ln>
            <a:effectLst/>
          </c:spPr>
          <c:invertIfNegative val="0"/>
          <c:cat>
            <c:strRef>
              <c:f>购售电分析图表!$B$21:$B$28</c:f>
              <c:strCache>
                <c:ptCount val="8"/>
                <c:pt idx="0">
                  <c:v>大工业用电</c:v>
                </c:pt>
                <c:pt idx="1">
                  <c:v>非工业、普通工业用电</c:v>
                </c:pt>
                <c:pt idx="2">
                  <c:v>居民生活用电</c:v>
                </c:pt>
                <c:pt idx="3">
                  <c:v>非居民照明用电</c:v>
                </c:pt>
                <c:pt idx="4">
                  <c:v>商业用电</c:v>
                </c:pt>
                <c:pt idx="5">
                  <c:v>农业生产用电</c:v>
                </c:pt>
                <c:pt idx="6">
                  <c:v>跨区（省）送电</c:v>
                </c:pt>
                <c:pt idx="7">
                  <c:v>合计</c:v>
                </c:pt>
              </c:strCache>
            </c:strRef>
          </c:cat>
          <c:val>
            <c:numRef>
              <c:f>购售电分析图表!$D$21:$D$28</c:f>
              <c:numCache>
                <c:formatCode>_(* #,##0.00_);_(* \(#,##0.00\);_(* "-"??_);_(@_)</c:formatCode>
                <c:ptCount val="8"/>
                <c:pt idx="0">
                  <c:v>134.27294276000001</c:v>
                </c:pt>
                <c:pt idx="1">
                  <c:v>21.074723429999999</c:v>
                </c:pt>
                <c:pt idx="2">
                  <c:v>51.027779629999998</c:v>
                </c:pt>
                <c:pt idx="3">
                  <c:v>4.3077905199999993</c:v>
                </c:pt>
                <c:pt idx="4">
                  <c:v>69.152632729999993</c:v>
                </c:pt>
                <c:pt idx="5">
                  <c:v>1.49265889</c:v>
                </c:pt>
                <c:pt idx="6">
                  <c:v>4.5755636000000006</c:v>
                </c:pt>
                <c:pt idx="7">
                  <c:v>285.90409155999998</c:v>
                </c:pt>
              </c:numCache>
            </c:numRef>
          </c:val>
          <c:extLst>
            <c:ext xmlns:c16="http://schemas.microsoft.com/office/drawing/2014/chart" uri="{C3380CC4-5D6E-409C-BE32-E72D297353CC}">
              <c16:uniqueId val="{00000001-B6FB-48B5-9E42-66E18C621D56}"/>
            </c:ext>
          </c:extLst>
        </c:ser>
        <c:dLbls>
          <c:showLegendKey val="0"/>
          <c:showVal val="0"/>
          <c:showCatName val="0"/>
          <c:showSerName val="0"/>
          <c:showPercent val="0"/>
          <c:showBubbleSize val="0"/>
        </c:dLbls>
        <c:gapWidth val="219"/>
        <c:overlap val="-27"/>
        <c:axId val="310956912"/>
        <c:axId val="378330048"/>
      </c:barChart>
      <c:catAx>
        <c:axId val="310956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8330048"/>
        <c:crosses val="autoZero"/>
        <c:auto val="1"/>
        <c:lblAlgn val="ctr"/>
        <c:lblOffset val="100"/>
        <c:noMultiLvlLbl val="0"/>
      </c:catAx>
      <c:valAx>
        <c:axId val="378330048"/>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10956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zh-CN" sz="1400" b="0" i="0" baseline="0">
                <a:effectLst/>
              </a:rPr>
              <a:t>分类售电量增长情况</a:t>
            </a:r>
            <a:endParaRPr lang="zh-CN" altLang="zh-CN"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0"/>
          <c:order val="0"/>
          <c:tx>
            <c:strRef>
              <c:f>购售电分析图表!$C$30</c:f>
              <c:strCache>
                <c:ptCount val="1"/>
                <c:pt idx="0">
                  <c:v>2018年第三季度</c:v>
                </c:pt>
              </c:strCache>
            </c:strRef>
          </c:tx>
          <c:spPr>
            <a:solidFill>
              <a:schemeClr val="accent1"/>
            </a:solidFill>
            <a:ln>
              <a:noFill/>
            </a:ln>
            <a:effectLst/>
          </c:spPr>
          <c:invertIfNegative val="0"/>
          <c:cat>
            <c:strRef>
              <c:f>购售电分析图表!$B$31:$B$38</c:f>
              <c:strCache>
                <c:ptCount val="8"/>
                <c:pt idx="0">
                  <c:v>大工业用电</c:v>
                </c:pt>
                <c:pt idx="1">
                  <c:v>非工业、普通工业用电</c:v>
                </c:pt>
                <c:pt idx="2">
                  <c:v>居民生活用电</c:v>
                </c:pt>
                <c:pt idx="3">
                  <c:v>非居民照明用电</c:v>
                </c:pt>
                <c:pt idx="4">
                  <c:v>商业用电</c:v>
                </c:pt>
                <c:pt idx="5">
                  <c:v>农业生产用电</c:v>
                </c:pt>
                <c:pt idx="6">
                  <c:v>跨区（省）送电</c:v>
                </c:pt>
                <c:pt idx="7">
                  <c:v>合计</c:v>
                </c:pt>
              </c:strCache>
            </c:strRef>
          </c:cat>
          <c:val>
            <c:numRef>
              <c:f>购售电分析图表!$C$31:$C$38</c:f>
              <c:numCache>
                <c:formatCode>_(* #,##0.00_);_(* \(#,##0.00\);_(*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FEEA-4F27-8B9C-A614F7D86ED8}"/>
            </c:ext>
          </c:extLst>
        </c:ser>
        <c:ser>
          <c:idx val="1"/>
          <c:order val="1"/>
          <c:tx>
            <c:strRef>
              <c:f>购售电分析图表!$D$30</c:f>
              <c:strCache>
                <c:ptCount val="1"/>
                <c:pt idx="0">
                  <c:v>2017年第三季度</c:v>
                </c:pt>
              </c:strCache>
            </c:strRef>
          </c:tx>
          <c:spPr>
            <a:solidFill>
              <a:schemeClr val="accent2"/>
            </a:solidFill>
            <a:ln>
              <a:noFill/>
            </a:ln>
            <a:effectLst/>
          </c:spPr>
          <c:invertIfNegative val="0"/>
          <c:cat>
            <c:strRef>
              <c:f>购售电分析图表!$B$31:$B$38</c:f>
              <c:strCache>
                <c:ptCount val="8"/>
                <c:pt idx="0">
                  <c:v>大工业用电</c:v>
                </c:pt>
                <c:pt idx="1">
                  <c:v>非工业、普通工业用电</c:v>
                </c:pt>
                <c:pt idx="2">
                  <c:v>居民生活用电</c:v>
                </c:pt>
                <c:pt idx="3">
                  <c:v>非居民照明用电</c:v>
                </c:pt>
                <c:pt idx="4">
                  <c:v>商业用电</c:v>
                </c:pt>
                <c:pt idx="5">
                  <c:v>农业生产用电</c:v>
                </c:pt>
                <c:pt idx="6">
                  <c:v>跨区（省）送电</c:v>
                </c:pt>
                <c:pt idx="7">
                  <c:v>合计</c:v>
                </c:pt>
              </c:strCache>
            </c:strRef>
          </c:cat>
          <c:val>
            <c:numRef>
              <c:f>购售电分析图表!$D$31:$D$38</c:f>
              <c:numCache>
                <c:formatCode>_(* #,##0.00_);_(* \(#,##0.00\);_(* "-"??_);_(@_)</c:formatCode>
                <c:ptCount val="8"/>
                <c:pt idx="0">
                  <c:v>154.07569147000001</c:v>
                </c:pt>
                <c:pt idx="1">
                  <c:v>28.317113369999998</c:v>
                </c:pt>
                <c:pt idx="2">
                  <c:v>98.203510309999999</c:v>
                </c:pt>
                <c:pt idx="3">
                  <c:v>5.6819148400000001</c:v>
                </c:pt>
                <c:pt idx="4">
                  <c:v>103.84835519000001</c:v>
                </c:pt>
                <c:pt idx="5">
                  <c:v>2.5891447200000002</c:v>
                </c:pt>
                <c:pt idx="6">
                  <c:v>25.208061499999999</c:v>
                </c:pt>
                <c:pt idx="7">
                  <c:v>417.92379140000003</c:v>
                </c:pt>
              </c:numCache>
            </c:numRef>
          </c:val>
          <c:extLst>
            <c:ext xmlns:c16="http://schemas.microsoft.com/office/drawing/2014/chart" uri="{C3380CC4-5D6E-409C-BE32-E72D297353CC}">
              <c16:uniqueId val="{00000001-FEEA-4F27-8B9C-A614F7D86ED8}"/>
            </c:ext>
          </c:extLst>
        </c:ser>
        <c:dLbls>
          <c:showLegendKey val="0"/>
          <c:showVal val="0"/>
          <c:showCatName val="0"/>
          <c:showSerName val="0"/>
          <c:showPercent val="0"/>
          <c:showBubbleSize val="0"/>
        </c:dLbls>
        <c:gapWidth val="219"/>
        <c:overlap val="-27"/>
        <c:axId val="378330832"/>
        <c:axId val="378331224"/>
      </c:barChart>
      <c:catAx>
        <c:axId val="378330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8331224"/>
        <c:crosses val="autoZero"/>
        <c:auto val="1"/>
        <c:lblAlgn val="ctr"/>
        <c:lblOffset val="100"/>
        <c:noMultiLvlLbl val="0"/>
      </c:catAx>
      <c:valAx>
        <c:axId val="378331224"/>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8330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分类售电量增长情况</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0"/>
          <c:order val="0"/>
          <c:tx>
            <c:strRef>
              <c:f>购售电分析图表!$C$40</c:f>
              <c:strCache>
                <c:ptCount val="1"/>
                <c:pt idx="0">
                  <c:v>2018年第四季度</c:v>
                </c:pt>
              </c:strCache>
            </c:strRef>
          </c:tx>
          <c:spPr>
            <a:solidFill>
              <a:schemeClr val="accent1"/>
            </a:solidFill>
            <a:ln>
              <a:noFill/>
            </a:ln>
            <a:effectLst/>
          </c:spPr>
          <c:invertIfNegative val="0"/>
          <c:cat>
            <c:strRef>
              <c:f>购售电分析图表!$B$41:$B$48</c:f>
              <c:strCache>
                <c:ptCount val="8"/>
                <c:pt idx="0">
                  <c:v>大工业用电</c:v>
                </c:pt>
                <c:pt idx="1">
                  <c:v>非工业、普通工业用电</c:v>
                </c:pt>
                <c:pt idx="2">
                  <c:v>居民生活用电</c:v>
                </c:pt>
                <c:pt idx="3">
                  <c:v>非居民照明用电</c:v>
                </c:pt>
                <c:pt idx="4">
                  <c:v>商业用电</c:v>
                </c:pt>
                <c:pt idx="5">
                  <c:v>农业生产用电</c:v>
                </c:pt>
                <c:pt idx="6">
                  <c:v>跨区（省）送电</c:v>
                </c:pt>
                <c:pt idx="7">
                  <c:v>合计</c:v>
                </c:pt>
              </c:strCache>
            </c:strRef>
          </c:cat>
          <c:val>
            <c:numRef>
              <c:f>购售电分析图表!$C$41:$C$48</c:f>
              <c:numCache>
                <c:formatCode>_(* #,##0.00_);_(* \(#,##0.00\);_(*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30E0-4F1C-818E-A18173838389}"/>
            </c:ext>
          </c:extLst>
        </c:ser>
        <c:ser>
          <c:idx val="1"/>
          <c:order val="1"/>
          <c:tx>
            <c:strRef>
              <c:f>购售电分析图表!$D$40</c:f>
              <c:strCache>
                <c:ptCount val="1"/>
                <c:pt idx="0">
                  <c:v>2017年第四季度</c:v>
                </c:pt>
              </c:strCache>
            </c:strRef>
          </c:tx>
          <c:spPr>
            <a:solidFill>
              <a:schemeClr val="accent2"/>
            </a:solidFill>
            <a:ln>
              <a:noFill/>
            </a:ln>
            <a:effectLst/>
          </c:spPr>
          <c:invertIfNegative val="0"/>
          <c:cat>
            <c:strRef>
              <c:f>购售电分析图表!$B$41:$B$48</c:f>
              <c:strCache>
                <c:ptCount val="8"/>
                <c:pt idx="0">
                  <c:v>大工业用电</c:v>
                </c:pt>
                <c:pt idx="1">
                  <c:v>非工业、普通工业用电</c:v>
                </c:pt>
                <c:pt idx="2">
                  <c:v>居民生活用电</c:v>
                </c:pt>
                <c:pt idx="3">
                  <c:v>非居民照明用电</c:v>
                </c:pt>
                <c:pt idx="4">
                  <c:v>商业用电</c:v>
                </c:pt>
                <c:pt idx="5">
                  <c:v>农业生产用电</c:v>
                </c:pt>
                <c:pt idx="6">
                  <c:v>跨区（省）送电</c:v>
                </c:pt>
                <c:pt idx="7">
                  <c:v>合计</c:v>
                </c:pt>
              </c:strCache>
            </c:strRef>
          </c:cat>
          <c:val>
            <c:numRef>
              <c:f>购售电分析图表!$D$41:$D$48</c:f>
              <c:numCache>
                <c:formatCode>_(* #,##0.00_);_(* \(#,##0.00\);_(* "-"??_);_(@_)</c:formatCode>
                <c:ptCount val="8"/>
                <c:pt idx="0">
                  <c:v>143.69586470000002</c:v>
                </c:pt>
                <c:pt idx="1">
                  <c:v>21.250726110000002</c:v>
                </c:pt>
                <c:pt idx="2">
                  <c:v>51.649032359999993</c:v>
                </c:pt>
                <c:pt idx="3">
                  <c:v>4.7792098999999997</c:v>
                </c:pt>
                <c:pt idx="4">
                  <c:v>75.338203019999995</c:v>
                </c:pt>
                <c:pt idx="5">
                  <c:v>1.6865067100000002</c:v>
                </c:pt>
                <c:pt idx="6">
                  <c:v>11.701479299999999</c:v>
                </c:pt>
                <c:pt idx="7">
                  <c:v>310.10102210000002</c:v>
                </c:pt>
              </c:numCache>
            </c:numRef>
          </c:val>
          <c:extLst>
            <c:ext xmlns:c16="http://schemas.microsoft.com/office/drawing/2014/chart" uri="{C3380CC4-5D6E-409C-BE32-E72D297353CC}">
              <c16:uniqueId val="{00000001-30E0-4F1C-818E-A18173838389}"/>
            </c:ext>
          </c:extLst>
        </c:ser>
        <c:dLbls>
          <c:showLegendKey val="0"/>
          <c:showVal val="0"/>
          <c:showCatName val="0"/>
          <c:showSerName val="0"/>
          <c:showPercent val="0"/>
          <c:showBubbleSize val="0"/>
        </c:dLbls>
        <c:gapWidth val="219"/>
        <c:overlap val="-27"/>
        <c:axId val="309031136"/>
        <c:axId val="378332008"/>
      </c:barChart>
      <c:catAx>
        <c:axId val="309031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78332008"/>
        <c:crosses val="autoZero"/>
        <c:auto val="1"/>
        <c:lblAlgn val="ctr"/>
        <c:lblOffset val="100"/>
        <c:noMultiLvlLbl val="0"/>
      </c:catAx>
      <c:valAx>
        <c:axId val="378332008"/>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09031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Spin" dx="26" fmlaLink="$C$34" max="30000" page="10" val="376"/>
</file>

<file path=xl/ctrlProps/ctrlProp3.xml><?xml version="1.0" encoding="utf-8"?>
<formControlPr xmlns="http://schemas.microsoft.com/office/spreadsheetml/2009/9/main" objectType="Spin" dx="26" fmlaLink="$C$38" max="200" page="10" val="20"/>
</file>

<file path=xl/ctrlProps/ctrlProp4.xml><?xml version="1.0" encoding="utf-8"?>
<formControlPr xmlns="http://schemas.microsoft.com/office/spreadsheetml/2009/9/main" objectType="Spin" dx="26" fmlaLink="$C$37" max="30000" page="10" val="2192"/>
</file>

<file path=xl/ctrlProps/ctrlProp5.xml><?xml version="1.0" encoding="utf-8"?>
<formControlPr xmlns="http://schemas.microsoft.com/office/spreadsheetml/2009/9/main" objectType="Spin" dx="26" fmlaLink="$C$39" max="30000" page="10" val="60"/>
</file>

<file path=xl/ctrlProps/ctrlProp6.xml><?xml version="1.0" encoding="utf-8"?>
<formControlPr xmlns="http://schemas.microsoft.com/office/spreadsheetml/2009/9/main" objectType="Spin" dx="26" fmlaLink="$C$40" max="30000" page="10" val="25"/>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CheckBox" checked="Checked"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checked="Checked" noThreeD="1"/>
</file>

<file path=xl/ctrlProps/ctrlProp12.xml><?xml version="1.0" encoding="utf-8"?>
<formControlPr xmlns="http://schemas.microsoft.com/office/spreadsheetml/2009/9/main" objectType="CheckBox" checked="Checked" noThreeD="1"/>
</file>

<file path=xl/ctrlProps/ctrlProp13.xml><?xml version="1.0" encoding="utf-8"?>
<formControlPr xmlns="http://schemas.microsoft.com/office/spreadsheetml/2009/9/main" objectType="CheckBox" checked="Checked" noThreeD="1"/>
</file>

<file path=xl/ctrlProps/ctrlProp14.xml><?xml version="1.0" encoding="utf-8"?>
<formControlPr xmlns="http://schemas.microsoft.com/office/spreadsheetml/2009/9/main" objectType="Drop" dropLines="20" dropStyle="combo" dx="16" fmlaLink="$L$32" fmlaRange="$B$34:$B$47" noThreeD="1" sel="3" val="0"/>
</file>

<file path=xl/ctrlProps/ctrlProp15.xml><?xml version="1.0" encoding="utf-8"?>
<formControlPr xmlns="http://schemas.microsoft.com/office/spreadsheetml/2009/9/main" objectType="Button"/>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Spin" dx="26" fmlaLink="$C$41" max="30000" page="10" val="0"/>
</file>

<file path=xl/ctrlProps/ctrlProp18.xml><?xml version="1.0" encoding="utf-8"?>
<formControlPr xmlns="http://schemas.microsoft.com/office/spreadsheetml/2009/9/main" objectType="CheckBox" checked="Checked" noThreeD="1"/>
</file>

<file path=xl/ctrlProps/ctrlProp19.xml><?xml version="1.0" encoding="utf-8"?>
<formControlPr xmlns="http://schemas.microsoft.com/office/spreadsheetml/2009/9/main" objectType="Spin" dx="26" fmlaLink="$C$42" max="30000" page="10" val="3"/>
</file>

<file path=xl/ctrlProps/ctrlProp20.xml><?xml version="1.0" encoding="utf-8"?>
<formControlPr xmlns="http://schemas.microsoft.com/office/spreadsheetml/2009/9/main" objectType="Button"/>
</file>

<file path=xl/ctrlProps/ctrlProp21.xml><?xml version="1.0" encoding="utf-8"?>
<formControlPr xmlns="http://schemas.microsoft.com/office/spreadsheetml/2009/9/main" objectType="CheckBox" checked="Checked" noThreeD="1"/>
</file>

<file path=xl/ctrlProps/ctrlProp22.xml><?xml version="1.0" encoding="utf-8"?>
<formControlPr xmlns="http://schemas.microsoft.com/office/spreadsheetml/2009/9/main" objectType="CheckBox" checked="Checked" noThreeD="1"/>
</file>

<file path=xl/ctrlProps/ctrlProp23.xml><?xml version="1.0" encoding="utf-8"?>
<formControlPr xmlns="http://schemas.microsoft.com/office/spreadsheetml/2009/9/main" objectType="CheckBox" checked="Checked" noThreeD="1"/>
</file>

<file path=xl/ctrlProps/ctrlProp24.xml><?xml version="1.0" encoding="utf-8"?>
<formControlPr xmlns="http://schemas.microsoft.com/office/spreadsheetml/2009/9/main" objectType="CheckBox" checked="Checked" noThreeD="1"/>
</file>

<file path=xl/ctrlProps/ctrlProp25.xml><?xml version="1.0" encoding="utf-8"?>
<formControlPr xmlns="http://schemas.microsoft.com/office/spreadsheetml/2009/9/main" objectType="CheckBox" checked="Checked" noThreeD="1"/>
</file>

<file path=xl/ctrlProps/ctrlProp26.xml><?xml version="1.0" encoding="utf-8"?>
<formControlPr xmlns="http://schemas.microsoft.com/office/spreadsheetml/2009/9/main" objectType="CheckBox" checked="Checked"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Spin" dx="26" fmlaLink="$H$35" max="30000" page="10" val="0"/>
</file>

<file path=xl/ctrlProps/ctrlProp29.xml><?xml version="1.0" encoding="utf-8"?>
<formControlPr xmlns="http://schemas.microsoft.com/office/spreadsheetml/2009/9/main" objectType="Spin" dx="26" fmlaLink="$C$36" max="30000" page="10" val="3828"/>
</file>

<file path=xl/ctrlProps/ctrlProp30.xml><?xml version="1.0" encoding="utf-8"?>
<formControlPr xmlns="http://schemas.microsoft.com/office/spreadsheetml/2009/9/main" objectType="Spin" dx="26" fmlaLink="$C$43" max="30000" page="10" val="0"/>
</file>

<file path=xl/ctrlProps/ctrlProp31.xml><?xml version="1.0" encoding="utf-8"?>
<formControlPr xmlns="http://schemas.microsoft.com/office/spreadsheetml/2009/9/main" objectType="Spin" dx="26" fmlaLink="$C$44" max="30000" page="10" val="80"/>
</file>

<file path=xl/ctrlProps/ctrlProp32.xml><?xml version="1.0" encoding="utf-8"?>
<formControlPr xmlns="http://schemas.microsoft.com/office/spreadsheetml/2009/9/main" objectType="Spin" dx="26" fmlaLink="$C$45" max="30000" page="10"/>
</file>

<file path=xl/ctrlProps/ctrlProp33.xml><?xml version="1.0" encoding="utf-8"?>
<formControlPr xmlns="http://schemas.microsoft.com/office/spreadsheetml/2009/9/main" objectType="Spin" dx="26" fmlaLink="$C$46" max="30000" page="10" val="0"/>
</file>

<file path=xl/ctrlProps/ctrlProp34.xml><?xml version="1.0" encoding="utf-8"?>
<formControlPr xmlns="http://schemas.microsoft.com/office/spreadsheetml/2009/9/main" objectType="Spin" dx="26" fmlaLink="$C$47" max="30000" page="10" val="63"/>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CheckBox" fmlaLink="$F$10" noThreeD="1"/>
</file>

<file path=xl/ctrlProps/ctrlProp37.xml><?xml version="1.0" encoding="utf-8"?>
<formControlPr xmlns="http://schemas.microsoft.com/office/spreadsheetml/2009/9/main" objectType="CheckBox" fmlaLink="$F$11" noThreeD="1"/>
</file>

<file path=xl/ctrlProps/ctrlProp38.xml><?xml version="1.0" encoding="utf-8"?>
<formControlPr xmlns="http://schemas.microsoft.com/office/spreadsheetml/2009/9/main" objectType="CheckBox" fmlaLink="$F$12" noThreeD="1"/>
</file>

<file path=xl/ctrlProps/ctrlProp39.xml><?xml version="1.0" encoding="utf-8"?>
<formControlPr xmlns="http://schemas.microsoft.com/office/spreadsheetml/2009/9/main" objectType="CheckBox" fmlaLink="$F$13"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D$5" noThreeD="1"/>
</file>

<file path=xl/ctrlProps/ctrlProp43.xml><?xml version="1.0" encoding="utf-8"?>
<formControlPr xmlns="http://schemas.microsoft.com/office/spreadsheetml/2009/9/main" objectType="CheckBox" fmlaLink="$D$6" noThreeD="1"/>
</file>

<file path=xl/ctrlProps/ctrlProp44.xml><?xml version="1.0" encoding="utf-8"?>
<formControlPr xmlns="http://schemas.microsoft.com/office/spreadsheetml/2009/9/main" objectType="CheckBox" fmlaLink="$D$7" noThreeD="1"/>
</file>

<file path=xl/ctrlProps/ctrlProp45.xml><?xml version="1.0" encoding="utf-8"?>
<formControlPr xmlns="http://schemas.microsoft.com/office/spreadsheetml/2009/9/main" objectType="CheckBox" fmlaLink="$D$8" noThreeD="1"/>
</file>

<file path=xl/ctrlProps/ctrlProp46.xml><?xml version="1.0" encoding="utf-8"?>
<formControlPr xmlns="http://schemas.microsoft.com/office/spreadsheetml/2009/9/main" objectType="CheckBox" fmlaLink="$D$9" noThreeD="1"/>
</file>

<file path=xl/ctrlProps/ctrlProp47.xml><?xml version="1.0" encoding="utf-8"?>
<formControlPr xmlns="http://schemas.microsoft.com/office/spreadsheetml/2009/9/main" objectType="CheckBox" fmlaLink="$D$10" noThreeD="1"/>
</file>

<file path=xl/ctrlProps/ctrlProp48.xml><?xml version="1.0" encoding="utf-8"?>
<formControlPr xmlns="http://schemas.microsoft.com/office/spreadsheetml/2009/9/main" objectType="CheckBox" fmlaLink="$D$11" noThreeD="1"/>
</file>

<file path=xl/ctrlProps/ctrlProp49.xml><?xml version="1.0" encoding="utf-8"?>
<formControlPr xmlns="http://schemas.microsoft.com/office/spreadsheetml/2009/9/main" objectType="CheckBox" fmlaLink="$D$12" noThreeD="1"/>
</file>

<file path=xl/ctrlProps/ctrlProp50.xml><?xml version="1.0" encoding="utf-8"?>
<formControlPr xmlns="http://schemas.microsoft.com/office/spreadsheetml/2009/9/main" objectType="CheckBox" fmlaLink="$D$13" noThreeD="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file>

<file path=xl/ctrlProps/ctrlProp57.xml><?xml version="1.0" encoding="utf-8"?>
<formControlPr xmlns="http://schemas.microsoft.com/office/spreadsheetml/2009/9/main" objectType="Button"/>
</file>

<file path=xl/ctrlProps/ctrlProp58.xml><?xml version="1.0" encoding="utf-8"?>
<formControlPr xmlns="http://schemas.microsoft.com/office/spreadsheetml/2009/9/main" objectType="Button"/>
</file>

<file path=xl/ctrlProps/ctrlProp59.xml><?xml version="1.0" encoding="utf-8"?>
<formControlPr xmlns="http://schemas.microsoft.com/office/spreadsheetml/2009/9/main" objectType="Button"/>
</file>

<file path=xl/ctrlProps/ctrlProp60.xml><?xml version="1.0" encoding="utf-8"?>
<formControlPr xmlns="http://schemas.microsoft.com/office/spreadsheetml/2009/9/main" objectType="Scroll" dx="26" fmlaLink="$D$3" horiz="1" max="20000" noThreeD="1" page="10" val="10000"/>
</file>

<file path=xl/ctrlProps/ctrlProp61.xml><?xml version="1.0" encoding="utf-8"?>
<formControlPr xmlns="http://schemas.microsoft.com/office/spreadsheetml/2009/9/main" objectType="Scroll" dx="26" fmlaLink="$D$6" horiz="1" max="200" noThreeD="1" page="10" val="100"/>
</file>

<file path=xl/ctrlProps/ctrlProp62.xml><?xml version="1.0" encoding="utf-8"?>
<formControlPr xmlns="http://schemas.microsoft.com/office/spreadsheetml/2009/9/main" objectType="Scroll" dx="26" fmlaLink="$D$7" horiz="1" max="200" noThreeD="1" page="10" val="100"/>
</file>

<file path=xl/ctrlProps/ctrlProp63.xml><?xml version="1.0" encoding="utf-8"?>
<formControlPr xmlns="http://schemas.microsoft.com/office/spreadsheetml/2009/9/main" objectType="Scroll" dx="26" fmlaLink="$D$4" horiz="1" max="200" noThreeD="1" page="10" val="100"/>
</file>

<file path=xl/ctrlProps/ctrlProp64.xml><?xml version="1.0" encoding="utf-8"?>
<formControlPr xmlns="http://schemas.microsoft.com/office/spreadsheetml/2009/9/main" objectType="Scroll" dx="26" fmlaLink="$D$5" horiz="1" max="400" noThreeD="1" page="10" val="200"/>
</file>

<file path=xl/drawings/_rels/drawing3.xml.rels><?xml version="1.0" encoding="UTF-8" standalone="yes"?>
<Relationships xmlns="http://schemas.openxmlformats.org/package/2006/relationships"><Relationship Id="rId3" Type="http://schemas.openxmlformats.org/officeDocument/2006/relationships/hyperlink" Target="#&#25237;&#36164;&#33021;&#21147;&#35268;&#21010;!C2"/><Relationship Id="rId2" Type="http://schemas.openxmlformats.org/officeDocument/2006/relationships/hyperlink" Target="#&#35268;&#21010;&#27714;&#35299;!B23"/><Relationship Id="rId1" Type="http://schemas.openxmlformats.org/officeDocument/2006/relationships/hyperlink" Target="#&#20551;&#35774;!A1"/><Relationship Id="rId6" Type="http://schemas.openxmlformats.org/officeDocument/2006/relationships/hyperlink" Target="#&#25237;&#36164;&#33021;&#21147;&#35268;&#21010;!C96"/><Relationship Id="rId5" Type="http://schemas.openxmlformats.org/officeDocument/2006/relationships/hyperlink" Target="#&#25237;&#36164;&#33021;&#21147;&#35268;&#21010;!C72"/><Relationship Id="rId4" Type="http://schemas.openxmlformats.org/officeDocument/2006/relationships/hyperlink" Target="#&#25237;&#36164;&#33021;&#21147;&#35268;&#21010;!C47"/></Relationships>
</file>

<file path=xl/drawings/_rels/drawing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3147060</xdr:colOff>
          <xdr:row>2</xdr:row>
          <xdr:rowOff>38100</xdr:rowOff>
        </xdr:from>
        <xdr:to>
          <xdr:col>8</xdr:col>
          <xdr:colOff>3870960</xdr:colOff>
          <xdr:row>2</xdr:row>
          <xdr:rowOff>266700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000-000002F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更新目录</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2</xdr:row>
      <xdr:rowOff>0</xdr:rowOff>
    </xdr:from>
    <xdr:to>
      <xdr:col>14</xdr:col>
      <xdr:colOff>15552</xdr:colOff>
      <xdr:row>27</xdr:row>
      <xdr:rowOff>83024</xdr:rowOff>
    </xdr:to>
    <xdr:grpSp>
      <xdr:nvGrpSpPr>
        <xdr:cNvPr id="2" name="组合 1">
          <a:extLst>
            <a:ext uri="{FF2B5EF4-FFF2-40B4-BE49-F238E27FC236}">
              <a16:creationId xmlns:a16="http://schemas.microsoft.com/office/drawing/2014/main" id="{00000000-0008-0000-0100-000002000000}"/>
            </a:ext>
          </a:extLst>
        </xdr:cNvPr>
        <xdr:cNvGrpSpPr/>
      </xdr:nvGrpSpPr>
      <xdr:grpSpPr>
        <a:xfrm>
          <a:off x="381000" y="242957"/>
          <a:ext cx="7911639" cy="4500415"/>
          <a:chOff x="814871" y="1993558"/>
          <a:chExt cx="7940352" cy="4655024"/>
        </a:xfrm>
      </xdr:grpSpPr>
      <xdr:sp macro="" textlink="">
        <xdr:nvSpPr>
          <xdr:cNvPr id="8" name="文本框 2">
            <a:extLst>
              <a:ext uri="{FF2B5EF4-FFF2-40B4-BE49-F238E27FC236}">
                <a16:creationId xmlns:a16="http://schemas.microsoft.com/office/drawing/2014/main" id="{00000000-0008-0000-0100-000008000000}"/>
              </a:ext>
            </a:extLst>
          </xdr:cNvPr>
          <xdr:cNvSpPr txBox="1"/>
        </xdr:nvSpPr>
        <xdr:spPr>
          <a:xfrm>
            <a:off x="880185" y="6172200"/>
            <a:ext cx="1001485" cy="35631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marL="0" indent="0" algn="l" defTabSz="457200" rtl="0" eaLnBrk="1" latinLnBrk="0" hangingPunct="1"/>
            <a:r>
              <a:rPr lang="zh-CN" altLang="en-US" sz="1200" b="1" kern="1200">
                <a:solidFill>
                  <a:srgbClr val="00B050"/>
                </a:solidFill>
                <a:latin typeface="微软雅黑" panose="020B0503020204020204" pitchFamily="34" charset="-122"/>
                <a:ea typeface="微软雅黑" panose="020B0503020204020204" pitchFamily="34" charset="-122"/>
                <a:cs typeface="+mn-cs"/>
              </a:rPr>
              <a:t>数据层</a:t>
            </a:r>
          </a:p>
        </xdr:txBody>
      </xdr:sp>
      <xdr:sp macro="" textlink="">
        <xdr:nvSpPr>
          <xdr:cNvPr id="9" name="圆柱形 8">
            <a:extLst>
              <a:ext uri="{FF2B5EF4-FFF2-40B4-BE49-F238E27FC236}">
                <a16:creationId xmlns:a16="http://schemas.microsoft.com/office/drawing/2014/main" id="{00000000-0008-0000-0100-000009000000}"/>
              </a:ext>
            </a:extLst>
          </xdr:cNvPr>
          <xdr:cNvSpPr/>
        </xdr:nvSpPr>
        <xdr:spPr>
          <a:xfrm>
            <a:off x="2174033" y="6172200"/>
            <a:ext cx="849086" cy="354564"/>
          </a:xfrm>
          <a:prstGeom prst="can">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zh-CN" altLang="en-US" sz="1200">
                <a:latin typeface="微软雅黑" panose="020B0503020204020204" pitchFamily="34" charset="-122"/>
                <a:ea typeface="微软雅黑" panose="020B0503020204020204" pitchFamily="34" charset="-122"/>
              </a:rPr>
              <a:t>核价参数</a:t>
            </a:r>
          </a:p>
        </xdr:txBody>
      </xdr:sp>
      <xdr:sp macro="" textlink="">
        <xdr:nvSpPr>
          <xdr:cNvPr id="10" name="圆柱形 9">
            <a:extLst>
              <a:ext uri="{FF2B5EF4-FFF2-40B4-BE49-F238E27FC236}">
                <a16:creationId xmlns:a16="http://schemas.microsoft.com/office/drawing/2014/main" id="{00000000-0008-0000-0100-00000A000000}"/>
              </a:ext>
            </a:extLst>
          </xdr:cNvPr>
          <xdr:cNvSpPr/>
        </xdr:nvSpPr>
        <xdr:spPr>
          <a:xfrm>
            <a:off x="3250162" y="6172200"/>
            <a:ext cx="1135225" cy="354564"/>
          </a:xfrm>
          <a:prstGeom prst="can">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zh-CN" altLang="en-US" sz="1200">
                <a:latin typeface="微软雅黑" panose="020B0503020204020204" pitchFamily="34" charset="-122"/>
                <a:ea typeface="微软雅黑" panose="020B0503020204020204" pitchFamily="34" charset="-122"/>
              </a:rPr>
              <a:t>历史经营数据</a:t>
            </a:r>
          </a:p>
        </xdr:txBody>
      </xdr:sp>
      <xdr:sp macro="" textlink="">
        <xdr:nvSpPr>
          <xdr:cNvPr id="11" name="圆柱形 10">
            <a:extLst>
              <a:ext uri="{FF2B5EF4-FFF2-40B4-BE49-F238E27FC236}">
                <a16:creationId xmlns:a16="http://schemas.microsoft.com/office/drawing/2014/main" id="{00000000-0008-0000-0100-00000B000000}"/>
              </a:ext>
            </a:extLst>
          </xdr:cNvPr>
          <xdr:cNvSpPr/>
        </xdr:nvSpPr>
        <xdr:spPr>
          <a:xfrm>
            <a:off x="4612430" y="6172200"/>
            <a:ext cx="1256526" cy="354564"/>
          </a:xfrm>
          <a:prstGeom prst="can">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zh-CN" altLang="en-US" sz="1200">
                <a:latin typeface="微软雅黑" panose="020B0503020204020204" pitchFamily="34" charset="-122"/>
                <a:ea typeface="微软雅黑" panose="020B0503020204020204" pitchFamily="34" charset="-122"/>
              </a:rPr>
              <a:t>国资委考核办法</a:t>
            </a:r>
          </a:p>
        </xdr:txBody>
      </xdr:sp>
      <xdr:sp macro="" textlink="">
        <xdr:nvSpPr>
          <xdr:cNvPr id="12" name="圆柱形 11">
            <a:extLst>
              <a:ext uri="{FF2B5EF4-FFF2-40B4-BE49-F238E27FC236}">
                <a16:creationId xmlns:a16="http://schemas.microsoft.com/office/drawing/2014/main" id="{00000000-0008-0000-0100-00000C000000}"/>
              </a:ext>
            </a:extLst>
          </xdr:cNvPr>
          <xdr:cNvSpPr/>
        </xdr:nvSpPr>
        <xdr:spPr>
          <a:xfrm>
            <a:off x="6095999" y="6172200"/>
            <a:ext cx="849086" cy="354564"/>
          </a:xfrm>
          <a:prstGeom prst="can">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zh-CN" altLang="en-US" sz="1200">
                <a:latin typeface="微软雅黑" panose="020B0503020204020204" pitchFamily="34" charset="-122"/>
                <a:ea typeface="微软雅黑" panose="020B0503020204020204" pitchFamily="34" charset="-122"/>
              </a:rPr>
              <a:t>投资计划</a:t>
            </a:r>
          </a:p>
        </xdr:txBody>
      </xdr:sp>
      <xdr:sp macro="" textlink="">
        <xdr:nvSpPr>
          <xdr:cNvPr id="13" name="圆柱形 12">
            <a:extLst>
              <a:ext uri="{FF2B5EF4-FFF2-40B4-BE49-F238E27FC236}">
                <a16:creationId xmlns:a16="http://schemas.microsoft.com/office/drawing/2014/main" id="{00000000-0008-0000-0100-00000D000000}"/>
              </a:ext>
            </a:extLst>
          </xdr:cNvPr>
          <xdr:cNvSpPr/>
        </xdr:nvSpPr>
        <xdr:spPr>
          <a:xfrm>
            <a:off x="7172128" y="6172200"/>
            <a:ext cx="849086" cy="354564"/>
          </a:xfrm>
          <a:prstGeom prst="can">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en-US" altLang="zh-CN" sz="1200">
                <a:latin typeface="微软雅黑" panose="020B0503020204020204" pitchFamily="34" charset="-122"/>
                <a:ea typeface="微软雅黑" panose="020B0503020204020204" pitchFamily="34" charset="-122"/>
              </a:rPr>
              <a:t>……</a:t>
            </a:r>
            <a:endParaRPr lang="zh-CN" altLang="en-US" sz="1200">
              <a:latin typeface="微软雅黑" panose="020B0503020204020204" pitchFamily="34" charset="-122"/>
              <a:ea typeface="微软雅黑" panose="020B0503020204020204" pitchFamily="34" charset="-122"/>
            </a:endParaRPr>
          </a:p>
        </xdr:txBody>
      </xdr:sp>
      <xdr:sp macro="" textlink="">
        <xdr:nvSpPr>
          <xdr:cNvPr id="14" name="矩形 13">
            <a:extLst>
              <a:ext uri="{FF2B5EF4-FFF2-40B4-BE49-F238E27FC236}">
                <a16:creationId xmlns:a16="http://schemas.microsoft.com/office/drawing/2014/main" id="{00000000-0008-0000-0100-00000E000000}"/>
              </a:ext>
            </a:extLst>
          </xdr:cNvPr>
          <xdr:cNvSpPr/>
        </xdr:nvSpPr>
        <xdr:spPr>
          <a:xfrm>
            <a:off x="814872" y="6032762"/>
            <a:ext cx="7940351" cy="615820"/>
          </a:xfrm>
          <a:prstGeom prst="rect">
            <a:avLst/>
          </a:prstGeom>
          <a:noFill/>
          <a:ln w="19050"/>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15" name="文本框 12">
            <a:extLst>
              <a:ext uri="{FF2B5EF4-FFF2-40B4-BE49-F238E27FC236}">
                <a16:creationId xmlns:a16="http://schemas.microsoft.com/office/drawing/2014/main" id="{00000000-0008-0000-0100-00000F000000}"/>
              </a:ext>
            </a:extLst>
          </xdr:cNvPr>
          <xdr:cNvSpPr txBox="1"/>
        </xdr:nvSpPr>
        <xdr:spPr>
          <a:xfrm>
            <a:off x="880187" y="4747726"/>
            <a:ext cx="948144" cy="35631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marL="0" indent="0" algn="l" defTabSz="457200" rtl="0" eaLnBrk="1" latinLnBrk="0" hangingPunct="1"/>
            <a:r>
              <a:rPr lang="zh-CN" altLang="en-US" sz="1200" b="1" kern="1200">
                <a:solidFill>
                  <a:srgbClr val="00B050"/>
                </a:solidFill>
                <a:latin typeface="微软雅黑" panose="020B0503020204020204" pitchFamily="34" charset="-122"/>
                <a:ea typeface="微软雅黑" panose="020B0503020204020204" pitchFamily="34" charset="-122"/>
                <a:cs typeface="+mn-cs"/>
              </a:rPr>
              <a:t>模型层</a:t>
            </a:r>
          </a:p>
        </xdr:txBody>
      </xdr:sp>
      <xdr:sp macro="" textlink="">
        <xdr:nvSpPr>
          <xdr:cNvPr id="16" name="矩形 15">
            <a:extLst>
              <a:ext uri="{FF2B5EF4-FFF2-40B4-BE49-F238E27FC236}">
                <a16:creationId xmlns:a16="http://schemas.microsoft.com/office/drawing/2014/main" id="{00000000-0008-0000-0100-000010000000}"/>
              </a:ext>
            </a:extLst>
          </xdr:cNvPr>
          <xdr:cNvSpPr/>
        </xdr:nvSpPr>
        <xdr:spPr>
          <a:xfrm>
            <a:off x="1800808" y="3429000"/>
            <a:ext cx="1449354" cy="2481944"/>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17" name="文本框 13">
            <a:extLst>
              <a:ext uri="{FF2B5EF4-FFF2-40B4-BE49-F238E27FC236}">
                <a16:creationId xmlns:a16="http://schemas.microsoft.com/office/drawing/2014/main" id="{00000000-0008-0000-0100-000011000000}"/>
              </a:ext>
            </a:extLst>
          </xdr:cNvPr>
          <xdr:cNvSpPr txBox="1"/>
        </xdr:nvSpPr>
        <xdr:spPr>
          <a:xfrm>
            <a:off x="1800808" y="3543796"/>
            <a:ext cx="289250" cy="1569660"/>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zh-CN" altLang="en-US" sz="1200" b="1">
                <a:latin typeface="微软雅黑" panose="020B0503020204020204" pitchFamily="34" charset="-122"/>
                <a:ea typeface="微软雅黑" panose="020B0503020204020204" pitchFamily="34" charset="-122"/>
              </a:rPr>
              <a:t>输配电价测算模型</a:t>
            </a:r>
          </a:p>
        </xdr:txBody>
      </xdr:sp>
      <xdr:sp macro="" textlink="">
        <xdr:nvSpPr>
          <xdr:cNvPr id="18" name="文本框 14">
            <a:extLst>
              <a:ext uri="{FF2B5EF4-FFF2-40B4-BE49-F238E27FC236}">
                <a16:creationId xmlns:a16="http://schemas.microsoft.com/office/drawing/2014/main" id="{00000000-0008-0000-0100-000012000000}"/>
              </a:ext>
            </a:extLst>
          </xdr:cNvPr>
          <xdr:cNvSpPr txBox="1"/>
        </xdr:nvSpPr>
        <xdr:spPr>
          <a:xfrm>
            <a:off x="2174033" y="3501369"/>
            <a:ext cx="709127"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投资</a:t>
            </a:r>
          </a:p>
        </xdr:txBody>
      </xdr:sp>
      <xdr:sp macro="" textlink="">
        <xdr:nvSpPr>
          <xdr:cNvPr id="19" name="文本框 16">
            <a:extLst>
              <a:ext uri="{FF2B5EF4-FFF2-40B4-BE49-F238E27FC236}">
                <a16:creationId xmlns:a16="http://schemas.microsoft.com/office/drawing/2014/main" id="{00000000-0008-0000-0100-000013000000}"/>
              </a:ext>
            </a:extLst>
          </xdr:cNvPr>
          <xdr:cNvSpPr txBox="1"/>
        </xdr:nvSpPr>
        <xdr:spPr>
          <a:xfrm>
            <a:off x="2174033" y="5194024"/>
            <a:ext cx="709127" cy="276999"/>
          </a:xfrm>
          <a:prstGeom prst="rect">
            <a:avLst/>
          </a:prstGeom>
          <a:solidFill>
            <a:schemeClr val="accent1">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电量</a:t>
            </a:r>
          </a:p>
        </xdr:txBody>
      </xdr:sp>
      <xdr:sp macro="" textlink="">
        <xdr:nvSpPr>
          <xdr:cNvPr id="20" name="文本框 17">
            <a:extLst>
              <a:ext uri="{FF2B5EF4-FFF2-40B4-BE49-F238E27FC236}">
                <a16:creationId xmlns:a16="http://schemas.microsoft.com/office/drawing/2014/main" id="{00000000-0008-0000-0100-000014000000}"/>
              </a:ext>
            </a:extLst>
          </xdr:cNvPr>
          <xdr:cNvSpPr txBox="1"/>
        </xdr:nvSpPr>
        <xdr:spPr>
          <a:xfrm>
            <a:off x="2174033" y="4855493"/>
            <a:ext cx="849086" cy="276999"/>
          </a:xfrm>
          <a:prstGeom prst="rect">
            <a:avLst/>
          </a:prstGeom>
          <a:solidFill>
            <a:schemeClr val="accent1">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准许收入</a:t>
            </a:r>
          </a:p>
        </xdr:txBody>
      </xdr:sp>
      <xdr:sp macro="" textlink="">
        <xdr:nvSpPr>
          <xdr:cNvPr id="21" name="文本框 18">
            <a:extLst>
              <a:ext uri="{FF2B5EF4-FFF2-40B4-BE49-F238E27FC236}">
                <a16:creationId xmlns:a16="http://schemas.microsoft.com/office/drawing/2014/main" id="{00000000-0008-0000-0100-000015000000}"/>
              </a:ext>
            </a:extLst>
          </xdr:cNvPr>
          <xdr:cNvSpPr txBox="1"/>
        </xdr:nvSpPr>
        <xdr:spPr>
          <a:xfrm>
            <a:off x="2174033" y="5532556"/>
            <a:ext cx="849086"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输配电价</a:t>
            </a:r>
          </a:p>
        </xdr:txBody>
      </xdr:sp>
      <xdr:sp macro="" textlink="">
        <xdr:nvSpPr>
          <xdr:cNvPr id="22" name="文本框 19">
            <a:extLst>
              <a:ext uri="{FF2B5EF4-FFF2-40B4-BE49-F238E27FC236}">
                <a16:creationId xmlns:a16="http://schemas.microsoft.com/office/drawing/2014/main" id="{00000000-0008-0000-0100-000016000000}"/>
              </a:ext>
            </a:extLst>
          </xdr:cNvPr>
          <xdr:cNvSpPr txBox="1"/>
        </xdr:nvSpPr>
        <xdr:spPr>
          <a:xfrm>
            <a:off x="2174033" y="3839900"/>
            <a:ext cx="849086" cy="276999"/>
          </a:xfrm>
          <a:prstGeom prst="rect">
            <a:avLst/>
          </a:prstGeom>
          <a:solidFill>
            <a:schemeClr val="accent1">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有效资产</a:t>
            </a:r>
          </a:p>
        </xdr:txBody>
      </xdr:sp>
      <xdr:sp macro="" textlink="">
        <xdr:nvSpPr>
          <xdr:cNvPr id="23" name="文本框 20">
            <a:extLst>
              <a:ext uri="{FF2B5EF4-FFF2-40B4-BE49-F238E27FC236}">
                <a16:creationId xmlns:a16="http://schemas.microsoft.com/office/drawing/2014/main" id="{00000000-0008-0000-0100-000017000000}"/>
              </a:ext>
            </a:extLst>
          </xdr:cNvPr>
          <xdr:cNvSpPr txBox="1"/>
        </xdr:nvSpPr>
        <xdr:spPr>
          <a:xfrm>
            <a:off x="2174033" y="4178431"/>
            <a:ext cx="849086" cy="276999"/>
          </a:xfrm>
          <a:prstGeom prst="rect">
            <a:avLst/>
          </a:prstGeom>
          <a:solidFill>
            <a:schemeClr val="accent1">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准许成本</a:t>
            </a:r>
          </a:p>
        </xdr:txBody>
      </xdr:sp>
      <xdr:sp macro="" textlink="">
        <xdr:nvSpPr>
          <xdr:cNvPr id="24" name="文本框 21">
            <a:extLst>
              <a:ext uri="{FF2B5EF4-FFF2-40B4-BE49-F238E27FC236}">
                <a16:creationId xmlns:a16="http://schemas.microsoft.com/office/drawing/2014/main" id="{00000000-0008-0000-0100-000018000000}"/>
              </a:ext>
            </a:extLst>
          </xdr:cNvPr>
          <xdr:cNvSpPr txBox="1"/>
        </xdr:nvSpPr>
        <xdr:spPr>
          <a:xfrm>
            <a:off x="2174033" y="4516962"/>
            <a:ext cx="849086" cy="276999"/>
          </a:xfrm>
          <a:prstGeom prst="rect">
            <a:avLst/>
          </a:prstGeom>
          <a:solidFill>
            <a:schemeClr val="accent1">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准许收益</a:t>
            </a:r>
          </a:p>
        </xdr:txBody>
      </xdr:sp>
      <xdr:sp macro="" textlink="">
        <xdr:nvSpPr>
          <xdr:cNvPr id="25" name="矩形 24">
            <a:extLst>
              <a:ext uri="{FF2B5EF4-FFF2-40B4-BE49-F238E27FC236}">
                <a16:creationId xmlns:a16="http://schemas.microsoft.com/office/drawing/2014/main" id="{00000000-0008-0000-0100-000019000000}"/>
              </a:ext>
            </a:extLst>
          </xdr:cNvPr>
          <xdr:cNvSpPr/>
        </xdr:nvSpPr>
        <xdr:spPr>
          <a:xfrm>
            <a:off x="3385455" y="3429000"/>
            <a:ext cx="3183296" cy="2481944"/>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26" name="文本框 23">
            <a:extLst>
              <a:ext uri="{FF2B5EF4-FFF2-40B4-BE49-F238E27FC236}">
                <a16:creationId xmlns:a16="http://schemas.microsoft.com/office/drawing/2014/main" id="{00000000-0008-0000-0100-00001A000000}"/>
              </a:ext>
            </a:extLst>
          </xdr:cNvPr>
          <xdr:cNvSpPr txBox="1"/>
        </xdr:nvSpPr>
        <xdr:spPr>
          <a:xfrm>
            <a:off x="3366760" y="3483352"/>
            <a:ext cx="289250" cy="2173258"/>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zh-CN" altLang="en-US" sz="1200" b="1">
                <a:latin typeface="微软雅黑" panose="020B0503020204020204" pitchFamily="34" charset="-122"/>
                <a:ea typeface="微软雅黑" panose="020B0503020204020204" pitchFamily="34" charset="-122"/>
              </a:rPr>
              <a:t>经营目标预测模型</a:t>
            </a:r>
          </a:p>
        </xdr:txBody>
      </xdr:sp>
      <xdr:sp macro="" textlink="">
        <xdr:nvSpPr>
          <xdr:cNvPr id="27" name="文本框 24">
            <a:extLst>
              <a:ext uri="{FF2B5EF4-FFF2-40B4-BE49-F238E27FC236}">
                <a16:creationId xmlns:a16="http://schemas.microsoft.com/office/drawing/2014/main" id="{00000000-0008-0000-0100-00001B000000}"/>
              </a:ext>
            </a:extLst>
          </xdr:cNvPr>
          <xdr:cNvSpPr txBox="1"/>
        </xdr:nvSpPr>
        <xdr:spPr>
          <a:xfrm>
            <a:off x="3764092" y="3577050"/>
            <a:ext cx="849086"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电量</a:t>
            </a:r>
          </a:p>
        </xdr:txBody>
      </xdr:sp>
      <xdr:sp macro="" textlink="">
        <xdr:nvSpPr>
          <xdr:cNvPr id="28" name="文本框 26">
            <a:extLst>
              <a:ext uri="{FF2B5EF4-FFF2-40B4-BE49-F238E27FC236}">
                <a16:creationId xmlns:a16="http://schemas.microsoft.com/office/drawing/2014/main" id="{00000000-0008-0000-0100-00001C000000}"/>
              </a:ext>
            </a:extLst>
          </xdr:cNvPr>
          <xdr:cNvSpPr txBox="1"/>
        </xdr:nvSpPr>
        <xdr:spPr>
          <a:xfrm>
            <a:off x="3778088" y="4899523"/>
            <a:ext cx="891781"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成本费用</a:t>
            </a:r>
          </a:p>
        </xdr:txBody>
      </xdr:sp>
      <xdr:sp macro="" textlink="">
        <xdr:nvSpPr>
          <xdr:cNvPr id="29" name="文本框 28">
            <a:extLst>
              <a:ext uri="{FF2B5EF4-FFF2-40B4-BE49-F238E27FC236}">
                <a16:creationId xmlns:a16="http://schemas.microsoft.com/office/drawing/2014/main" id="{00000000-0008-0000-0100-00001D000000}"/>
              </a:ext>
            </a:extLst>
          </xdr:cNvPr>
          <xdr:cNvSpPr txBox="1"/>
        </xdr:nvSpPr>
        <xdr:spPr>
          <a:xfrm>
            <a:off x="3764091" y="3915581"/>
            <a:ext cx="849087"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输配电价</a:t>
            </a:r>
          </a:p>
        </xdr:txBody>
      </xdr:sp>
      <xdr:sp macro="" textlink="">
        <xdr:nvSpPr>
          <xdr:cNvPr id="30" name="文本框 29">
            <a:extLst>
              <a:ext uri="{FF2B5EF4-FFF2-40B4-BE49-F238E27FC236}">
                <a16:creationId xmlns:a16="http://schemas.microsoft.com/office/drawing/2014/main" id="{00000000-0008-0000-0100-00001E000000}"/>
              </a:ext>
            </a:extLst>
          </xdr:cNvPr>
          <xdr:cNvSpPr txBox="1"/>
        </xdr:nvSpPr>
        <xdr:spPr>
          <a:xfrm>
            <a:off x="3764092" y="4254112"/>
            <a:ext cx="849086"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投资</a:t>
            </a:r>
          </a:p>
        </xdr:txBody>
      </xdr:sp>
      <xdr:sp macro="" textlink="">
        <xdr:nvSpPr>
          <xdr:cNvPr id="31" name="文本框 30">
            <a:extLst>
              <a:ext uri="{FF2B5EF4-FFF2-40B4-BE49-F238E27FC236}">
                <a16:creationId xmlns:a16="http://schemas.microsoft.com/office/drawing/2014/main" id="{00000000-0008-0000-0100-00001F000000}"/>
              </a:ext>
            </a:extLst>
          </xdr:cNvPr>
          <xdr:cNvSpPr txBox="1"/>
        </xdr:nvSpPr>
        <xdr:spPr>
          <a:xfrm>
            <a:off x="3778088" y="5587685"/>
            <a:ext cx="905776" cy="276999"/>
          </a:xfrm>
          <a:prstGeom prst="rect">
            <a:avLst/>
          </a:prstGeom>
          <a:solidFill>
            <a:schemeClr val="accent1">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带息负债</a:t>
            </a:r>
          </a:p>
        </xdr:txBody>
      </xdr:sp>
      <xdr:sp macro="" textlink="">
        <xdr:nvSpPr>
          <xdr:cNvPr id="32" name="文本框 31">
            <a:extLst>
              <a:ext uri="{FF2B5EF4-FFF2-40B4-BE49-F238E27FC236}">
                <a16:creationId xmlns:a16="http://schemas.microsoft.com/office/drawing/2014/main" id="{00000000-0008-0000-0100-000020000000}"/>
              </a:ext>
            </a:extLst>
          </xdr:cNvPr>
          <xdr:cNvSpPr txBox="1"/>
        </xdr:nvSpPr>
        <xdr:spPr>
          <a:xfrm>
            <a:off x="3767202" y="4570731"/>
            <a:ext cx="1136781"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接收用户资产</a:t>
            </a:r>
          </a:p>
        </xdr:txBody>
      </xdr:sp>
      <xdr:sp macro="" textlink="">
        <xdr:nvSpPr>
          <xdr:cNvPr id="33" name="文本框 33">
            <a:extLst>
              <a:ext uri="{FF2B5EF4-FFF2-40B4-BE49-F238E27FC236}">
                <a16:creationId xmlns:a16="http://schemas.microsoft.com/office/drawing/2014/main" id="{00000000-0008-0000-0100-000021000000}"/>
              </a:ext>
            </a:extLst>
          </xdr:cNvPr>
          <xdr:cNvSpPr txBox="1"/>
        </xdr:nvSpPr>
        <xdr:spPr>
          <a:xfrm>
            <a:off x="5050949" y="4759952"/>
            <a:ext cx="1301978"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主要评级指标表</a:t>
            </a:r>
          </a:p>
        </xdr:txBody>
      </xdr:sp>
      <xdr:sp macro="" textlink="">
        <xdr:nvSpPr>
          <xdr:cNvPr id="34" name="文本框 34">
            <a:extLst>
              <a:ext uri="{FF2B5EF4-FFF2-40B4-BE49-F238E27FC236}">
                <a16:creationId xmlns:a16="http://schemas.microsoft.com/office/drawing/2014/main" id="{00000000-0008-0000-0100-000022000000}"/>
              </a:ext>
            </a:extLst>
          </xdr:cNvPr>
          <xdr:cNvSpPr txBox="1"/>
        </xdr:nvSpPr>
        <xdr:spPr>
          <a:xfrm>
            <a:off x="5043213" y="5160038"/>
            <a:ext cx="1426850"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国资委考核指标表</a:t>
            </a:r>
          </a:p>
        </xdr:txBody>
      </xdr:sp>
      <xdr:sp macro="" textlink="">
        <xdr:nvSpPr>
          <xdr:cNvPr id="35" name="文本框 36">
            <a:extLst>
              <a:ext uri="{FF2B5EF4-FFF2-40B4-BE49-F238E27FC236}">
                <a16:creationId xmlns:a16="http://schemas.microsoft.com/office/drawing/2014/main" id="{00000000-0008-0000-0100-000023000000}"/>
              </a:ext>
            </a:extLst>
          </xdr:cNvPr>
          <xdr:cNvSpPr txBox="1"/>
        </xdr:nvSpPr>
        <xdr:spPr>
          <a:xfrm>
            <a:off x="5018191" y="5560125"/>
            <a:ext cx="1310132"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主要经济指标表</a:t>
            </a:r>
          </a:p>
        </xdr:txBody>
      </xdr:sp>
      <xdr:sp macro="" textlink="">
        <xdr:nvSpPr>
          <xdr:cNvPr id="36" name="文本框 37">
            <a:extLst>
              <a:ext uri="{FF2B5EF4-FFF2-40B4-BE49-F238E27FC236}">
                <a16:creationId xmlns:a16="http://schemas.microsoft.com/office/drawing/2014/main" id="{00000000-0008-0000-0100-000024000000}"/>
              </a:ext>
            </a:extLst>
          </xdr:cNvPr>
          <xdr:cNvSpPr txBox="1"/>
        </xdr:nvSpPr>
        <xdr:spPr>
          <a:xfrm>
            <a:off x="3768860" y="5243604"/>
            <a:ext cx="891781"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其他参数</a:t>
            </a:r>
          </a:p>
        </xdr:txBody>
      </xdr:sp>
      <xdr:sp macro="" textlink="">
        <xdr:nvSpPr>
          <xdr:cNvPr id="37" name="文本框 38">
            <a:extLst>
              <a:ext uri="{FF2B5EF4-FFF2-40B4-BE49-F238E27FC236}">
                <a16:creationId xmlns:a16="http://schemas.microsoft.com/office/drawing/2014/main" id="{00000000-0008-0000-0100-000025000000}"/>
              </a:ext>
            </a:extLst>
          </xdr:cNvPr>
          <xdr:cNvSpPr txBox="1"/>
        </xdr:nvSpPr>
        <xdr:spPr>
          <a:xfrm>
            <a:off x="5034656" y="3959780"/>
            <a:ext cx="1037906"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资产负债表</a:t>
            </a:r>
          </a:p>
        </xdr:txBody>
      </xdr:sp>
      <xdr:sp macro="" textlink="">
        <xdr:nvSpPr>
          <xdr:cNvPr id="38" name="文本框 39">
            <a:extLst>
              <a:ext uri="{FF2B5EF4-FFF2-40B4-BE49-F238E27FC236}">
                <a16:creationId xmlns:a16="http://schemas.microsoft.com/office/drawing/2014/main" id="{00000000-0008-0000-0100-000026000000}"/>
              </a:ext>
            </a:extLst>
          </xdr:cNvPr>
          <xdr:cNvSpPr txBox="1"/>
        </xdr:nvSpPr>
        <xdr:spPr>
          <a:xfrm>
            <a:off x="5034656" y="3559694"/>
            <a:ext cx="905776"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利润表</a:t>
            </a:r>
          </a:p>
        </xdr:txBody>
      </xdr:sp>
      <xdr:sp macro="" textlink="">
        <xdr:nvSpPr>
          <xdr:cNvPr id="39" name="文本框 40">
            <a:extLst>
              <a:ext uri="{FF2B5EF4-FFF2-40B4-BE49-F238E27FC236}">
                <a16:creationId xmlns:a16="http://schemas.microsoft.com/office/drawing/2014/main" id="{00000000-0008-0000-0100-000027000000}"/>
              </a:ext>
            </a:extLst>
          </xdr:cNvPr>
          <xdr:cNvSpPr txBox="1"/>
        </xdr:nvSpPr>
        <xdr:spPr>
          <a:xfrm>
            <a:off x="5055227" y="4359866"/>
            <a:ext cx="1046581"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现金流量表</a:t>
            </a:r>
          </a:p>
        </xdr:txBody>
      </xdr:sp>
      <xdr:sp macro="" textlink="">
        <xdr:nvSpPr>
          <xdr:cNvPr id="40" name="矩形 39">
            <a:extLst>
              <a:ext uri="{FF2B5EF4-FFF2-40B4-BE49-F238E27FC236}">
                <a16:creationId xmlns:a16="http://schemas.microsoft.com/office/drawing/2014/main" id="{00000000-0008-0000-0100-000028000000}"/>
              </a:ext>
            </a:extLst>
          </xdr:cNvPr>
          <xdr:cNvSpPr/>
        </xdr:nvSpPr>
        <xdr:spPr>
          <a:xfrm>
            <a:off x="6703239" y="3427731"/>
            <a:ext cx="1927578" cy="2481944"/>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41" name="文本框 42">
            <a:extLst>
              <a:ext uri="{FF2B5EF4-FFF2-40B4-BE49-F238E27FC236}">
                <a16:creationId xmlns:a16="http://schemas.microsoft.com/office/drawing/2014/main" id="{00000000-0008-0000-0100-000029000000}"/>
              </a:ext>
            </a:extLst>
          </xdr:cNvPr>
          <xdr:cNvSpPr txBox="1"/>
        </xdr:nvSpPr>
        <xdr:spPr>
          <a:xfrm>
            <a:off x="6684028" y="3443466"/>
            <a:ext cx="289250" cy="1569660"/>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zh-CN" altLang="en-US" sz="1200" b="1">
                <a:latin typeface="微软雅黑" panose="020B0503020204020204" pitchFamily="34" charset="-122"/>
                <a:ea typeface="微软雅黑" panose="020B0503020204020204" pitchFamily="34" charset="-122"/>
              </a:rPr>
              <a:t>投资能力测算模型</a:t>
            </a:r>
          </a:p>
        </xdr:txBody>
      </xdr:sp>
      <xdr:sp macro="" textlink="">
        <xdr:nvSpPr>
          <xdr:cNvPr id="42" name="文本框 43">
            <a:extLst>
              <a:ext uri="{FF2B5EF4-FFF2-40B4-BE49-F238E27FC236}">
                <a16:creationId xmlns:a16="http://schemas.microsoft.com/office/drawing/2014/main" id="{00000000-0008-0000-0100-00002A000000}"/>
              </a:ext>
            </a:extLst>
          </xdr:cNvPr>
          <xdr:cNvSpPr txBox="1"/>
        </xdr:nvSpPr>
        <xdr:spPr>
          <a:xfrm>
            <a:off x="7076464" y="3500100"/>
            <a:ext cx="1156992"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约束利润总额</a:t>
            </a:r>
          </a:p>
        </xdr:txBody>
      </xdr:sp>
      <xdr:sp macro="" textlink="">
        <xdr:nvSpPr>
          <xdr:cNvPr id="43" name="文本框 45">
            <a:extLst>
              <a:ext uri="{FF2B5EF4-FFF2-40B4-BE49-F238E27FC236}">
                <a16:creationId xmlns:a16="http://schemas.microsoft.com/office/drawing/2014/main" id="{00000000-0008-0000-0100-00002B000000}"/>
              </a:ext>
            </a:extLst>
          </xdr:cNvPr>
          <xdr:cNvSpPr txBox="1"/>
        </xdr:nvSpPr>
        <xdr:spPr>
          <a:xfrm>
            <a:off x="7076464" y="4854224"/>
            <a:ext cx="1156992" cy="276999"/>
          </a:xfrm>
          <a:prstGeom prst="rect">
            <a:avLst/>
          </a:prstGeom>
          <a:solidFill>
            <a:schemeClr val="accent1">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现金流出情况</a:t>
            </a:r>
          </a:p>
        </xdr:txBody>
      </xdr:sp>
      <xdr:sp macro="" textlink="">
        <xdr:nvSpPr>
          <xdr:cNvPr id="44" name="文本框 46">
            <a:extLst>
              <a:ext uri="{FF2B5EF4-FFF2-40B4-BE49-F238E27FC236}">
                <a16:creationId xmlns:a16="http://schemas.microsoft.com/office/drawing/2014/main" id="{00000000-0008-0000-0100-00002C000000}"/>
              </a:ext>
            </a:extLst>
          </xdr:cNvPr>
          <xdr:cNvSpPr txBox="1"/>
        </xdr:nvSpPr>
        <xdr:spPr>
          <a:xfrm>
            <a:off x="6821033" y="5560124"/>
            <a:ext cx="1762735"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多场景下最大投资能力</a:t>
            </a:r>
          </a:p>
        </xdr:txBody>
      </xdr:sp>
      <xdr:sp macro="" textlink="">
        <xdr:nvSpPr>
          <xdr:cNvPr id="45" name="文本框 48">
            <a:extLst>
              <a:ext uri="{FF2B5EF4-FFF2-40B4-BE49-F238E27FC236}">
                <a16:creationId xmlns:a16="http://schemas.microsoft.com/office/drawing/2014/main" id="{00000000-0008-0000-0100-00002D000000}"/>
              </a:ext>
            </a:extLst>
          </xdr:cNvPr>
          <xdr:cNvSpPr txBox="1"/>
        </xdr:nvSpPr>
        <xdr:spPr>
          <a:xfrm>
            <a:off x="7076463" y="4177163"/>
            <a:ext cx="1156993" cy="276998"/>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其他约束条件</a:t>
            </a:r>
          </a:p>
        </xdr:txBody>
      </xdr:sp>
      <xdr:sp macro="" textlink="">
        <xdr:nvSpPr>
          <xdr:cNvPr id="46" name="文本框 49">
            <a:extLst>
              <a:ext uri="{FF2B5EF4-FFF2-40B4-BE49-F238E27FC236}">
                <a16:creationId xmlns:a16="http://schemas.microsoft.com/office/drawing/2014/main" id="{00000000-0008-0000-0100-00002E000000}"/>
              </a:ext>
            </a:extLst>
          </xdr:cNvPr>
          <xdr:cNvSpPr txBox="1"/>
        </xdr:nvSpPr>
        <xdr:spPr>
          <a:xfrm>
            <a:off x="7076463" y="4515693"/>
            <a:ext cx="1112705" cy="276999"/>
          </a:xfrm>
          <a:prstGeom prst="rect">
            <a:avLst/>
          </a:prstGeom>
          <a:solidFill>
            <a:schemeClr val="accent1">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现金流入情况</a:t>
            </a:r>
          </a:p>
        </xdr:txBody>
      </xdr:sp>
      <xdr:sp macro="" textlink="">
        <xdr:nvSpPr>
          <xdr:cNvPr id="47" name="文本框 50">
            <a:extLst>
              <a:ext uri="{FF2B5EF4-FFF2-40B4-BE49-F238E27FC236}">
                <a16:creationId xmlns:a16="http://schemas.microsoft.com/office/drawing/2014/main" id="{00000000-0008-0000-0100-00002F000000}"/>
              </a:ext>
            </a:extLst>
          </xdr:cNvPr>
          <xdr:cNvSpPr txBox="1"/>
        </xdr:nvSpPr>
        <xdr:spPr>
          <a:xfrm>
            <a:off x="7073352" y="3838630"/>
            <a:ext cx="1275234" cy="276999"/>
          </a:xfrm>
          <a:prstGeom prst="rect">
            <a:avLst/>
          </a:prstGeom>
          <a:solidFill>
            <a:schemeClr val="accent6">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约束资产负债率</a:t>
            </a:r>
          </a:p>
        </xdr:txBody>
      </xdr:sp>
      <xdr:sp macro="" textlink="">
        <xdr:nvSpPr>
          <xdr:cNvPr id="48" name="文本框 51">
            <a:extLst>
              <a:ext uri="{FF2B5EF4-FFF2-40B4-BE49-F238E27FC236}">
                <a16:creationId xmlns:a16="http://schemas.microsoft.com/office/drawing/2014/main" id="{00000000-0008-0000-0100-000030000000}"/>
              </a:ext>
            </a:extLst>
          </xdr:cNvPr>
          <xdr:cNvSpPr txBox="1"/>
        </xdr:nvSpPr>
        <xdr:spPr>
          <a:xfrm>
            <a:off x="7076463" y="5208121"/>
            <a:ext cx="1449353" cy="276999"/>
          </a:xfrm>
          <a:prstGeom prst="rect">
            <a:avLst/>
          </a:prstGeom>
          <a:solidFill>
            <a:schemeClr val="accent4">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多期最大投资能力</a:t>
            </a:r>
          </a:p>
        </xdr:txBody>
      </xdr:sp>
      <xdr:sp macro="" textlink="">
        <xdr:nvSpPr>
          <xdr:cNvPr id="49" name="文本框 52">
            <a:extLst>
              <a:ext uri="{FF2B5EF4-FFF2-40B4-BE49-F238E27FC236}">
                <a16:creationId xmlns:a16="http://schemas.microsoft.com/office/drawing/2014/main" id="{00000000-0008-0000-0100-000031000000}"/>
              </a:ext>
            </a:extLst>
          </xdr:cNvPr>
          <xdr:cNvSpPr txBox="1"/>
        </xdr:nvSpPr>
        <xdr:spPr>
          <a:xfrm>
            <a:off x="814871" y="2838846"/>
            <a:ext cx="1165860" cy="356316"/>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marL="0" indent="0" algn="l" defTabSz="457200" rtl="0" eaLnBrk="1" latinLnBrk="0" hangingPunct="1"/>
            <a:r>
              <a:rPr lang="zh-CN" altLang="en-US" sz="1200" b="1" kern="1200">
                <a:solidFill>
                  <a:srgbClr val="00B050"/>
                </a:solidFill>
                <a:latin typeface="微软雅黑" panose="020B0503020204020204" pitchFamily="34" charset="-122"/>
                <a:ea typeface="微软雅黑" panose="020B0503020204020204" pitchFamily="34" charset="-122"/>
                <a:cs typeface="+mn-cs"/>
              </a:rPr>
              <a:t>分析技术</a:t>
            </a:r>
          </a:p>
        </xdr:txBody>
      </xdr:sp>
      <xdr:sp macro="" textlink="">
        <xdr:nvSpPr>
          <xdr:cNvPr id="50" name="文本框 53">
            <a:extLst>
              <a:ext uri="{FF2B5EF4-FFF2-40B4-BE49-F238E27FC236}">
                <a16:creationId xmlns:a16="http://schemas.microsoft.com/office/drawing/2014/main" id="{00000000-0008-0000-0100-000032000000}"/>
              </a:ext>
            </a:extLst>
          </xdr:cNvPr>
          <xdr:cNvSpPr txBox="1"/>
        </xdr:nvSpPr>
        <xdr:spPr>
          <a:xfrm>
            <a:off x="3137382" y="2819382"/>
            <a:ext cx="1037256" cy="276999"/>
          </a:xfrm>
          <a:prstGeom prst="rect">
            <a:avLst/>
          </a:prstGeom>
          <a:solidFill>
            <a:schemeClr val="accent3">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敏感性分析</a:t>
            </a:r>
          </a:p>
        </xdr:txBody>
      </xdr:sp>
      <xdr:sp macro="" textlink="">
        <xdr:nvSpPr>
          <xdr:cNvPr id="51" name="文本框 54">
            <a:extLst>
              <a:ext uri="{FF2B5EF4-FFF2-40B4-BE49-F238E27FC236}">
                <a16:creationId xmlns:a16="http://schemas.microsoft.com/office/drawing/2014/main" id="{00000000-0008-0000-0100-000033000000}"/>
              </a:ext>
            </a:extLst>
          </xdr:cNvPr>
          <xdr:cNvSpPr txBox="1"/>
        </xdr:nvSpPr>
        <xdr:spPr>
          <a:xfrm>
            <a:off x="814871" y="2150608"/>
            <a:ext cx="849086" cy="276999"/>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zh-CN" altLang="en-US" sz="1200" b="1">
                <a:solidFill>
                  <a:srgbClr val="00B050"/>
                </a:solidFill>
                <a:latin typeface="微软雅黑" panose="020B0503020204020204" pitchFamily="34" charset="-122"/>
                <a:ea typeface="微软雅黑" panose="020B0503020204020204" pitchFamily="34" charset="-122"/>
              </a:rPr>
              <a:t>决策场景</a:t>
            </a:r>
          </a:p>
        </xdr:txBody>
      </xdr:sp>
      <xdr:sp macro="" textlink="">
        <xdr:nvSpPr>
          <xdr:cNvPr id="52" name="文本框 55">
            <a:extLst>
              <a:ext uri="{FF2B5EF4-FFF2-40B4-BE49-F238E27FC236}">
                <a16:creationId xmlns:a16="http://schemas.microsoft.com/office/drawing/2014/main" id="{00000000-0008-0000-0100-000034000000}"/>
              </a:ext>
            </a:extLst>
          </xdr:cNvPr>
          <xdr:cNvSpPr txBox="1"/>
        </xdr:nvSpPr>
        <xdr:spPr>
          <a:xfrm>
            <a:off x="1729272" y="2139787"/>
            <a:ext cx="1449354" cy="326211"/>
          </a:xfrm>
          <a:prstGeom prst="rect">
            <a:avLst/>
          </a:prstGeom>
          <a:solidFill>
            <a:schemeClr val="bg2">
              <a:lumMod val="90000"/>
            </a:schemeClr>
          </a:solidFill>
        </xdr:spPr>
        <xdr:txBody>
          <a:bodyPr wrap="square" rtlCol="0">
            <a:no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指标关系量化研究</a:t>
            </a:r>
          </a:p>
        </xdr:txBody>
      </xdr:sp>
      <xdr:sp macro="" textlink="">
        <xdr:nvSpPr>
          <xdr:cNvPr id="53" name="文本框 56">
            <a:extLst>
              <a:ext uri="{FF2B5EF4-FFF2-40B4-BE49-F238E27FC236}">
                <a16:creationId xmlns:a16="http://schemas.microsoft.com/office/drawing/2014/main" id="{00000000-0008-0000-0100-000035000000}"/>
              </a:ext>
            </a:extLst>
          </xdr:cNvPr>
          <xdr:cNvSpPr txBox="1"/>
        </xdr:nvSpPr>
        <xdr:spPr>
          <a:xfrm>
            <a:off x="3442564" y="2148156"/>
            <a:ext cx="800131" cy="333082"/>
          </a:xfrm>
          <a:prstGeom prst="rect">
            <a:avLst/>
          </a:prstGeom>
          <a:solidFill>
            <a:schemeClr val="bg2">
              <a:lumMod val="90000"/>
            </a:schemeClr>
          </a:solidFill>
        </xdr:spPr>
        <xdr:txBody>
          <a:bodyPr wrap="square" rtlCol="0">
            <a:no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边界管控</a:t>
            </a:r>
          </a:p>
        </xdr:txBody>
      </xdr:sp>
      <xdr:sp macro="" textlink="">
        <xdr:nvSpPr>
          <xdr:cNvPr id="54" name="文本框 57">
            <a:extLst>
              <a:ext uri="{FF2B5EF4-FFF2-40B4-BE49-F238E27FC236}">
                <a16:creationId xmlns:a16="http://schemas.microsoft.com/office/drawing/2014/main" id="{00000000-0008-0000-0100-000036000000}"/>
              </a:ext>
            </a:extLst>
          </xdr:cNvPr>
          <xdr:cNvSpPr txBox="1"/>
        </xdr:nvSpPr>
        <xdr:spPr>
          <a:xfrm>
            <a:off x="4506633" y="2148156"/>
            <a:ext cx="800131" cy="317842"/>
          </a:xfrm>
          <a:prstGeom prst="rect">
            <a:avLst/>
          </a:prstGeom>
          <a:solidFill>
            <a:schemeClr val="bg2">
              <a:lumMod val="90000"/>
            </a:schemeClr>
          </a:solidFill>
        </xdr:spPr>
        <xdr:txBody>
          <a:bodyPr wrap="square" rtlCol="0">
            <a:no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投资决策</a:t>
            </a:r>
          </a:p>
        </xdr:txBody>
      </xdr:sp>
      <xdr:sp macro="" textlink="">
        <xdr:nvSpPr>
          <xdr:cNvPr id="55" name="文本框 58">
            <a:extLst>
              <a:ext uri="{FF2B5EF4-FFF2-40B4-BE49-F238E27FC236}">
                <a16:creationId xmlns:a16="http://schemas.microsoft.com/office/drawing/2014/main" id="{00000000-0008-0000-0100-000037000000}"/>
              </a:ext>
            </a:extLst>
          </xdr:cNvPr>
          <xdr:cNvSpPr txBox="1"/>
        </xdr:nvSpPr>
        <xdr:spPr>
          <a:xfrm>
            <a:off x="5570702" y="2152073"/>
            <a:ext cx="1131016" cy="321545"/>
          </a:xfrm>
          <a:prstGeom prst="rect">
            <a:avLst/>
          </a:prstGeom>
          <a:solidFill>
            <a:schemeClr val="bg2">
              <a:lumMod val="90000"/>
            </a:schemeClr>
          </a:solidFill>
        </xdr:spPr>
        <xdr:txBody>
          <a:bodyPr wrap="square" rtlCol="0">
            <a:no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电价政策争取</a:t>
            </a:r>
          </a:p>
        </xdr:txBody>
      </xdr:sp>
      <xdr:sp macro="" textlink="">
        <xdr:nvSpPr>
          <xdr:cNvPr id="56" name="文本框 59">
            <a:extLst>
              <a:ext uri="{FF2B5EF4-FFF2-40B4-BE49-F238E27FC236}">
                <a16:creationId xmlns:a16="http://schemas.microsoft.com/office/drawing/2014/main" id="{00000000-0008-0000-0100-000038000000}"/>
              </a:ext>
            </a:extLst>
          </xdr:cNvPr>
          <xdr:cNvSpPr txBox="1"/>
        </xdr:nvSpPr>
        <xdr:spPr>
          <a:xfrm>
            <a:off x="6965657" y="2158255"/>
            <a:ext cx="1560158" cy="330603"/>
          </a:xfrm>
          <a:prstGeom prst="rect">
            <a:avLst/>
          </a:prstGeom>
          <a:solidFill>
            <a:schemeClr val="bg2">
              <a:lumMod val="90000"/>
            </a:schemeClr>
          </a:solidFill>
        </xdr:spPr>
        <xdr:txBody>
          <a:bodyPr wrap="square" rtlCol="0">
            <a:no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总控目标测算及下达</a:t>
            </a:r>
          </a:p>
        </xdr:txBody>
      </xdr:sp>
      <xdr:sp macro="" textlink="">
        <xdr:nvSpPr>
          <xdr:cNvPr id="57" name="文本框 60">
            <a:extLst>
              <a:ext uri="{FF2B5EF4-FFF2-40B4-BE49-F238E27FC236}">
                <a16:creationId xmlns:a16="http://schemas.microsoft.com/office/drawing/2014/main" id="{00000000-0008-0000-0100-000039000000}"/>
              </a:ext>
            </a:extLst>
          </xdr:cNvPr>
          <xdr:cNvSpPr txBox="1"/>
        </xdr:nvSpPr>
        <xdr:spPr>
          <a:xfrm>
            <a:off x="5825119" y="2821099"/>
            <a:ext cx="1289888" cy="276999"/>
          </a:xfrm>
          <a:prstGeom prst="rect">
            <a:avLst/>
          </a:prstGeom>
          <a:solidFill>
            <a:schemeClr val="accent3">
              <a:lumMod val="20000"/>
              <a:lumOff val="80000"/>
            </a:schemeClr>
          </a:solid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zh-CN" altLang="en-US" sz="1200" b="1">
                <a:solidFill>
                  <a:schemeClr val="accent1"/>
                </a:solidFill>
                <a:latin typeface="微软雅黑" panose="020B0503020204020204" pitchFamily="34" charset="-122"/>
                <a:ea typeface="微软雅黑" panose="020B0503020204020204" pitchFamily="34" charset="-122"/>
              </a:rPr>
              <a:t>多目标优化求解</a:t>
            </a:r>
          </a:p>
        </xdr:txBody>
      </xdr:sp>
      <xdr:sp macro="" textlink="">
        <xdr:nvSpPr>
          <xdr:cNvPr id="58" name="矩形 57">
            <a:extLst>
              <a:ext uri="{FF2B5EF4-FFF2-40B4-BE49-F238E27FC236}">
                <a16:creationId xmlns:a16="http://schemas.microsoft.com/office/drawing/2014/main" id="{00000000-0008-0000-0100-00003A000000}"/>
              </a:ext>
            </a:extLst>
          </xdr:cNvPr>
          <xdr:cNvSpPr/>
        </xdr:nvSpPr>
        <xdr:spPr>
          <a:xfrm>
            <a:off x="814872" y="3351389"/>
            <a:ext cx="7940351" cy="2634627"/>
          </a:xfrm>
          <a:prstGeom prst="rect">
            <a:avLst/>
          </a:prstGeom>
          <a:noFill/>
          <a:ln w="19050"/>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59" name="矩形 58">
            <a:extLst>
              <a:ext uri="{FF2B5EF4-FFF2-40B4-BE49-F238E27FC236}">
                <a16:creationId xmlns:a16="http://schemas.microsoft.com/office/drawing/2014/main" id="{00000000-0008-0000-0100-00003B000000}"/>
              </a:ext>
            </a:extLst>
          </xdr:cNvPr>
          <xdr:cNvSpPr/>
        </xdr:nvSpPr>
        <xdr:spPr>
          <a:xfrm>
            <a:off x="814872" y="2670540"/>
            <a:ext cx="7940351" cy="613613"/>
          </a:xfrm>
          <a:prstGeom prst="rect">
            <a:avLst/>
          </a:prstGeom>
          <a:noFill/>
          <a:ln w="19050"/>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60" name="矩形 59">
            <a:extLst>
              <a:ext uri="{FF2B5EF4-FFF2-40B4-BE49-F238E27FC236}">
                <a16:creationId xmlns:a16="http://schemas.microsoft.com/office/drawing/2014/main" id="{00000000-0008-0000-0100-00003C000000}"/>
              </a:ext>
            </a:extLst>
          </xdr:cNvPr>
          <xdr:cNvSpPr/>
        </xdr:nvSpPr>
        <xdr:spPr>
          <a:xfrm>
            <a:off x="814871" y="1993558"/>
            <a:ext cx="7940351" cy="613613"/>
          </a:xfrm>
          <a:prstGeom prst="rect">
            <a:avLst/>
          </a:prstGeom>
          <a:noFill/>
          <a:ln w="19050"/>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61" name="箭头: 右 60">
            <a:extLst>
              <a:ext uri="{FF2B5EF4-FFF2-40B4-BE49-F238E27FC236}">
                <a16:creationId xmlns:a16="http://schemas.microsoft.com/office/drawing/2014/main" id="{00000000-0008-0000-0100-00003D000000}"/>
              </a:ext>
            </a:extLst>
          </xdr:cNvPr>
          <xdr:cNvSpPr/>
        </xdr:nvSpPr>
        <xdr:spPr>
          <a:xfrm rot="16200000">
            <a:off x="1119233" y="5717184"/>
            <a:ext cx="168078" cy="537663"/>
          </a:xfrm>
          <a:prstGeom prst="rightArrow">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62" name="箭头: 右 61">
            <a:extLst>
              <a:ext uri="{FF2B5EF4-FFF2-40B4-BE49-F238E27FC236}">
                <a16:creationId xmlns:a16="http://schemas.microsoft.com/office/drawing/2014/main" id="{00000000-0008-0000-0100-00003E000000}"/>
              </a:ext>
            </a:extLst>
          </xdr:cNvPr>
          <xdr:cNvSpPr/>
        </xdr:nvSpPr>
        <xdr:spPr>
          <a:xfrm rot="16200000">
            <a:off x="1119233" y="3021616"/>
            <a:ext cx="168078" cy="537663"/>
          </a:xfrm>
          <a:prstGeom prst="rightArrow">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63" name="箭头: 右 62">
            <a:extLst>
              <a:ext uri="{FF2B5EF4-FFF2-40B4-BE49-F238E27FC236}">
                <a16:creationId xmlns:a16="http://schemas.microsoft.com/office/drawing/2014/main" id="{00000000-0008-0000-0100-00003F000000}"/>
              </a:ext>
            </a:extLst>
          </xdr:cNvPr>
          <xdr:cNvSpPr/>
        </xdr:nvSpPr>
        <xdr:spPr>
          <a:xfrm rot="16200000">
            <a:off x="1119234" y="2361712"/>
            <a:ext cx="168078" cy="537663"/>
          </a:xfrm>
          <a:prstGeom prst="rightArrow">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zh-CN" altLang="en-US"/>
          </a:p>
        </xdr:txBody>
      </xdr:sp>
    </xdr:grpSp>
    <xdr:clientData/>
  </xdr:twoCellAnchor>
  <xdr:twoCellAnchor>
    <xdr:from>
      <xdr:col>4</xdr:col>
      <xdr:colOff>379448</xdr:colOff>
      <xdr:row>13</xdr:row>
      <xdr:rowOff>48843</xdr:rowOff>
    </xdr:from>
    <xdr:to>
      <xdr:col>5</xdr:col>
      <xdr:colOff>510820</xdr:colOff>
      <xdr:row>22</xdr:row>
      <xdr:rowOff>19898</xdr:rowOff>
    </xdr:to>
    <xdr:cxnSp macro="">
      <xdr:nvCxnSpPr>
        <xdr:cNvPr id="3" name="连接符: 肘形 2">
          <a:extLst>
            <a:ext uri="{FF2B5EF4-FFF2-40B4-BE49-F238E27FC236}">
              <a16:creationId xmlns:a16="http://schemas.microsoft.com/office/drawing/2014/main" id="{00000000-0008-0000-0100-000003000000}"/>
            </a:ext>
          </a:extLst>
        </xdr:cNvPr>
        <xdr:cNvCxnSpPr>
          <a:stCxn id="21" idx="3"/>
          <a:endCxn id="29" idx="1"/>
        </xdr:cNvCxnSpPr>
      </xdr:nvCxnSpPr>
      <xdr:spPr>
        <a:xfrm flipV="1">
          <a:off x="2817848" y="2426283"/>
          <a:ext cx="740972" cy="1616975"/>
        </a:xfrm>
        <a:prstGeom prst="bentConnector3">
          <a:avLst>
            <a:gd name="adj1" fmla="val 50000"/>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494526</xdr:colOff>
      <xdr:row>10</xdr:row>
      <xdr:rowOff>44771</xdr:rowOff>
    </xdr:from>
    <xdr:to>
      <xdr:col>13</xdr:col>
      <xdr:colOff>453697</xdr:colOff>
      <xdr:row>22</xdr:row>
      <xdr:rowOff>47466</xdr:rowOff>
    </xdr:to>
    <xdr:cxnSp macro="">
      <xdr:nvCxnSpPr>
        <xdr:cNvPr id="4" name="连接符: 肘形 3">
          <a:extLst>
            <a:ext uri="{FF2B5EF4-FFF2-40B4-BE49-F238E27FC236}">
              <a16:creationId xmlns:a16="http://schemas.microsoft.com/office/drawing/2014/main" id="{00000000-0008-0000-0100-000004000000}"/>
            </a:ext>
          </a:extLst>
        </xdr:cNvPr>
        <xdr:cNvCxnSpPr>
          <a:stCxn id="44" idx="3"/>
          <a:endCxn id="18" idx="0"/>
        </xdr:cNvCxnSpPr>
      </xdr:nvCxnSpPr>
      <xdr:spPr>
        <a:xfrm flipH="1" flipV="1">
          <a:off x="2323326" y="1873571"/>
          <a:ext cx="6055171" cy="2197255"/>
        </a:xfrm>
        <a:prstGeom prst="bentConnector4">
          <a:avLst>
            <a:gd name="adj1" fmla="val -3775"/>
            <a:gd name="adj2" fmla="val 110404"/>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140707</xdr:colOff>
      <xdr:row>15</xdr:row>
      <xdr:rowOff>21614</xdr:rowOff>
    </xdr:from>
    <xdr:to>
      <xdr:col>13</xdr:col>
      <xdr:colOff>453697</xdr:colOff>
      <xdr:row>22</xdr:row>
      <xdr:rowOff>47466</xdr:rowOff>
    </xdr:to>
    <xdr:cxnSp macro="">
      <xdr:nvCxnSpPr>
        <xdr:cNvPr id="5" name="连接符: 肘形 4">
          <a:extLst>
            <a:ext uri="{FF2B5EF4-FFF2-40B4-BE49-F238E27FC236}">
              <a16:creationId xmlns:a16="http://schemas.microsoft.com/office/drawing/2014/main" id="{00000000-0008-0000-0100-000005000000}"/>
            </a:ext>
          </a:extLst>
        </xdr:cNvPr>
        <xdr:cNvCxnSpPr>
          <a:stCxn id="44" idx="3"/>
          <a:endCxn id="30" idx="3"/>
        </xdr:cNvCxnSpPr>
      </xdr:nvCxnSpPr>
      <xdr:spPr>
        <a:xfrm flipH="1" flipV="1">
          <a:off x="4407907" y="2764814"/>
          <a:ext cx="3970590" cy="1306012"/>
        </a:xfrm>
        <a:prstGeom prst="bentConnector3">
          <a:avLst>
            <a:gd name="adj1" fmla="val -5757"/>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410137</xdr:colOff>
      <xdr:row>15</xdr:row>
      <xdr:rowOff>127368</xdr:rowOff>
    </xdr:from>
    <xdr:to>
      <xdr:col>11</xdr:col>
      <xdr:colOff>165592</xdr:colOff>
      <xdr:row>16</xdr:row>
      <xdr:rowOff>100315</xdr:rowOff>
    </xdr:to>
    <xdr:cxnSp macro="">
      <xdr:nvCxnSpPr>
        <xdr:cNvPr id="6" name="连接符: 肘形 5">
          <a:extLst>
            <a:ext uri="{FF2B5EF4-FFF2-40B4-BE49-F238E27FC236}">
              <a16:creationId xmlns:a16="http://schemas.microsoft.com/office/drawing/2014/main" id="{00000000-0008-0000-0100-000006000000}"/>
            </a:ext>
          </a:extLst>
        </xdr:cNvPr>
        <xdr:cNvCxnSpPr>
          <a:stCxn id="39" idx="3"/>
          <a:endCxn id="46" idx="1"/>
        </xdr:cNvCxnSpPr>
      </xdr:nvCxnSpPr>
      <xdr:spPr>
        <a:xfrm>
          <a:off x="5896537" y="2870568"/>
          <a:ext cx="974655" cy="155827"/>
        </a:xfrm>
        <a:prstGeom prst="bentConnector3">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410137</xdr:colOff>
      <xdr:row>15</xdr:row>
      <xdr:rowOff>127368</xdr:rowOff>
    </xdr:from>
    <xdr:to>
      <xdr:col>11</xdr:col>
      <xdr:colOff>165593</xdr:colOff>
      <xdr:row>18</xdr:row>
      <xdr:rowOff>73086</xdr:rowOff>
    </xdr:to>
    <xdr:cxnSp macro="">
      <xdr:nvCxnSpPr>
        <xdr:cNvPr id="7" name="连接符: 肘形 6">
          <a:extLst>
            <a:ext uri="{FF2B5EF4-FFF2-40B4-BE49-F238E27FC236}">
              <a16:creationId xmlns:a16="http://schemas.microsoft.com/office/drawing/2014/main" id="{00000000-0008-0000-0100-000007000000}"/>
            </a:ext>
          </a:extLst>
        </xdr:cNvPr>
        <xdr:cNvCxnSpPr>
          <a:stCxn id="39" idx="3"/>
          <a:endCxn id="43" idx="1"/>
        </xdr:cNvCxnSpPr>
      </xdr:nvCxnSpPr>
      <xdr:spPr>
        <a:xfrm>
          <a:off x="5896537" y="2870568"/>
          <a:ext cx="974656" cy="494358"/>
        </a:xfrm>
        <a:prstGeom prst="bentConnector3">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xdr:colOff>
          <xdr:row>31</xdr:row>
          <xdr:rowOff>53340</xdr:rowOff>
        </xdr:from>
        <xdr:to>
          <xdr:col>3</xdr:col>
          <xdr:colOff>1394460</xdr:colOff>
          <xdr:row>31</xdr:row>
          <xdr:rowOff>381000</xdr:rowOff>
        </xdr:to>
        <xdr:sp macro="" textlink="">
          <xdr:nvSpPr>
            <xdr:cNvPr id="60417" name="Button 1" hidden="1">
              <a:extLst>
                <a:ext uri="{63B3BB69-23CF-44E3-9099-C40C66FF867C}">
                  <a14:compatExt spid="_x0000_s60417"/>
                </a:ext>
                <a:ext uri="{FF2B5EF4-FFF2-40B4-BE49-F238E27FC236}">
                  <a16:creationId xmlns:a16="http://schemas.microsoft.com/office/drawing/2014/main" id="{00000000-0008-0000-0400-000001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41148" rIns="36576" bIns="41148" anchor="ctr" upright="1"/>
            <a:lstStyle/>
            <a:p>
              <a:pPr algn="ctr" rtl="0">
                <a:defRPr sz="1000"/>
              </a:pPr>
              <a:r>
                <a:rPr lang="zh-CN" altLang="en-US" sz="1100" b="1" i="0" u="none" strike="noStrike" baseline="0">
                  <a:solidFill>
                    <a:srgbClr val="000000"/>
                  </a:solidFill>
                  <a:latin typeface="微软雅黑"/>
                  <a:ea typeface="微软雅黑"/>
                </a:rPr>
                <a:t>场景2：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449580</xdr:colOff>
          <xdr:row>33</xdr:row>
          <xdr:rowOff>121920</xdr:rowOff>
        </xdr:from>
        <xdr:to>
          <xdr:col>7</xdr:col>
          <xdr:colOff>922020</xdr:colOff>
          <xdr:row>33</xdr:row>
          <xdr:rowOff>426720</xdr:rowOff>
        </xdr:to>
        <xdr:sp macro="" textlink="">
          <xdr:nvSpPr>
            <xdr:cNvPr id="60418" name="Spinner 2" hidden="1">
              <a:extLst>
                <a:ext uri="{63B3BB69-23CF-44E3-9099-C40C66FF867C}">
                  <a14:compatExt spid="_x0000_s60418"/>
                </a:ext>
                <a:ext uri="{FF2B5EF4-FFF2-40B4-BE49-F238E27FC236}">
                  <a16:creationId xmlns:a16="http://schemas.microsoft.com/office/drawing/2014/main" id="{00000000-0008-0000-0400-000002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441960</xdr:colOff>
          <xdr:row>37</xdr:row>
          <xdr:rowOff>137160</xdr:rowOff>
        </xdr:from>
        <xdr:to>
          <xdr:col>7</xdr:col>
          <xdr:colOff>914400</xdr:colOff>
          <xdr:row>37</xdr:row>
          <xdr:rowOff>441960</xdr:rowOff>
        </xdr:to>
        <xdr:sp macro="" textlink="">
          <xdr:nvSpPr>
            <xdr:cNvPr id="60419" name="Spinner 3" hidden="1">
              <a:extLst>
                <a:ext uri="{63B3BB69-23CF-44E3-9099-C40C66FF867C}">
                  <a14:compatExt spid="_x0000_s60419"/>
                </a:ext>
                <a:ext uri="{FF2B5EF4-FFF2-40B4-BE49-F238E27FC236}">
                  <a16:creationId xmlns:a16="http://schemas.microsoft.com/office/drawing/2014/main" id="{00000000-0008-0000-0400-000003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441960</xdr:colOff>
          <xdr:row>36</xdr:row>
          <xdr:rowOff>137160</xdr:rowOff>
        </xdr:from>
        <xdr:to>
          <xdr:col>7</xdr:col>
          <xdr:colOff>914400</xdr:colOff>
          <xdr:row>36</xdr:row>
          <xdr:rowOff>441960</xdr:rowOff>
        </xdr:to>
        <xdr:sp macro="" textlink="">
          <xdr:nvSpPr>
            <xdr:cNvPr id="60420" name="Spinner 4" hidden="1">
              <a:extLst>
                <a:ext uri="{63B3BB69-23CF-44E3-9099-C40C66FF867C}">
                  <a14:compatExt spid="_x0000_s60420"/>
                </a:ext>
                <a:ext uri="{FF2B5EF4-FFF2-40B4-BE49-F238E27FC236}">
                  <a16:creationId xmlns:a16="http://schemas.microsoft.com/office/drawing/2014/main" id="{00000000-0008-0000-0400-000004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449580</xdr:colOff>
          <xdr:row>38</xdr:row>
          <xdr:rowOff>160020</xdr:rowOff>
        </xdr:from>
        <xdr:to>
          <xdr:col>7</xdr:col>
          <xdr:colOff>922020</xdr:colOff>
          <xdr:row>38</xdr:row>
          <xdr:rowOff>464820</xdr:rowOff>
        </xdr:to>
        <xdr:sp macro="" textlink="">
          <xdr:nvSpPr>
            <xdr:cNvPr id="60421" name="Spinner 5" hidden="1">
              <a:extLst>
                <a:ext uri="{63B3BB69-23CF-44E3-9099-C40C66FF867C}">
                  <a14:compatExt spid="_x0000_s60421"/>
                </a:ext>
                <a:ext uri="{FF2B5EF4-FFF2-40B4-BE49-F238E27FC236}">
                  <a16:creationId xmlns:a16="http://schemas.microsoft.com/office/drawing/2014/main" id="{00000000-0008-0000-0400-000005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457200</xdr:colOff>
          <xdr:row>39</xdr:row>
          <xdr:rowOff>160020</xdr:rowOff>
        </xdr:from>
        <xdr:to>
          <xdr:col>7</xdr:col>
          <xdr:colOff>937260</xdr:colOff>
          <xdr:row>39</xdr:row>
          <xdr:rowOff>464820</xdr:rowOff>
        </xdr:to>
        <xdr:sp macro="" textlink="">
          <xdr:nvSpPr>
            <xdr:cNvPr id="60422" name="Spinner 6" hidden="1">
              <a:extLst>
                <a:ext uri="{63B3BB69-23CF-44E3-9099-C40C66FF867C}">
                  <a14:compatExt spid="_x0000_s60422"/>
                </a:ext>
                <a:ext uri="{FF2B5EF4-FFF2-40B4-BE49-F238E27FC236}">
                  <a16:creationId xmlns:a16="http://schemas.microsoft.com/office/drawing/2014/main" id="{00000000-0008-0000-0400-000006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83820</xdr:colOff>
          <xdr:row>32</xdr:row>
          <xdr:rowOff>83820</xdr:rowOff>
        </xdr:from>
        <xdr:to>
          <xdr:col>11</xdr:col>
          <xdr:colOff>1264920</xdr:colOff>
          <xdr:row>32</xdr:row>
          <xdr:rowOff>327660</xdr:rowOff>
        </xdr:to>
        <xdr:sp macro="" textlink="">
          <xdr:nvSpPr>
            <xdr:cNvPr id="60427" name="按钮 3" hidden="1">
              <a:extLst>
                <a:ext uri="{63B3BB69-23CF-44E3-9099-C40C66FF867C}">
                  <a14:compatExt spid="_x0000_s60427"/>
                </a:ext>
                <a:ext uri="{FF2B5EF4-FFF2-40B4-BE49-F238E27FC236}">
                  <a16:creationId xmlns:a16="http://schemas.microsoft.com/office/drawing/2014/main" id="{00000000-0008-0000-0400-00000B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41148" rIns="36576" bIns="41148" anchor="ctr" upright="1"/>
            <a:lstStyle/>
            <a:p>
              <a:pPr algn="ctr" rtl="0">
                <a:defRPr sz="1000"/>
              </a:pPr>
              <a:r>
                <a:rPr lang="zh-CN" altLang="en-US" sz="1100" b="1" i="0" u="none" strike="noStrike" baseline="0">
                  <a:solidFill>
                    <a:srgbClr val="000000"/>
                  </a:solidFill>
                  <a:latin typeface="微软雅黑"/>
                  <a:ea typeface="微软雅黑"/>
                </a:rPr>
                <a:t>单变量下限值规划</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12</xdr:col>
          <xdr:colOff>68580</xdr:colOff>
          <xdr:row>32</xdr:row>
          <xdr:rowOff>83820</xdr:rowOff>
        </xdr:from>
        <xdr:to>
          <xdr:col>12</xdr:col>
          <xdr:colOff>1264920</xdr:colOff>
          <xdr:row>32</xdr:row>
          <xdr:rowOff>335280</xdr:rowOff>
        </xdr:to>
        <xdr:sp macro="" textlink="">
          <xdr:nvSpPr>
            <xdr:cNvPr id="60428" name="按钮 3" hidden="1">
              <a:extLst>
                <a:ext uri="{63B3BB69-23CF-44E3-9099-C40C66FF867C}">
                  <a14:compatExt spid="_x0000_s60428"/>
                </a:ext>
                <a:ext uri="{FF2B5EF4-FFF2-40B4-BE49-F238E27FC236}">
                  <a16:creationId xmlns:a16="http://schemas.microsoft.com/office/drawing/2014/main" id="{00000000-0008-0000-0400-00000C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41148" rIns="36576" bIns="41148" anchor="ctr" upright="1"/>
            <a:lstStyle/>
            <a:p>
              <a:pPr algn="ctr" rtl="0">
                <a:defRPr sz="1000"/>
              </a:pPr>
              <a:r>
                <a:rPr lang="zh-CN" altLang="en-US" sz="1100" b="1" i="0" u="none" strike="noStrike" baseline="0">
                  <a:solidFill>
                    <a:srgbClr val="000000"/>
                  </a:solidFill>
                  <a:latin typeface="微软雅黑"/>
                  <a:ea typeface="微软雅黑"/>
                </a:rPr>
                <a:t>单变量上限值规划</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106680</xdr:colOff>
          <xdr:row>33</xdr:row>
          <xdr:rowOff>60960</xdr:rowOff>
        </xdr:from>
        <xdr:to>
          <xdr:col>2</xdr:col>
          <xdr:colOff>1676400</xdr:colOff>
          <xdr:row>34</xdr:row>
          <xdr:rowOff>30480</xdr:rowOff>
        </xdr:to>
        <xdr:sp macro="" textlink="">
          <xdr:nvSpPr>
            <xdr:cNvPr id="60430" name="Check Box 14" hidden="1">
              <a:extLst>
                <a:ext uri="{63B3BB69-23CF-44E3-9099-C40C66FF867C}">
                  <a14:compatExt spid="_x0000_s60430"/>
                </a:ext>
                <a:ext uri="{FF2B5EF4-FFF2-40B4-BE49-F238E27FC236}">
                  <a16:creationId xmlns:a16="http://schemas.microsoft.com/office/drawing/2014/main" id="{00000000-0008-0000-0400-00000E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固定资产投资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83820</xdr:colOff>
          <xdr:row>34</xdr:row>
          <xdr:rowOff>22860</xdr:rowOff>
        </xdr:from>
        <xdr:to>
          <xdr:col>2</xdr:col>
          <xdr:colOff>1394460</xdr:colOff>
          <xdr:row>34</xdr:row>
          <xdr:rowOff>464820</xdr:rowOff>
        </xdr:to>
        <xdr:sp macro="" textlink="">
          <xdr:nvSpPr>
            <xdr:cNvPr id="60431" name="Check Box 15" hidden="1">
              <a:extLst>
                <a:ext uri="{63B3BB69-23CF-44E3-9099-C40C66FF867C}">
                  <a14:compatExt spid="_x0000_s60431"/>
                </a:ext>
                <a:ext uri="{FF2B5EF4-FFF2-40B4-BE49-F238E27FC236}">
                  <a16:creationId xmlns:a16="http://schemas.microsoft.com/office/drawing/2014/main" id="{00000000-0008-0000-0400-00000F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售电均价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34</xdr:row>
          <xdr:rowOff>533400</xdr:rowOff>
        </xdr:from>
        <xdr:to>
          <xdr:col>2</xdr:col>
          <xdr:colOff>1211580</xdr:colOff>
          <xdr:row>35</xdr:row>
          <xdr:rowOff>502920</xdr:rowOff>
        </xdr:to>
        <xdr:sp macro="" textlink="">
          <xdr:nvSpPr>
            <xdr:cNvPr id="60432" name="Check Box 16" hidden="1">
              <a:extLst>
                <a:ext uri="{63B3BB69-23CF-44E3-9099-C40C66FF867C}">
                  <a14:compatExt spid="_x0000_s60432"/>
                </a:ext>
                <a:ext uri="{FF2B5EF4-FFF2-40B4-BE49-F238E27FC236}">
                  <a16:creationId xmlns:a16="http://schemas.microsoft.com/office/drawing/2014/main" id="{00000000-0008-0000-0400-000010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购电均价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36</xdr:row>
          <xdr:rowOff>7620</xdr:rowOff>
        </xdr:from>
        <xdr:to>
          <xdr:col>2</xdr:col>
          <xdr:colOff>1303020</xdr:colOff>
          <xdr:row>36</xdr:row>
          <xdr:rowOff>495300</xdr:rowOff>
        </xdr:to>
        <xdr:sp macro="" textlink="">
          <xdr:nvSpPr>
            <xdr:cNvPr id="60433" name="Check Box 17" hidden="1">
              <a:extLst>
                <a:ext uri="{63B3BB69-23CF-44E3-9099-C40C66FF867C}">
                  <a14:compatExt spid="_x0000_s60433"/>
                </a:ext>
                <a:ext uri="{FF2B5EF4-FFF2-40B4-BE49-F238E27FC236}">
                  <a16:creationId xmlns:a16="http://schemas.microsoft.com/office/drawing/2014/main" id="{00000000-0008-0000-0400-000011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输配电价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36</xdr:row>
          <xdr:rowOff>525780</xdr:rowOff>
        </xdr:from>
        <xdr:to>
          <xdr:col>2</xdr:col>
          <xdr:colOff>1257300</xdr:colOff>
          <xdr:row>37</xdr:row>
          <xdr:rowOff>480060</xdr:rowOff>
        </xdr:to>
        <xdr:sp macro="" textlink="">
          <xdr:nvSpPr>
            <xdr:cNvPr id="60434" name="Check Box 18" hidden="1">
              <a:extLst>
                <a:ext uri="{63B3BB69-23CF-44E3-9099-C40C66FF867C}">
                  <a14:compatExt spid="_x0000_s60434"/>
                </a:ext>
                <a:ext uri="{FF2B5EF4-FFF2-40B4-BE49-F238E27FC236}">
                  <a16:creationId xmlns:a16="http://schemas.microsoft.com/office/drawing/2014/main" id="{00000000-0008-0000-0400-000012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售电量增幅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31</xdr:row>
          <xdr:rowOff>68580</xdr:rowOff>
        </xdr:from>
        <xdr:to>
          <xdr:col>13</xdr:col>
          <xdr:colOff>114300</xdr:colOff>
          <xdr:row>31</xdr:row>
          <xdr:rowOff>373380</xdr:rowOff>
        </xdr:to>
        <xdr:sp macro="" textlink="">
          <xdr:nvSpPr>
            <xdr:cNvPr id="60439" name="Drop Down 23" hidden="1">
              <a:extLst>
                <a:ext uri="{63B3BB69-23CF-44E3-9099-C40C66FF867C}">
                  <a14:compatExt spid="_x0000_s60439"/>
                </a:ext>
                <a:ext uri="{FF2B5EF4-FFF2-40B4-BE49-F238E27FC236}">
                  <a16:creationId xmlns:a16="http://schemas.microsoft.com/office/drawing/2014/main" id="{00000000-0008-0000-0400-000017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31</xdr:row>
          <xdr:rowOff>76200</xdr:rowOff>
        </xdr:from>
        <xdr:to>
          <xdr:col>2</xdr:col>
          <xdr:colOff>1379220</xdr:colOff>
          <xdr:row>31</xdr:row>
          <xdr:rowOff>373380</xdr:rowOff>
        </xdr:to>
        <xdr:sp macro="" textlink="">
          <xdr:nvSpPr>
            <xdr:cNvPr id="60440" name="Button 24" hidden="1">
              <a:extLst>
                <a:ext uri="{63B3BB69-23CF-44E3-9099-C40C66FF867C}">
                  <a14:compatExt spid="_x0000_s60440"/>
                </a:ext>
                <a:ext uri="{FF2B5EF4-FFF2-40B4-BE49-F238E27FC236}">
                  <a16:creationId xmlns:a16="http://schemas.microsoft.com/office/drawing/2014/main" id="{00000000-0008-0000-0400-000018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宋体"/>
                  <a:ea typeface="宋体"/>
                </a:rPr>
                <a:t>复原初值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83820</xdr:colOff>
          <xdr:row>38</xdr:row>
          <xdr:rowOff>30480</xdr:rowOff>
        </xdr:from>
        <xdr:to>
          <xdr:col>2</xdr:col>
          <xdr:colOff>1264920</xdr:colOff>
          <xdr:row>38</xdr:row>
          <xdr:rowOff>525780</xdr:rowOff>
        </xdr:to>
        <xdr:sp macro="" textlink="">
          <xdr:nvSpPr>
            <xdr:cNvPr id="60460" name="Check Box 44" hidden="1">
              <a:extLst>
                <a:ext uri="{63B3BB69-23CF-44E3-9099-C40C66FF867C}">
                  <a14:compatExt spid="_x0000_s60460"/>
                </a:ext>
                <a:ext uri="{FF2B5EF4-FFF2-40B4-BE49-F238E27FC236}">
                  <a16:creationId xmlns:a16="http://schemas.microsoft.com/office/drawing/2014/main" id="{00000000-0008-0000-0400-00002C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折旧率</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457200</xdr:colOff>
          <xdr:row>40</xdr:row>
          <xdr:rowOff>160020</xdr:rowOff>
        </xdr:from>
        <xdr:to>
          <xdr:col>7</xdr:col>
          <xdr:colOff>937260</xdr:colOff>
          <xdr:row>40</xdr:row>
          <xdr:rowOff>464820</xdr:rowOff>
        </xdr:to>
        <xdr:sp macro="" textlink="">
          <xdr:nvSpPr>
            <xdr:cNvPr id="60461" name="Spinner 45" hidden="1">
              <a:extLst>
                <a:ext uri="{63B3BB69-23CF-44E3-9099-C40C66FF867C}">
                  <a14:compatExt spid="_x0000_s60461"/>
                </a:ext>
                <a:ext uri="{FF2B5EF4-FFF2-40B4-BE49-F238E27FC236}">
                  <a16:creationId xmlns:a16="http://schemas.microsoft.com/office/drawing/2014/main" id="{00000000-0008-0000-0400-00002D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twoCellAnchor>
    <xdr:from>
      <xdr:col>5</xdr:col>
      <xdr:colOff>523875</xdr:colOff>
      <xdr:row>2</xdr:row>
      <xdr:rowOff>66675</xdr:rowOff>
    </xdr:from>
    <xdr:to>
      <xdr:col>5</xdr:col>
      <xdr:colOff>800100</xdr:colOff>
      <xdr:row>2</xdr:row>
      <xdr:rowOff>228600</xdr:rowOff>
    </xdr:to>
    <xdr:sp macro="" textlink="">
      <xdr:nvSpPr>
        <xdr:cNvPr id="2" name="箭头: 右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a:off x="8801100" y="638175"/>
          <a:ext cx="276225" cy="1619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5</xdr:col>
      <xdr:colOff>523875</xdr:colOff>
      <xdr:row>3</xdr:row>
      <xdr:rowOff>85725</xdr:rowOff>
    </xdr:from>
    <xdr:to>
      <xdr:col>5</xdr:col>
      <xdr:colOff>800100</xdr:colOff>
      <xdr:row>3</xdr:row>
      <xdr:rowOff>247650</xdr:rowOff>
    </xdr:to>
    <xdr:sp macro="" textlink="">
      <xdr:nvSpPr>
        <xdr:cNvPr id="21" name="箭头: 右 20">
          <a:hlinkClick xmlns:r="http://schemas.openxmlformats.org/officeDocument/2006/relationships" r:id="rId2"/>
          <a:extLst>
            <a:ext uri="{FF2B5EF4-FFF2-40B4-BE49-F238E27FC236}">
              <a16:creationId xmlns:a16="http://schemas.microsoft.com/office/drawing/2014/main" id="{00000000-0008-0000-0400-000015000000}"/>
            </a:ext>
          </a:extLst>
        </xdr:cNvPr>
        <xdr:cNvSpPr/>
      </xdr:nvSpPr>
      <xdr:spPr>
        <a:xfrm>
          <a:off x="8801100" y="942975"/>
          <a:ext cx="276225" cy="1619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5</xdr:col>
      <xdr:colOff>533400</xdr:colOff>
      <xdr:row>6</xdr:row>
      <xdr:rowOff>95250</xdr:rowOff>
    </xdr:from>
    <xdr:to>
      <xdr:col>5</xdr:col>
      <xdr:colOff>809625</xdr:colOff>
      <xdr:row>6</xdr:row>
      <xdr:rowOff>257175</xdr:rowOff>
    </xdr:to>
    <xdr:sp macro="" textlink="">
      <xdr:nvSpPr>
        <xdr:cNvPr id="22" name="箭头: 右 21">
          <a:hlinkClick xmlns:r="http://schemas.openxmlformats.org/officeDocument/2006/relationships" r:id="rId3"/>
          <a:extLst>
            <a:ext uri="{FF2B5EF4-FFF2-40B4-BE49-F238E27FC236}">
              <a16:creationId xmlns:a16="http://schemas.microsoft.com/office/drawing/2014/main" id="{00000000-0008-0000-0400-000016000000}"/>
            </a:ext>
          </a:extLst>
        </xdr:cNvPr>
        <xdr:cNvSpPr/>
      </xdr:nvSpPr>
      <xdr:spPr>
        <a:xfrm>
          <a:off x="8810625" y="1238250"/>
          <a:ext cx="276225" cy="1619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5</xdr:col>
      <xdr:colOff>533400</xdr:colOff>
      <xdr:row>7</xdr:row>
      <xdr:rowOff>95250</xdr:rowOff>
    </xdr:from>
    <xdr:to>
      <xdr:col>5</xdr:col>
      <xdr:colOff>809625</xdr:colOff>
      <xdr:row>7</xdr:row>
      <xdr:rowOff>257175</xdr:rowOff>
    </xdr:to>
    <xdr:sp macro="" textlink="">
      <xdr:nvSpPr>
        <xdr:cNvPr id="23" name="箭头: 右 22">
          <a:hlinkClick xmlns:r="http://schemas.openxmlformats.org/officeDocument/2006/relationships" r:id="rId4"/>
          <a:extLst>
            <a:ext uri="{FF2B5EF4-FFF2-40B4-BE49-F238E27FC236}">
              <a16:creationId xmlns:a16="http://schemas.microsoft.com/office/drawing/2014/main" id="{00000000-0008-0000-0400-000017000000}"/>
            </a:ext>
          </a:extLst>
        </xdr:cNvPr>
        <xdr:cNvSpPr/>
      </xdr:nvSpPr>
      <xdr:spPr>
        <a:xfrm>
          <a:off x="8810625" y="1524000"/>
          <a:ext cx="276225" cy="1619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8</xdr:col>
      <xdr:colOff>390525</xdr:colOff>
      <xdr:row>8</xdr:row>
      <xdr:rowOff>66675</xdr:rowOff>
    </xdr:from>
    <xdr:to>
      <xdr:col>8</xdr:col>
      <xdr:colOff>666750</xdr:colOff>
      <xdr:row>8</xdr:row>
      <xdr:rowOff>228600</xdr:rowOff>
    </xdr:to>
    <xdr:sp macro="" textlink="">
      <xdr:nvSpPr>
        <xdr:cNvPr id="24" name="箭头: 右 23">
          <a:hlinkClick xmlns:r="http://schemas.openxmlformats.org/officeDocument/2006/relationships" r:id="rId5"/>
          <a:extLst>
            <a:ext uri="{FF2B5EF4-FFF2-40B4-BE49-F238E27FC236}">
              <a16:creationId xmlns:a16="http://schemas.microsoft.com/office/drawing/2014/main" id="{00000000-0008-0000-0400-000018000000}"/>
            </a:ext>
          </a:extLst>
        </xdr:cNvPr>
        <xdr:cNvSpPr/>
      </xdr:nvSpPr>
      <xdr:spPr>
        <a:xfrm>
          <a:off x="11753850" y="1781175"/>
          <a:ext cx="276225" cy="1619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5</xdr:col>
      <xdr:colOff>514350</xdr:colOff>
      <xdr:row>9</xdr:row>
      <xdr:rowOff>57150</xdr:rowOff>
    </xdr:from>
    <xdr:to>
      <xdr:col>5</xdr:col>
      <xdr:colOff>790575</xdr:colOff>
      <xdr:row>9</xdr:row>
      <xdr:rowOff>219075</xdr:rowOff>
    </xdr:to>
    <xdr:sp macro="" textlink="">
      <xdr:nvSpPr>
        <xdr:cNvPr id="25" name="箭头: 右 24">
          <a:hlinkClick xmlns:r="http://schemas.openxmlformats.org/officeDocument/2006/relationships" r:id="rId6"/>
          <a:extLst>
            <a:ext uri="{FF2B5EF4-FFF2-40B4-BE49-F238E27FC236}">
              <a16:creationId xmlns:a16="http://schemas.microsoft.com/office/drawing/2014/main" id="{00000000-0008-0000-0400-000019000000}"/>
            </a:ext>
          </a:extLst>
        </xdr:cNvPr>
        <xdr:cNvSpPr/>
      </xdr:nvSpPr>
      <xdr:spPr>
        <a:xfrm>
          <a:off x="8791575" y="2057400"/>
          <a:ext cx="276225" cy="1619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2</xdr:col>
          <xdr:colOff>76200</xdr:colOff>
          <xdr:row>39</xdr:row>
          <xdr:rowOff>7620</xdr:rowOff>
        </xdr:from>
        <xdr:to>
          <xdr:col>2</xdr:col>
          <xdr:colOff>1257300</xdr:colOff>
          <xdr:row>39</xdr:row>
          <xdr:rowOff>495300</xdr:rowOff>
        </xdr:to>
        <xdr:sp macro="" textlink="">
          <xdr:nvSpPr>
            <xdr:cNvPr id="60463" name="Check Box 47" hidden="1">
              <a:extLst>
                <a:ext uri="{63B3BB69-23CF-44E3-9099-C40C66FF867C}">
                  <a14:compatExt spid="_x0000_s60463"/>
                </a:ext>
                <a:ext uri="{FF2B5EF4-FFF2-40B4-BE49-F238E27FC236}">
                  <a16:creationId xmlns:a16="http://schemas.microsoft.com/office/drawing/2014/main" id="{00000000-0008-0000-0400-00002F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材料费修理费</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480060</xdr:colOff>
          <xdr:row>41</xdr:row>
          <xdr:rowOff>121920</xdr:rowOff>
        </xdr:from>
        <xdr:to>
          <xdr:col>7</xdr:col>
          <xdr:colOff>952500</xdr:colOff>
          <xdr:row>41</xdr:row>
          <xdr:rowOff>426720</xdr:rowOff>
        </xdr:to>
        <xdr:sp macro="" textlink="">
          <xdr:nvSpPr>
            <xdr:cNvPr id="60464" name="Spinner 48" hidden="1">
              <a:extLst>
                <a:ext uri="{63B3BB69-23CF-44E3-9099-C40C66FF867C}">
                  <a14:compatExt spid="_x0000_s60464"/>
                </a:ext>
                <a:ext uri="{FF2B5EF4-FFF2-40B4-BE49-F238E27FC236}">
                  <a16:creationId xmlns:a16="http://schemas.microsoft.com/office/drawing/2014/main" id="{00000000-0008-0000-0400-000030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twoCellAnchor>
    <xdr:from>
      <xdr:col>5</xdr:col>
      <xdr:colOff>506186</xdr:colOff>
      <xdr:row>4</xdr:row>
      <xdr:rowOff>72118</xdr:rowOff>
    </xdr:from>
    <xdr:to>
      <xdr:col>5</xdr:col>
      <xdr:colOff>782411</xdr:colOff>
      <xdr:row>4</xdr:row>
      <xdr:rowOff>234043</xdr:rowOff>
    </xdr:to>
    <xdr:sp macro="" textlink="">
      <xdr:nvSpPr>
        <xdr:cNvPr id="29" name="箭头: 右 28">
          <a:hlinkClick xmlns:r="http://schemas.openxmlformats.org/officeDocument/2006/relationships" r:id="rId2"/>
          <a:extLst>
            <a:ext uri="{FF2B5EF4-FFF2-40B4-BE49-F238E27FC236}">
              <a16:creationId xmlns:a16="http://schemas.microsoft.com/office/drawing/2014/main" id="{00000000-0008-0000-0400-00001D000000}"/>
            </a:ext>
          </a:extLst>
        </xdr:cNvPr>
        <xdr:cNvSpPr/>
      </xdr:nvSpPr>
      <xdr:spPr>
        <a:xfrm>
          <a:off x="9203872" y="1117147"/>
          <a:ext cx="276225" cy="1619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5</xdr:col>
      <xdr:colOff>506186</xdr:colOff>
      <xdr:row>5</xdr:row>
      <xdr:rowOff>39461</xdr:rowOff>
    </xdr:from>
    <xdr:to>
      <xdr:col>5</xdr:col>
      <xdr:colOff>782411</xdr:colOff>
      <xdr:row>5</xdr:row>
      <xdr:rowOff>201386</xdr:rowOff>
    </xdr:to>
    <xdr:sp macro="" textlink="">
      <xdr:nvSpPr>
        <xdr:cNvPr id="30" name="箭头: 右 29">
          <a:hlinkClick xmlns:r="http://schemas.openxmlformats.org/officeDocument/2006/relationships" r:id="rId2"/>
          <a:extLst>
            <a:ext uri="{FF2B5EF4-FFF2-40B4-BE49-F238E27FC236}">
              <a16:creationId xmlns:a16="http://schemas.microsoft.com/office/drawing/2014/main" id="{00000000-0008-0000-0400-00001E000000}"/>
            </a:ext>
          </a:extLst>
        </xdr:cNvPr>
        <xdr:cNvSpPr/>
      </xdr:nvSpPr>
      <xdr:spPr>
        <a:xfrm>
          <a:off x="9203872" y="1378404"/>
          <a:ext cx="276225" cy="1619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2</xdr:col>
          <xdr:colOff>76200</xdr:colOff>
          <xdr:row>40</xdr:row>
          <xdr:rowOff>7620</xdr:rowOff>
        </xdr:from>
        <xdr:to>
          <xdr:col>2</xdr:col>
          <xdr:colOff>1257300</xdr:colOff>
          <xdr:row>40</xdr:row>
          <xdr:rowOff>495300</xdr:rowOff>
        </xdr:to>
        <xdr:sp macro="" textlink="">
          <xdr:nvSpPr>
            <xdr:cNvPr id="60465" name="Check Box 49" hidden="1">
              <a:extLst>
                <a:ext uri="{63B3BB69-23CF-44E3-9099-C40C66FF867C}">
                  <a14:compatExt spid="_x0000_s60465"/>
                </a:ext>
                <a:ext uri="{FF2B5EF4-FFF2-40B4-BE49-F238E27FC236}">
                  <a16:creationId xmlns:a16="http://schemas.microsoft.com/office/drawing/2014/main" id="{00000000-0008-0000-0400-000031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接收用户工程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41</xdr:row>
          <xdr:rowOff>7620</xdr:rowOff>
        </xdr:from>
        <xdr:to>
          <xdr:col>2</xdr:col>
          <xdr:colOff>1257300</xdr:colOff>
          <xdr:row>41</xdr:row>
          <xdr:rowOff>495300</xdr:rowOff>
        </xdr:to>
        <xdr:sp macro="" textlink="">
          <xdr:nvSpPr>
            <xdr:cNvPr id="60466" name="Check Box 50" hidden="1">
              <a:extLst>
                <a:ext uri="{63B3BB69-23CF-44E3-9099-C40C66FF867C}">
                  <a14:compatExt spid="_x0000_s60466"/>
                </a:ext>
                <a:ext uri="{FF2B5EF4-FFF2-40B4-BE49-F238E27FC236}">
                  <a16:creationId xmlns:a16="http://schemas.microsoft.com/office/drawing/2014/main" id="{00000000-0008-0000-0400-000032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研究开发费</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42</xdr:row>
          <xdr:rowOff>7620</xdr:rowOff>
        </xdr:from>
        <xdr:to>
          <xdr:col>2</xdr:col>
          <xdr:colOff>1257300</xdr:colOff>
          <xdr:row>42</xdr:row>
          <xdr:rowOff>495300</xdr:rowOff>
        </xdr:to>
        <xdr:sp macro="" textlink="">
          <xdr:nvSpPr>
            <xdr:cNvPr id="60467" name="Check Box 51" hidden="1">
              <a:extLst>
                <a:ext uri="{63B3BB69-23CF-44E3-9099-C40C66FF867C}">
                  <a14:compatExt spid="_x0000_s60467"/>
                </a:ext>
                <a:ext uri="{FF2B5EF4-FFF2-40B4-BE49-F238E27FC236}">
                  <a16:creationId xmlns:a16="http://schemas.microsoft.com/office/drawing/2014/main" id="{00000000-0008-0000-0400-000033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线损率</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43</xdr:row>
          <xdr:rowOff>7620</xdr:rowOff>
        </xdr:from>
        <xdr:to>
          <xdr:col>2</xdr:col>
          <xdr:colOff>1257300</xdr:colOff>
          <xdr:row>43</xdr:row>
          <xdr:rowOff>495300</xdr:rowOff>
        </xdr:to>
        <xdr:sp macro="" textlink="">
          <xdr:nvSpPr>
            <xdr:cNvPr id="60468" name="Check Box 52" hidden="1">
              <a:extLst>
                <a:ext uri="{63B3BB69-23CF-44E3-9099-C40C66FF867C}">
                  <a14:compatExt spid="_x0000_s60468"/>
                </a:ext>
                <a:ext uri="{FF2B5EF4-FFF2-40B4-BE49-F238E27FC236}">
                  <a16:creationId xmlns:a16="http://schemas.microsoft.com/office/drawing/2014/main" id="{00000000-0008-0000-0400-000034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转资率</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44</xdr:row>
          <xdr:rowOff>22860</xdr:rowOff>
        </xdr:from>
        <xdr:to>
          <xdr:col>2</xdr:col>
          <xdr:colOff>1280160</xdr:colOff>
          <xdr:row>44</xdr:row>
          <xdr:rowOff>502920</xdr:rowOff>
        </xdr:to>
        <xdr:sp macro="" textlink="">
          <xdr:nvSpPr>
            <xdr:cNvPr id="60469" name="Check Box 53" hidden="1">
              <a:extLst>
                <a:ext uri="{63B3BB69-23CF-44E3-9099-C40C66FF867C}">
                  <a14:compatExt spid="_x0000_s60469"/>
                </a:ext>
                <a:ext uri="{FF2B5EF4-FFF2-40B4-BE49-F238E27FC236}">
                  <a16:creationId xmlns:a16="http://schemas.microsoft.com/office/drawing/2014/main" id="{00000000-0008-0000-0400-000035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存货占材料修理费比例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45</xdr:row>
          <xdr:rowOff>7620</xdr:rowOff>
        </xdr:from>
        <xdr:to>
          <xdr:col>2</xdr:col>
          <xdr:colOff>1257300</xdr:colOff>
          <xdr:row>45</xdr:row>
          <xdr:rowOff>495300</xdr:rowOff>
        </xdr:to>
        <xdr:sp macro="" textlink="">
          <xdr:nvSpPr>
            <xdr:cNvPr id="60470" name="Check Box 54" hidden="1">
              <a:extLst>
                <a:ext uri="{63B3BB69-23CF-44E3-9099-C40C66FF867C}">
                  <a14:compatExt spid="_x0000_s60470"/>
                </a:ext>
                <a:ext uri="{FF2B5EF4-FFF2-40B4-BE49-F238E27FC236}">
                  <a16:creationId xmlns:a16="http://schemas.microsoft.com/office/drawing/2014/main" id="{00000000-0008-0000-0400-000036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应收账款周转率</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46</xdr:row>
          <xdr:rowOff>7620</xdr:rowOff>
        </xdr:from>
        <xdr:to>
          <xdr:col>2</xdr:col>
          <xdr:colOff>1257300</xdr:colOff>
          <xdr:row>46</xdr:row>
          <xdr:rowOff>495300</xdr:rowOff>
        </xdr:to>
        <xdr:sp macro="" textlink="">
          <xdr:nvSpPr>
            <xdr:cNvPr id="60471" name="Check Box 55" hidden="1">
              <a:extLst>
                <a:ext uri="{63B3BB69-23CF-44E3-9099-C40C66FF867C}">
                  <a14:compatExt spid="_x0000_s60471"/>
                </a:ext>
                <a:ext uri="{FF2B5EF4-FFF2-40B4-BE49-F238E27FC236}">
                  <a16:creationId xmlns:a16="http://schemas.microsoft.com/office/drawing/2014/main" id="{00000000-0008-0000-0400-000037E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其他费用</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441960</xdr:colOff>
          <xdr:row>34</xdr:row>
          <xdr:rowOff>137160</xdr:rowOff>
        </xdr:from>
        <xdr:to>
          <xdr:col>7</xdr:col>
          <xdr:colOff>914400</xdr:colOff>
          <xdr:row>34</xdr:row>
          <xdr:rowOff>441960</xdr:rowOff>
        </xdr:to>
        <xdr:sp macro="" textlink="">
          <xdr:nvSpPr>
            <xdr:cNvPr id="60478" name="Spinner 62" hidden="1">
              <a:extLst>
                <a:ext uri="{63B3BB69-23CF-44E3-9099-C40C66FF867C}">
                  <a14:compatExt spid="_x0000_s60478"/>
                </a:ext>
                <a:ext uri="{FF2B5EF4-FFF2-40B4-BE49-F238E27FC236}">
                  <a16:creationId xmlns:a16="http://schemas.microsoft.com/office/drawing/2014/main" id="{00000000-0008-0000-0400-00003E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441960</xdr:colOff>
          <xdr:row>35</xdr:row>
          <xdr:rowOff>137160</xdr:rowOff>
        </xdr:from>
        <xdr:to>
          <xdr:col>7</xdr:col>
          <xdr:colOff>914400</xdr:colOff>
          <xdr:row>35</xdr:row>
          <xdr:rowOff>441960</xdr:rowOff>
        </xdr:to>
        <xdr:sp macro="" textlink="">
          <xdr:nvSpPr>
            <xdr:cNvPr id="60480" name="Spinner 64" hidden="1">
              <a:extLst>
                <a:ext uri="{63B3BB69-23CF-44E3-9099-C40C66FF867C}">
                  <a14:compatExt spid="_x0000_s60480"/>
                </a:ext>
                <a:ext uri="{FF2B5EF4-FFF2-40B4-BE49-F238E27FC236}">
                  <a16:creationId xmlns:a16="http://schemas.microsoft.com/office/drawing/2014/main" id="{00000000-0008-0000-0400-000040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480060</xdr:colOff>
          <xdr:row>42</xdr:row>
          <xdr:rowOff>121920</xdr:rowOff>
        </xdr:from>
        <xdr:to>
          <xdr:col>7</xdr:col>
          <xdr:colOff>952500</xdr:colOff>
          <xdr:row>42</xdr:row>
          <xdr:rowOff>426720</xdr:rowOff>
        </xdr:to>
        <xdr:sp macro="" textlink="">
          <xdr:nvSpPr>
            <xdr:cNvPr id="60481" name="Spinner 65" hidden="1">
              <a:extLst>
                <a:ext uri="{63B3BB69-23CF-44E3-9099-C40C66FF867C}">
                  <a14:compatExt spid="_x0000_s60481"/>
                </a:ext>
                <a:ext uri="{FF2B5EF4-FFF2-40B4-BE49-F238E27FC236}">
                  <a16:creationId xmlns:a16="http://schemas.microsoft.com/office/drawing/2014/main" id="{00000000-0008-0000-0400-000041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480060</xdr:colOff>
          <xdr:row>43</xdr:row>
          <xdr:rowOff>121920</xdr:rowOff>
        </xdr:from>
        <xdr:to>
          <xdr:col>7</xdr:col>
          <xdr:colOff>952500</xdr:colOff>
          <xdr:row>43</xdr:row>
          <xdr:rowOff>426720</xdr:rowOff>
        </xdr:to>
        <xdr:sp macro="" textlink="">
          <xdr:nvSpPr>
            <xdr:cNvPr id="60482" name="Spinner 66" hidden="1">
              <a:extLst>
                <a:ext uri="{63B3BB69-23CF-44E3-9099-C40C66FF867C}">
                  <a14:compatExt spid="_x0000_s60482"/>
                </a:ext>
                <a:ext uri="{FF2B5EF4-FFF2-40B4-BE49-F238E27FC236}">
                  <a16:creationId xmlns:a16="http://schemas.microsoft.com/office/drawing/2014/main" id="{00000000-0008-0000-0400-000042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480060</xdr:colOff>
          <xdr:row>44</xdr:row>
          <xdr:rowOff>121920</xdr:rowOff>
        </xdr:from>
        <xdr:to>
          <xdr:col>7</xdr:col>
          <xdr:colOff>952500</xdr:colOff>
          <xdr:row>44</xdr:row>
          <xdr:rowOff>426720</xdr:rowOff>
        </xdr:to>
        <xdr:sp macro="" textlink="">
          <xdr:nvSpPr>
            <xdr:cNvPr id="60483" name="Spinner 67" hidden="1">
              <a:extLst>
                <a:ext uri="{63B3BB69-23CF-44E3-9099-C40C66FF867C}">
                  <a14:compatExt spid="_x0000_s60483"/>
                </a:ext>
                <a:ext uri="{FF2B5EF4-FFF2-40B4-BE49-F238E27FC236}">
                  <a16:creationId xmlns:a16="http://schemas.microsoft.com/office/drawing/2014/main" id="{00000000-0008-0000-0400-000043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480060</xdr:colOff>
          <xdr:row>45</xdr:row>
          <xdr:rowOff>121920</xdr:rowOff>
        </xdr:from>
        <xdr:to>
          <xdr:col>7</xdr:col>
          <xdr:colOff>952500</xdr:colOff>
          <xdr:row>45</xdr:row>
          <xdr:rowOff>426720</xdr:rowOff>
        </xdr:to>
        <xdr:sp macro="" textlink="">
          <xdr:nvSpPr>
            <xdr:cNvPr id="60484" name="Spinner 68" hidden="1">
              <a:extLst>
                <a:ext uri="{63B3BB69-23CF-44E3-9099-C40C66FF867C}">
                  <a14:compatExt spid="_x0000_s60484"/>
                </a:ext>
                <a:ext uri="{FF2B5EF4-FFF2-40B4-BE49-F238E27FC236}">
                  <a16:creationId xmlns:a16="http://schemas.microsoft.com/office/drawing/2014/main" id="{00000000-0008-0000-0400-000044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480060</xdr:colOff>
          <xdr:row>46</xdr:row>
          <xdr:rowOff>121920</xdr:rowOff>
        </xdr:from>
        <xdr:to>
          <xdr:col>7</xdr:col>
          <xdr:colOff>952500</xdr:colOff>
          <xdr:row>46</xdr:row>
          <xdr:rowOff>426720</xdr:rowOff>
        </xdr:to>
        <xdr:sp macro="" textlink="">
          <xdr:nvSpPr>
            <xdr:cNvPr id="60485" name="Spinner 69" hidden="1">
              <a:extLst>
                <a:ext uri="{63B3BB69-23CF-44E3-9099-C40C66FF867C}">
                  <a14:compatExt spid="_x0000_s60485"/>
                </a:ext>
                <a:ext uri="{FF2B5EF4-FFF2-40B4-BE49-F238E27FC236}">
                  <a16:creationId xmlns:a16="http://schemas.microsoft.com/office/drawing/2014/main" id="{00000000-0008-0000-0400-000045E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38100</xdr:colOff>
          <xdr:row>1</xdr:row>
          <xdr:rowOff>83820</xdr:rowOff>
        </xdr:from>
        <xdr:to>
          <xdr:col>8</xdr:col>
          <xdr:colOff>868680</xdr:colOff>
          <xdr:row>2</xdr:row>
          <xdr:rowOff>160020</xdr:rowOff>
        </xdr:to>
        <xdr:sp macro="" textlink="">
          <xdr:nvSpPr>
            <xdr:cNvPr id="265221" name="Button 5" hidden="1">
              <a:extLst>
                <a:ext uri="{63B3BB69-23CF-44E3-9099-C40C66FF867C}">
                  <a14:compatExt spid="_x0000_s265221"/>
                </a:ext>
                <a:ext uri="{FF2B5EF4-FFF2-40B4-BE49-F238E27FC236}">
                  <a16:creationId xmlns:a16="http://schemas.microsoft.com/office/drawing/2014/main" id="{00000000-0008-0000-0600-0000050C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取原值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198120</xdr:colOff>
          <xdr:row>8</xdr:row>
          <xdr:rowOff>281940</xdr:rowOff>
        </xdr:from>
        <xdr:to>
          <xdr:col>5</xdr:col>
          <xdr:colOff>716280</xdr:colOff>
          <xdr:row>10</xdr:row>
          <xdr:rowOff>7620</xdr:rowOff>
        </xdr:to>
        <xdr:sp macro="" textlink="">
          <xdr:nvSpPr>
            <xdr:cNvPr id="265224" name="Check Box 8" hidden="1">
              <a:extLst>
                <a:ext uri="{63B3BB69-23CF-44E3-9099-C40C66FF867C}">
                  <a14:compatExt spid="_x0000_s265224"/>
                </a:ext>
                <a:ext uri="{FF2B5EF4-FFF2-40B4-BE49-F238E27FC236}">
                  <a16:creationId xmlns:a16="http://schemas.microsoft.com/office/drawing/2014/main" id="{00000000-0008-0000-0600-0000080C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测算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190500</xdr:colOff>
          <xdr:row>9</xdr:row>
          <xdr:rowOff>327660</xdr:rowOff>
        </xdr:from>
        <xdr:to>
          <xdr:col>5</xdr:col>
          <xdr:colOff>708660</xdr:colOff>
          <xdr:row>11</xdr:row>
          <xdr:rowOff>60960</xdr:rowOff>
        </xdr:to>
        <xdr:sp macro="" textlink="">
          <xdr:nvSpPr>
            <xdr:cNvPr id="265225" name="Check Box 9" hidden="1">
              <a:extLst>
                <a:ext uri="{63B3BB69-23CF-44E3-9099-C40C66FF867C}">
                  <a14:compatExt spid="_x0000_s265225"/>
                </a:ext>
                <a:ext uri="{FF2B5EF4-FFF2-40B4-BE49-F238E27FC236}">
                  <a16:creationId xmlns:a16="http://schemas.microsoft.com/office/drawing/2014/main" id="{00000000-0008-0000-0600-0000090C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测算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190500</xdr:colOff>
          <xdr:row>10</xdr:row>
          <xdr:rowOff>342900</xdr:rowOff>
        </xdr:from>
        <xdr:to>
          <xdr:col>5</xdr:col>
          <xdr:colOff>708660</xdr:colOff>
          <xdr:row>12</xdr:row>
          <xdr:rowOff>60960</xdr:rowOff>
        </xdr:to>
        <xdr:sp macro="" textlink="">
          <xdr:nvSpPr>
            <xdr:cNvPr id="265226" name="Check Box 10" hidden="1">
              <a:extLst>
                <a:ext uri="{63B3BB69-23CF-44E3-9099-C40C66FF867C}">
                  <a14:compatExt spid="_x0000_s265226"/>
                </a:ext>
                <a:ext uri="{FF2B5EF4-FFF2-40B4-BE49-F238E27FC236}">
                  <a16:creationId xmlns:a16="http://schemas.microsoft.com/office/drawing/2014/main" id="{00000000-0008-0000-0600-00000A0C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测算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190500</xdr:colOff>
          <xdr:row>11</xdr:row>
          <xdr:rowOff>274320</xdr:rowOff>
        </xdr:from>
        <xdr:to>
          <xdr:col>5</xdr:col>
          <xdr:colOff>708660</xdr:colOff>
          <xdr:row>13</xdr:row>
          <xdr:rowOff>0</xdr:rowOff>
        </xdr:to>
        <xdr:sp macro="" textlink="">
          <xdr:nvSpPr>
            <xdr:cNvPr id="265227" name="Check Box 11" hidden="1">
              <a:extLst>
                <a:ext uri="{63B3BB69-23CF-44E3-9099-C40C66FF867C}">
                  <a14:compatExt spid="_x0000_s265227"/>
                </a:ext>
                <a:ext uri="{FF2B5EF4-FFF2-40B4-BE49-F238E27FC236}">
                  <a16:creationId xmlns:a16="http://schemas.microsoft.com/office/drawing/2014/main" id="{00000000-0008-0000-0600-00000B0C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测算</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38100</xdr:colOff>
          <xdr:row>5</xdr:row>
          <xdr:rowOff>22860</xdr:rowOff>
        </xdr:from>
        <xdr:to>
          <xdr:col>8</xdr:col>
          <xdr:colOff>868680</xdr:colOff>
          <xdr:row>6</xdr:row>
          <xdr:rowOff>83820</xdr:rowOff>
        </xdr:to>
        <xdr:sp macro="" textlink="">
          <xdr:nvSpPr>
            <xdr:cNvPr id="265228" name="Button 12" hidden="1">
              <a:extLst>
                <a:ext uri="{63B3BB69-23CF-44E3-9099-C40C66FF867C}">
                  <a14:compatExt spid="_x0000_s265228"/>
                </a:ext>
                <a:ext uri="{FF2B5EF4-FFF2-40B4-BE49-F238E27FC236}">
                  <a16:creationId xmlns:a16="http://schemas.microsoft.com/office/drawing/2014/main" id="{00000000-0008-0000-0600-00000C0C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38100</xdr:colOff>
          <xdr:row>3</xdr:row>
          <xdr:rowOff>68580</xdr:rowOff>
        </xdr:from>
        <xdr:to>
          <xdr:col>8</xdr:col>
          <xdr:colOff>868680</xdr:colOff>
          <xdr:row>4</xdr:row>
          <xdr:rowOff>129540</xdr:rowOff>
        </xdr:to>
        <xdr:sp macro="" textlink="">
          <xdr:nvSpPr>
            <xdr:cNvPr id="265229" name="Button 13" hidden="1">
              <a:extLst>
                <a:ext uri="{63B3BB69-23CF-44E3-9099-C40C66FF867C}">
                  <a14:compatExt spid="_x0000_s265229"/>
                </a:ext>
                <a:ext uri="{FF2B5EF4-FFF2-40B4-BE49-F238E27FC236}">
                  <a16:creationId xmlns:a16="http://schemas.microsoft.com/office/drawing/2014/main" id="{00000000-0008-0000-0600-00000D0C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测算</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228600</xdr:colOff>
          <xdr:row>4</xdr:row>
          <xdr:rowOff>60960</xdr:rowOff>
        </xdr:from>
        <xdr:to>
          <xdr:col>3</xdr:col>
          <xdr:colOff>1531620</xdr:colOff>
          <xdr:row>5</xdr:row>
          <xdr:rowOff>0</xdr:rowOff>
        </xdr:to>
        <xdr:sp macro="" textlink="">
          <xdr:nvSpPr>
            <xdr:cNvPr id="115713" name="Check Box 1" hidden="1">
              <a:extLst>
                <a:ext uri="{63B3BB69-23CF-44E3-9099-C40C66FF867C}">
                  <a14:compatExt spid="_x0000_s115713"/>
                </a:ext>
                <a:ext uri="{FF2B5EF4-FFF2-40B4-BE49-F238E27FC236}">
                  <a16:creationId xmlns:a16="http://schemas.microsoft.com/office/drawing/2014/main" id="{00000000-0008-0000-0700-000001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固定资产投资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251460</xdr:colOff>
          <xdr:row>5</xdr:row>
          <xdr:rowOff>76200</xdr:rowOff>
        </xdr:from>
        <xdr:to>
          <xdr:col>3</xdr:col>
          <xdr:colOff>1760220</xdr:colOff>
          <xdr:row>5</xdr:row>
          <xdr:rowOff>266700</xdr:rowOff>
        </xdr:to>
        <xdr:sp macro="" textlink="">
          <xdr:nvSpPr>
            <xdr:cNvPr id="115714" name="Check Box 2" hidden="1">
              <a:extLst>
                <a:ext uri="{63B3BB69-23CF-44E3-9099-C40C66FF867C}">
                  <a14:compatExt spid="_x0000_s115714"/>
                </a:ext>
                <a:ext uri="{FF2B5EF4-FFF2-40B4-BE49-F238E27FC236}">
                  <a16:creationId xmlns:a16="http://schemas.microsoft.com/office/drawing/2014/main" id="{00000000-0008-0000-0700-000002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售电量增幅</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220980</xdr:colOff>
          <xdr:row>6</xdr:row>
          <xdr:rowOff>45720</xdr:rowOff>
        </xdr:from>
        <xdr:to>
          <xdr:col>3</xdr:col>
          <xdr:colOff>1661160</xdr:colOff>
          <xdr:row>6</xdr:row>
          <xdr:rowOff>251460</xdr:rowOff>
        </xdr:to>
        <xdr:sp macro="" textlink="">
          <xdr:nvSpPr>
            <xdr:cNvPr id="115716" name="Check Box 4" hidden="1">
              <a:extLst>
                <a:ext uri="{63B3BB69-23CF-44E3-9099-C40C66FF867C}">
                  <a14:compatExt spid="_x0000_s115716"/>
                </a:ext>
                <a:ext uri="{FF2B5EF4-FFF2-40B4-BE49-F238E27FC236}">
                  <a16:creationId xmlns:a16="http://schemas.microsoft.com/office/drawing/2014/main" id="{00000000-0008-0000-0700-000004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输配电价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7</xdr:row>
          <xdr:rowOff>30480</xdr:rowOff>
        </xdr:from>
        <xdr:to>
          <xdr:col>3</xdr:col>
          <xdr:colOff>1623060</xdr:colOff>
          <xdr:row>7</xdr:row>
          <xdr:rowOff>220980</xdr:rowOff>
        </xdr:to>
        <xdr:sp macro="" textlink="">
          <xdr:nvSpPr>
            <xdr:cNvPr id="115717" name="Check Box 5" hidden="1">
              <a:extLst>
                <a:ext uri="{63B3BB69-23CF-44E3-9099-C40C66FF867C}">
                  <a14:compatExt spid="_x0000_s115717"/>
                </a:ext>
                <a:ext uri="{FF2B5EF4-FFF2-40B4-BE49-F238E27FC236}">
                  <a16:creationId xmlns:a16="http://schemas.microsoft.com/office/drawing/2014/main" id="{00000000-0008-0000-0700-000005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接受用户资产</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251460</xdr:colOff>
          <xdr:row>8</xdr:row>
          <xdr:rowOff>60960</xdr:rowOff>
        </xdr:from>
        <xdr:to>
          <xdr:col>3</xdr:col>
          <xdr:colOff>1546860</xdr:colOff>
          <xdr:row>8</xdr:row>
          <xdr:rowOff>251460</xdr:rowOff>
        </xdr:to>
        <xdr:sp macro="" textlink="">
          <xdr:nvSpPr>
            <xdr:cNvPr id="115718" name="Check Box 6" hidden="1">
              <a:extLst>
                <a:ext uri="{63B3BB69-23CF-44E3-9099-C40C66FF867C}">
                  <a14:compatExt spid="_x0000_s115718"/>
                </a:ext>
                <a:ext uri="{FF2B5EF4-FFF2-40B4-BE49-F238E27FC236}">
                  <a16:creationId xmlns:a16="http://schemas.microsoft.com/office/drawing/2014/main" id="{00000000-0008-0000-0700-000006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带息负债</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9</xdr:row>
          <xdr:rowOff>68580</xdr:rowOff>
        </xdr:from>
        <xdr:to>
          <xdr:col>3</xdr:col>
          <xdr:colOff>1623060</xdr:colOff>
          <xdr:row>9</xdr:row>
          <xdr:rowOff>259080</xdr:rowOff>
        </xdr:to>
        <xdr:sp macro="" textlink="">
          <xdr:nvSpPr>
            <xdr:cNvPr id="115719" name="Check Box 7" hidden="1">
              <a:extLst>
                <a:ext uri="{63B3BB69-23CF-44E3-9099-C40C66FF867C}">
                  <a14:compatExt spid="_x0000_s115719"/>
                </a:ext>
                <a:ext uri="{FF2B5EF4-FFF2-40B4-BE49-F238E27FC236}">
                  <a16:creationId xmlns:a16="http://schemas.microsoft.com/office/drawing/2014/main" id="{00000000-0008-0000-0700-000007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研究开发费</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10</xdr:row>
          <xdr:rowOff>68580</xdr:rowOff>
        </xdr:from>
        <xdr:to>
          <xdr:col>3</xdr:col>
          <xdr:colOff>1623060</xdr:colOff>
          <xdr:row>10</xdr:row>
          <xdr:rowOff>259080</xdr:rowOff>
        </xdr:to>
        <xdr:sp macro="" textlink="">
          <xdr:nvSpPr>
            <xdr:cNvPr id="115727" name="Check Box 15" hidden="1">
              <a:extLst>
                <a:ext uri="{63B3BB69-23CF-44E3-9099-C40C66FF867C}">
                  <a14:compatExt spid="_x0000_s115727"/>
                </a:ext>
                <a:ext uri="{FF2B5EF4-FFF2-40B4-BE49-F238E27FC236}">
                  <a16:creationId xmlns:a16="http://schemas.microsoft.com/office/drawing/2014/main" id="{00000000-0008-0000-0700-00000F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应收账款周转率</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11</xdr:row>
          <xdr:rowOff>60960</xdr:rowOff>
        </xdr:from>
        <xdr:to>
          <xdr:col>3</xdr:col>
          <xdr:colOff>1623060</xdr:colOff>
          <xdr:row>11</xdr:row>
          <xdr:rowOff>251460</xdr:rowOff>
        </xdr:to>
        <xdr:sp macro="" textlink="">
          <xdr:nvSpPr>
            <xdr:cNvPr id="115728" name="Check Box 16" hidden="1">
              <a:extLst>
                <a:ext uri="{63B3BB69-23CF-44E3-9099-C40C66FF867C}">
                  <a14:compatExt spid="_x0000_s115728"/>
                </a:ext>
                <a:ext uri="{FF2B5EF4-FFF2-40B4-BE49-F238E27FC236}">
                  <a16:creationId xmlns:a16="http://schemas.microsoft.com/office/drawing/2014/main" id="{00000000-0008-0000-0700-000010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存货占材料费、修理费和产业成本的比例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12</xdr:row>
          <xdr:rowOff>45720</xdr:rowOff>
        </xdr:from>
        <xdr:to>
          <xdr:col>3</xdr:col>
          <xdr:colOff>1623060</xdr:colOff>
          <xdr:row>12</xdr:row>
          <xdr:rowOff>236220</xdr:rowOff>
        </xdr:to>
        <xdr:sp macro="" textlink="">
          <xdr:nvSpPr>
            <xdr:cNvPr id="115729" name="Check Box 17" hidden="1">
              <a:extLst>
                <a:ext uri="{63B3BB69-23CF-44E3-9099-C40C66FF867C}">
                  <a14:compatExt spid="_x0000_s115729"/>
                </a:ext>
                <a:ext uri="{FF2B5EF4-FFF2-40B4-BE49-F238E27FC236}">
                  <a16:creationId xmlns:a16="http://schemas.microsoft.com/office/drawing/2014/main" id="{00000000-0008-0000-0700-000011C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152400</xdr:colOff>
          <xdr:row>1</xdr:row>
          <xdr:rowOff>99060</xdr:rowOff>
        </xdr:from>
        <xdr:to>
          <xdr:col>2</xdr:col>
          <xdr:colOff>731520</xdr:colOff>
          <xdr:row>1</xdr:row>
          <xdr:rowOff>350520</xdr:rowOff>
        </xdr:to>
        <xdr:sp macro="" textlink="">
          <xdr:nvSpPr>
            <xdr:cNvPr id="115730" name="Button 18" hidden="1">
              <a:extLst>
                <a:ext uri="{63B3BB69-23CF-44E3-9099-C40C66FF867C}">
                  <a14:compatExt spid="_x0000_s115730"/>
                </a:ext>
                <a:ext uri="{FF2B5EF4-FFF2-40B4-BE49-F238E27FC236}">
                  <a16:creationId xmlns:a16="http://schemas.microsoft.com/office/drawing/2014/main" id="{00000000-0008-0000-0700-000012C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原值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60960</xdr:colOff>
          <xdr:row>1</xdr:row>
          <xdr:rowOff>68580</xdr:rowOff>
        </xdr:from>
        <xdr:to>
          <xdr:col>3</xdr:col>
          <xdr:colOff>1295400</xdr:colOff>
          <xdr:row>1</xdr:row>
          <xdr:rowOff>350520</xdr:rowOff>
        </xdr:to>
        <xdr:sp macro="" textlink="">
          <xdr:nvSpPr>
            <xdr:cNvPr id="115735" name="Button 23" hidden="1">
              <a:extLst>
                <a:ext uri="{63B3BB69-23CF-44E3-9099-C40C66FF867C}">
                  <a14:compatExt spid="_x0000_s115735"/>
                </a:ext>
                <a:ext uri="{FF2B5EF4-FFF2-40B4-BE49-F238E27FC236}">
                  <a16:creationId xmlns:a16="http://schemas.microsoft.com/office/drawing/2014/main" id="{00000000-0008-0000-0700-000017C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单变量分析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60960</xdr:colOff>
          <xdr:row>1</xdr:row>
          <xdr:rowOff>60960</xdr:rowOff>
        </xdr:from>
        <xdr:to>
          <xdr:col>5</xdr:col>
          <xdr:colOff>617220</xdr:colOff>
          <xdr:row>1</xdr:row>
          <xdr:rowOff>327660</xdr:rowOff>
        </xdr:to>
        <xdr:sp macro="" textlink="">
          <xdr:nvSpPr>
            <xdr:cNvPr id="115736" name="Button 24" hidden="1">
              <a:extLst>
                <a:ext uri="{63B3BB69-23CF-44E3-9099-C40C66FF867C}">
                  <a14:compatExt spid="_x0000_s115736"/>
                </a:ext>
                <a:ext uri="{FF2B5EF4-FFF2-40B4-BE49-F238E27FC236}">
                  <a16:creationId xmlns:a16="http://schemas.microsoft.com/office/drawing/2014/main" id="{00000000-0008-0000-0700-000018C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多变量分析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160020</xdr:colOff>
          <xdr:row>1</xdr:row>
          <xdr:rowOff>99060</xdr:rowOff>
        </xdr:from>
        <xdr:to>
          <xdr:col>8</xdr:col>
          <xdr:colOff>746760</xdr:colOff>
          <xdr:row>1</xdr:row>
          <xdr:rowOff>342900</xdr:rowOff>
        </xdr:to>
        <xdr:sp macro="" textlink="">
          <xdr:nvSpPr>
            <xdr:cNvPr id="115737" name="Button 25" hidden="1">
              <a:extLst>
                <a:ext uri="{63B3BB69-23CF-44E3-9099-C40C66FF867C}">
                  <a14:compatExt spid="_x0000_s115737"/>
                </a:ext>
                <a:ext uri="{FF2B5EF4-FFF2-40B4-BE49-F238E27FC236}">
                  <a16:creationId xmlns:a16="http://schemas.microsoft.com/office/drawing/2014/main" id="{00000000-0008-0000-0700-000019C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清空</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9</xdr:col>
      <xdr:colOff>76200</xdr:colOff>
      <xdr:row>10</xdr:row>
      <xdr:rowOff>25400</xdr:rowOff>
    </xdr:from>
    <xdr:to>
      <xdr:col>13</xdr:col>
      <xdr:colOff>1714500</xdr:colOff>
      <xdr:row>24</xdr:row>
      <xdr:rowOff>6350</xdr:rowOff>
    </xdr:to>
    <xdr:graphicFrame macro="">
      <xdr:nvGraphicFramePr>
        <xdr:cNvPr id="2" name="图表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12700</xdr:colOff>
      <xdr:row>7</xdr:row>
      <xdr:rowOff>165100</xdr:rowOff>
    </xdr:from>
    <xdr:to>
      <xdr:col>20</xdr:col>
      <xdr:colOff>25400</xdr:colOff>
      <xdr:row>21</xdr:row>
      <xdr:rowOff>31750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317500</xdr:colOff>
      <xdr:row>7</xdr:row>
      <xdr:rowOff>171450</xdr:rowOff>
    </xdr:from>
    <xdr:to>
      <xdr:col>24</xdr:col>
      <xdr:colOff>184150</xdr:colOff>
      <xdr:row>20</xdr:row>
      <xdr:rowOff>171450</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387350</xdr:colOff>
      <xdr:row>8</xdr:row>
      <xdr:rowOff>15875</xdr:rowOff>
    </xdr:from>
    <xdr:to>
      <xdr:col>29</xdr:col>
      <xdr:colOff>31750</xdr:colOff>
      <xdr:row>21</xdr:row>
      <xdr:rowOff>0</xdr:rowOff>
    </xdr:to>
    <xdr:graphicFrame macro="">
      <xdr:nvGraphicFramePr>
        <xdr:cNvPr id="7" name="图表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590549</xdr:colOff>
      <xdr:row>6</xdr:row>
      <xdr:rowOff>63501</xdr:rowOff>
    </xdr:from>
    <xdr:to>
      <xdr:col>7</xdr:col>
      <xdr:colOff>946150</xdr:colOff>
      <xdr:row>16</xdr:row>
      <xdr:rowOff>152401</xdr:rowOff>
    </xdr:to>
    <xdr:graphicFrame macro="">
      <xdr:nvGraphicFramePr>
        <xdr:cNvPr id="14" name="图表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565150</xdr:colOff>
      <xdr:row>17</xdr:row>
      <xdr:rowOff>114301</xdr:rowOff>
    </xdr:from>
    <xdr:to>
      <xdr:col>7</xdr:col>
      <xdr:colOff>933450</xdr:colOff>
      <xdr:row>28</xdr:row>
      <xdr:rowOff>31751</xdr:rowOff>
    </xdr:to>
    <xdr:graphicFrame macro="">
      <xdr:nvGraphicFramePr>
        <xdr:cNvPr id="16" name="图表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10</xdr:col>
      <xdr:colOff>670560</xdr:colOff>
      <xdr:row>45</xdr:row>
      <xdr:rowOff>152400</xdr:rowOff>
    </xdr:from>
    <xdr:to>
      <xdr:col>15</xdr:col>
      <xdr:colOff>260512</xdr:colOff>
      <xdr:row>66</xdr:row>
      <xdr:rowOff>20470</xdr:rowOff>
    </xdr:to>
    <xdr:pic>
      <xdr:nvPicPr>
        <xdr:cNvPr id="4" name="图片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stretch>
          <a:fillRect/>
        </a:stretch>
      </xdr:blipFill>
      <xdr:spPr>
        <a:xfrm>
          <a:off x="8732520" y="8755380"/>
          <a:ext cx="3780952" cy="38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60960</xdr:colOff>
          <xdr:row>44</xdr:row>
          <xdr:rowOff>259080</xdr:rowOff>
        </xdr:from>
        <xdr:to>
          <xdr:col>9</xdr:col>
          <xdr:colOff>952500</xdr:colOff>
          <xdr:row>46</xdr:row>
          <xdr:rowOff>0</xdr:rowOff>
        </xdr:to>
        <xdr:sp macro="" textlink="">
          <xdr:nvSpPr>
            <xdr:cNvPr id="106501" name="Button 5" hidden="1">
              <a:extLst>
                <a:ext uri="{63B3BB69-23CF-44E3-9099-C40C66FF867C}">
                  <a14:compatExt spid="_x0000_s106501"/>
                </a:ext>
                <a:ext uri="{FF2B5EF4-FFF2-40B4-BE49-F238E27FC236}">
                  <a16:creationId xmlns:a16="http://schemas.microsoft.com/office/drawing/2014/main" id="{00000000-0008-0000-0B00-000005A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测算</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121920</xdr:colOff>
          <xdr:row>2</xdr:row>
          <xdr:rowOff>114300</xdr:rowOff>
        </xdr:from>
        <xdr:to>
          <xdr:col>10</xdr:col>
          <xdr:colOff>617220</xdr:colOff>
          <xdr:row>3</xdr:row>
          <xdr:rowOff>182880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0C00-0000018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41148" rIns="36576" bIns="41148" anchor="ctr" upright="1"/>
            <a:lstStyle/>
            <a:p>
              <a:pPr algn="ctr" rtl="0">
                <a:defRPr sz="1000"/>
              </a:pPr>
              <a:r>
                <a:rPr lang="zh-CN" altLang="en-US" sz="1100" b="1" i="0" u="none" strike="noStrike" baseline="0">
                  <a:solidFill>
                    <a:srgbClr val="000000"/>
                  </a:solidFill>
                  <a:latin typeface="微软雅黑"/>
                  <a:ea typeface="微软雅黑"/>
                </a:rPr>
                <a:t>场景5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121920</xdr:colOff>
          <xdr:row>26</xdr:row>
          <xdr:rowOff>114300</xdr:rowOff>
        </xdr:from>
        <xdr:to>
          <xdr:col>10</xdr:col>
          <xdr:colOff>617220</xdr:colOff>
          <xdr:row>27</xdr:row>
          <xdr:rowOff>182880</xdr:rowOff>
        </xdr:to>
        <xdr:sp macro="" textlink="">
          <xdr:nvSpPr>
            <xdr:cNvPr id="99333" name="Button 5" hidden="1">
              <a:extLst>
                <a:ext uri="{63B3BB69-23CF-44E3-9099-C40C66FF867C}">
                  <a14:compatExt spid="_x0000_s99333"/>
                </a:ext>
                <a:ext uri="{FF2B5EF4-FFF2-40B4-BE49-F238E27FC236}">
                  <a16:creationId xmlns:a16="http://schemas.microsoft.com/office/drawing/2014/main" id="{00000000-0008-0000-0C00-0000058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41148" rIns="36576" bIns="41148" anchor="ctr" upright="1"/>
            <a:lstStyle/>
            <a:p>
              <a:pPr algn="ctr" rtl="0">
                <a:defRPr sz="1000"/>
              </a:pPr>
              <a:r>
                <a:rPr lang="zh-CN" altLang="en-US" sz="1100" b="1" i="0" u="none" strike="noStrike" baseline="0">
                  <a:solidFill>
                    <a:srgbClr val="000000"/>
                  </a:solidFill>
                  <a:latin typeface="微软雅黑"/>
                  <a:ea typeface="微软雅黑"/>
                </a:rPr>
                <a:t>场景6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121920</xdr:colOff>
          <xdr:row>50</xdr:row>
          <xdr:rowOff>114300</xdr:rowOff>
        </xdr:from>
        <xdr:to>
          <xdr:col>10</xdr:col>
          <xdr:colOff>617220</xdr:colOff>
          <xdr:row>51</xdr:row>
          <xdr:rowOff>182880</xdr:rowOff>
        </xdr:to>
        <xdr:sp macro="" textlink="">
          <xdr:nvSpPr>
            <xdr:cNvPr id="99337" name="Button 9" hidden="1">
              <a:extLst>
                <a:ext uri="{63B3BB69-23CF-44E3-9099-C40C66FF867C}">
                  <a14:compatExt spid="_x0000_s99337"/>
                </a:ext>
                <a:ext uri="{FF2B5EF4-FFF2-40B4-BE49-F238E27FC236}">
                  <a16:creationId xmlns:a16="http://schemas.microsoft.com/office/drawing/2014/main" id="{00000000-0008-0000-0C00-0000098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41148" rIns="36576" bIns="41148" anchor="ctr" upright="1"/>
            <a:lstStyle/>
            <a:p>
              <a:pPr algn="ctr" rtl="0">
                <a:defRPr sz="1000"/>
              </a:pPr>
              <a:r>
                <a:rPr lang="zh-CN" altLang="en-US" sz="1100" b="1" i="0" u="none" strike="noStrike" baseline="0">
                  <a:solidFill>
                    <a:srgbClr val="000000"/>
                  </a:solidFill>
                  <a:latin typeface="微软雅黑"/>
                  <a:ea typeface="微软雅黑"/>
                </a:rPr>
                <a:t>场景7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121920</xdr:colOff>
          <xdr:row>74</xdr:row>
          <xdr:rowOff>114300</xdr:rowOff>
        </xdr:from>
        <xdr:to>
          <xdr:col>10</xdr:col>
          <xdr:colOff>617220</xdr:colOff>
          <xdr:row>75</xdr:row>
          <xdr:rowOff>182880</xdr:rowOff>
        </xdr:to>
        <xdr:sp macro="" textlink="">
          <xdr:nvSpPr>
            <xdr:cNvPr id="99340" name="Button 12" hidden="1">
              <a:extLst>
                <a:ext uri="{63B3BB69-23CF-44E3-9099-C40C66FF867C}">
                  <a14:compatExt spid="_x0000_s99340"/>
                </a:ext>
                <a:ext uri="{FF2B5EF4-FFF2-40B4-BE49-F238E27FC236}">
                  <a16:creationId xmlns:a16="http://schemas.microsoft.com/office/drawing/2014/main" id="{00000000-0008-0000-0C00-00000C8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41148" rIns="36576" bIns="41148" anchor="ctr" upright="1"/>
            <a:lstStyle/>
            <a:p>
              <a:pPr algn="ctr" rtl="0">
                <a:defRPr sz="1000"/>
              </a:pPr>
              <a:r>
                <a:rPr lang="zh-CN" altLang="en-US" sz="1100" b="1" i="0" u="none" strike="noStrike" baseline="0">
                  <a:solidFill>
                    <a:srgbClr val="000000"/>
                  </a:solidFill>
                  <a:latin typeface="微软雅黑"/>
                  <a:ea typeface="微软雅黑"/>
                </a:rPr>
                <a:t>场景8</a:t>
              </a:r>
            </a:p>
          </xdr:txBody>
        </xdr:sp>
        <xdr:clientData fPrintsWithSheet="0"/>
      </xdr:twoCellAnchor>
    </mc:Choice>
    <mc:Fallback/>
  </mc:AlternateContent>
  <xdr:twoCellAnchor editAs="oneCell">
    <xdr:from>
      <xdr:col>10</xdr:col>
      <xdr:colOff>1164167</xdr:colOff>
      <xdr:row>2</xdr:row>
      <xdr:rowOff>179917</xdr:rowOff>
    </xdr:from>
    <xdr:to>
      <xdr:col>14</xdr:col>
      <xdr:colOff>1175107</xdr:colOff>
      <xdr:row>20</xdr:row>
      <xdr:rowOff>77857</xdr:rowOff>
    </xdr:to>
    <xdr:pic>
      <xdr:nvPicPr>
        <xdr:cNvPr id="2" name="图片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12604750" y="719667"/>
          <a:ext cx="5609524" cy="36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6</xdr:col>
          <xdr:colOff>0</xdr:colOff>
          <xdr:row>3</xdr:row>
          <xdr:rowOff>0</xdr:rowOff>
        </xdr:to>
        <xdr:sp macro="" textlink="">
          <xdr:nvSpPr>
            <xdr:cNvPr id="23553" name="Scroll Bar 1" hidden="1">
              <a:extLst>
                <a:ext uri="{63B3BB69-23CF-44E3-9099-C40C66FF867C}">
                  <a14:compatExt spid="_x0000_s23553"/>
                </a:ext>
                <a:ext uri="{FF2B5EF4-FFF2-40B4-BE49-F238E27FC236}">
                  <a16:creationId xmlns:a16="http://schemas.microsoft.com/office/drawing/2014/main" id="{00000000-0008-0000-0D00-0000015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6</xdr:col>
          <xdr:colOff>0</xdr:colOff>
          <xdr:row>6</xdr:row>
          <xdr:rowOff>0</xdr:rowOff>
        </xdr:to>
        <xdr:sp macro="" textlink="">
          <xdr:nvSpPr>
            <xdr:cNvPr id="23554" name="Scroll Bar 2" hidden="1">
              <a:extLst>
                <a:ext uri="{63B3BB69-23CF-44E3-9099-C40C66FF867C}">
                  <a14:compatExt spid="_x0000_s23554"/>
                </a:ext>
                <a:ext uri="{FF2B5EF4-FFF2-40B4-BE49-F238E27FC236}">
                  <a16:creationId xmlns:a16="http://schemas.microsoft.com/office/drawing/2014/main" id="{00000000-0008-0000-0D00-0000025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6</xdr:col>
          <xdr:colOff>0</xdr:colOff>
          <xdr:row>7</xdr:row>
          <xdr:rowOff>0</xdr:rowOff>
        </xdr:to>
        <xdr:sp macro="" textlink="">
          <xdr:nvSpPr>
            <xdr:cNvPr id="23555" name="Scroll Bar 3" hidden="1">
              <a:extLst>
                <a:ext uri="{63B3BB69-23CF-44E3-9099-C40C66FF867C}">
                  <a14:compatExt spid="_x0000_s23555"/>
                </a:ext>
                <a:ext uri="{FF2B5EF4-FFF2-40B4-BE49-F238E27FC236}">
                  <a16:creationId xmlns:a16="http://schemas.microsoft.com/office/drawing/2014/main" id="{00000000-0008-0000-0D00-0000035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6</xdr:col>
          <xdr:colOff>0</xdr:colOff>
          <xdr:row>4</xdr:row>
          <xdr:rowOff>0</xdr:rowOff>
        </xdr:to>
        <xdr:sp macro="" textlink="">
          <xdr:nvSpPr>
            <xdr:cNvPr id="23556" name="Scroll Bar 4" hidden="1">
              <a:extLst>
                <a:ext uri="{63B3BB69-23CF-44E3-9099-C40C66FF867C}">
                  <a14:compatExt spid="_x0000_s23556"/>
                </a:ext>
                <a:ext uri="{FF2B5EF4-FFF2-40B4-BE49-F238E27FC236}">
                  <a16:creationId xmlns:a16="http://schemas.microsoft.com/office/drawing/2014/main" id="{00000000-0008-0000-0D00-0000045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xdr:row>
          <xdr:rowOff>0</xdr:rowOff>
        </xdr:from>
        <xdr:to>
          <xdr:col>6</xdr:col>
          <xdr:colOff>0</xdr:colOff>
          <xdr:row>5</xdr:row>
          <xdr:rowOff>0</xdr:rowOff>
        </xdr:to>
        <xdr:sp macro="" textlink="">
          <xdr:nvSpPr>
            <xdr:cNvPr id="23558" name="Scroll Bar 6" hidden="1">
              <a:extLst>
                <a:ext uri="{63B3BB69-23CF-44E3-9099-C40C66FF867C}">
                  <a14:compatExt spid="_x0000_s23558"/>
                </a:ext>
                <a:ext uri="{FF2B5EF4-FFF2-40B4-BE49-F238E27FC236}">
                  <a16:creationId xmlns:a16="http://schemas.microsoft.com/office/drawing/2014/main" id="{00000000-0008-0000-0D00-0000065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8</xdr:col>
      <xdr:colOff>7056</xdr:colOff>
      <xdr:row>69</xdr:row>
      <xdr:rowOff>164797</xdr:rowOff>
    </xdr:from>
    <xdr:to>
      <xdr:col>16</xdr:col>
      <xdr:colOff>938784</xdr:colOff>
      <xdr:row>101</xdr:row>
      <xdr:rowOff>23697</xdr:rowOff>
    </xdr:to>
    <xdr:graphicFrame macro="">
      <xdr:nvGraphicFramePr>
        <xdr:cNvPr id="3" name="图表 2">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19</xdr:col>
      <xdr:colOff>271462</xdr:colOff>
      <xdr:row>4</xdr:row>
      <xdr:rowOff>133350</xdr:rowOff>
    </xdr:from>
    <xdr:to>
      <xdr:col>25</xdr:col>
      <xdr:colOff>319087</xdr:colOff>
      <xdr:row>17</xdr:row>
      <xdr:rowOff>152400</xdr:rowOff>
    </xdr:to>
    <xdr:graphicFrame macro="">
      <xdr:nvGraphicFramePr>
        <xdr:cNvPr id="2" name="图表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10</xdr:col>
      <xdr:colOff>290512</xdr:colOff>
      <xdr:row>0</xdr:row>
      <xdr:rowOff>133350</xdr:rowOff>
    </xdr:from>
    <xdr:to>
      <xdr:col>17</xdr:col>
      <xdr:colOff>61912</xdr:colOff>
      <xdr:row>13</xdr:row>
      <xdr:rowOff>152400</xdr:rowOff>
    </xdr:to>
    <xdr:graphicFrame macro="">
      <xdr:nvGraphicFramePr>
        <xdr:cNvPr id="2" name="图表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366712</xdr:colOff>
      <xdr:row>14</xdr:row>
      <xdr:rowOff>95250</xdr:rowOff>
    </xdr:from>
    <xdr:to>
      <xdr:col>17</xdr:col>
      <xdr:colOff>138112</xdr:colOff>
      <xdr:row>27</xdr:row>
      <xdr:rowOff>114300</xdr:rowOff>
    </xdr:to>
    <xdr:graphicFrame macro="">
      <xdr:nvGraphicFramePr>
        <xdr:cNvPr id="3" name="图表 2">
          <a:extLst>
            <a:ext uri="{FF2B5EF4-FFF2-40B4-BE49-F238E27FC236}">
              <a16:creationId xmlns:a16="http://schemas.microsoft.com/office/drawing/2014/main" id="{00000000-0008-0000-1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557212</xdr:colOff>
      <xdr:row>8</xdr:row>
      <xdr:rowOff>104775</xdr:rowOff>
    </xdr:from>
    <xdr:to>
      <xdr:col>11</xdr:col>
      <xdr:colOff>328612</xdr:colOff>
      <xdr:row>21</xdr:row>
      <xdr:rowOff>123825</xdr:rowOff>
    </xdr:to>
    <xdr:graphicFrame macro="">
      <xdr:nvGraphicFramePr>
        <xdr:cNvPr id="4" name="图表 3">
          <a:extLst>
            <a:ext uri="{FF2B5EF4-FFF2-40B4-BE49-F238E27FC236}">
              <a16:creationId xmlns:a16="http://schemas.microsoft.com/office/drawing/2014/main" id="{00000000-0008-0000-1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519112</xdr:colOff>
      <xdr:row>22</xdr:row>
      <xdr:rowOff>9525</xdr:rowOff>
    </xdr:from>
    <xdr:to>
      <xdr:col>11</xdr:col>
      <xdr:colOff>290512</xdr:colOff>
      <xdr:row>35</xdr:row>
      <xdr:rowOff>28575</xdr:rowOff>
    </xdr:to>
    <xdr:graphicFrame macro="">
      <xdr:nvGraphicFramePr>
        <xdr:cNvPr id="5" name="图表 4">
          <a:extLst>
            <a:ext uri="{FF2B5EF4-FFF2-40B4-BE49-F238E27FC236}">
              <a16:creationId xmlns:a16="http://schemas.microsoft.com/office/drawing/2014/main" id="{00000000-0008-0000-1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528637</xdr:colOff>
      <xdr:row>35</xdr:row>
      <xdr:rowOff>47625</xdr:rowOff>
    </xdr:from>
    <xdr:to>
      <xdr:col>11</xdr:col>
      <xdr:colOff>300037</xdr:colOff>
      <xdr:row>48</xdr:row>
      <xdr:rowOff>66675</xdr:rowOff>
    </xdr:to>
    <xdr:graphicFrame macro="">
      <xdr:nvGraphicFramePr>
        <xdr:cNvPr id="6" name="图表 5">
          <a:extLst>
            <a:ext uri="{FF2B5EF4-FFF2-40B4-BE49-F238E27FC236}">
              <a16:creationId xmlns:a16="http://schemas.microsoft.com/office/drawing/2014/main" id="{00000000-0008-0000-1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528637</xdr:colOff>
      <xdr:row>38</xdr:row>
      <xdr:rowOff>38100</xdr:rowOff>
    </xdr:from>
    <xdr:to>
      <xdr:col>11</xdr:col>
      <xdr:colOff>300037</xdr:colOff>
      <xdr:row>51</xdr:row>
      <xdr:rowOff>57150</xdr:rowOff>
    </xdr:to>
    <xdr:graphicFrame macro="">
      <xdr:nvGraphicFramePr>
        <xdr:cNvPr id="7" name="图表 6">
          <a:extLst>
            <a:ext uri="{FF2B5EF4-FFF2-40B4-BE49-F238E27FC236}">
              <a16:creationId xmlns:a16="http://schemas.microsoft.com/office/drawing/2014/main" id="{00000000-0008-0000-14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2018&#8212;&#8212;&#26234;&#21644;&#21672;&#35810;\4&#8212;&#8212;&#23567;&#23433;&#20132;&#25509;&#39033;&#30446;\&#22522;&#20110;&#36755;&#37197;&#30005;&#20215;&#25913;&#38761;&#30340;&#30005;&#32593;&#25237;&#36164;&#33021;&#21147;&#27979;&#31639;&#27169;&#22411;&#30740;&#31350;\&#38468;&#20214;1.&#25237;&#36164;&#33021;&#21147;&#27979;&#31639;&#27169;&#2241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Administrator.WIN7-1805040959\Desktop\&#19978;&#28023;&#22810;&#30446;&#26631;&#32852;&#21160;&#32463;&#33829;&#20223;&#30495;&#39044;&#27979;&#27169;&#22411;v3-&#22635;&#2596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模型功能概览"/>
      <sheetName val="目录"/>
      <sheetName val="Ⅰ 页签—平均输配电价测算"/>
      <sheetName val="价差测算"/>
      <sheetName val="参数测算"/>
      <sheetName val="输配电价测算模型"/>
      <sheetName val="电价反算投资规模"/>
      <sheetName val="Ⅱ 页签—经营预测模型"/>
      <sheetName val="经营预测参数"/>
      <sheetName val="资产参数"/>
      <sheetName val="投资结构表"/>
      <sheetName val="在建工程&amp;新增固定资产"/>
      <sheetName val="经营用资产表"/>
      <sheetName val="监审口径下资产表"/>
      <sheetName val="监审口径下运维表 "/>
      <sheetName val="融资结构表"/>
      <sheetName val="各项融资结构明细表"/>
      <sheetName val="经营用运维表"/>
      <sheetName val="购售电量"/>
      <sheetName val="输配电收入明细表"/>
      <sheetName val="利润表"/>
      <sheetName val="资产负债表"/>
      <sheetName val="现金流量表"/>
      <sheetName val="主要经济指标测算表"/>
      <sheetName val="发债指标测算表"/>
      <sheetName val="敏感性分析表"/>
      <sheetName val="Ⅲ页签—最优投资能力测算"/>
      <sheetName val="逐年联动投资能力"/>
      <sheetName val="规划求解投资能力"/>
      <sheetName val="成本口径投资能力"/>
      <sheetName val="Ⅳ页签—历史数据"/>
      <sheetName val="2016带息负债情况表"/>
      <sheetName val="2014电价基础数据表-价格处_国网江苏省电力有限公司"/>
      <sheetName val="2015电价基础数据表-价格处_国网江苏省电力有限公司"/>
      <sheetName val="2016电价基础数据表-价格处_国网江苏省电力有限公司 "/>
      <sheetName val="2014电力销售情况明细表（本年累计）_国网江苏省电力公司"/>
      <sheetName val="2015电力销售情况明细表（本年累计）_国网江苏省电力公司"/>
      <sheetName val="2016电力销售情况明细表（本年累计）_国网江苏省电力公司"/>
      <sheetName val="2016财务快报-利润表_国网江苏省电力有限公司"/>
      <sheetName val="2017利润预算年中调整表_国网江苏省电力有限公司"/>
      <sheetName val="2017购售电因素分析表_国网江苏省电力有限公司"/>
      <sheetName val="2016无形资产_原始数据"/>
      <sheetName val="2014财务快报-成本费用管理情况表_国网江苏省电力有限公司"/>
      <sheetName val="2015财务快报-成本费用表_国网江苏省电力有限公司"/>
      <sheetName val="2016财务快报-成本费用表_国网江苏省电力有限公司"/>
      <sheetName val="2016固定资产及累计折旧表_国网江苏省电力公司"/>
      <sheetName val="Sheet3"/>
      <sheetName val="附表"/>
      <sheetName val="2016利润表"/>
      <sheetName val="2016资产负债表"/>
      <sheetName val="2016现金流量表"/>
      <sheetName val="2016预付款项_国网江苏省电力有限公司"/>
      <sheetName val="2016固定资产及累计折旧表_国网省电力公司"/>
    </sheetNames>
    <sheetDataSet>
      <sheetData sheetId="0"/>
      <sheetData sheetId="1"/>
      <sheetData sheetId="2"/>
      <sheetData sheetId="3"/>
      <sheetData sheetId="4"/>
      <sheetData sheetId="5"/>
      <sheetData sheetId="6">
        <row r="7">
          <cell r="I7">
            <v>2.0447398348840767E-2</v>
          </cell>
        </row>
        <row r="11">
          <cell r="I11">
            <v>1211621.189993256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ow r="12">
          <cell r="G12">
            <v>6040500.386430515</v>
          </cell>
        </row>
      </sheetData>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封面"/>
      <sheetName val="模型框架"/>
      <sheetName val="修改记录"/>
      <sheetName val="=&gt;数据输入区"/>
      <sheetName val="假设"/>
      <sheetName val="收入成本月度参数"/>
      <sheetName val="固定资产结构及折旧参数"/>
      <sheetName val="长期债务表"/>
      <sheetName val="发展投入"/>
      <sheetName val="输配电价测算参数"/>
      <sheetName val="投资与电量关系测算数据"/>
      <sheetName val="=&gt;分析测算区"/>
      <sheetName val="经济活动分析"/>
      <sheetName val="敏感性分析"/>
      <sheetName val="输配电价测算模型"/>
      <sheetName val="核价与实际情况对比分析"/>
      <sheetName val="变动统计"/>
      <sheetName val="动因指标对成果指标影响分析"/>
      <sheetName val="动因指标和成果指标内部影响分析"/>
      <sheetName val="多场景分析"/>
      <sheetName val="变动统计2"/>
      <sheetName val="投资能力规划"/>
      <sheetName val="=&gt;结果输出区"/>
      <sheetName val="税金"/>
      <sheetName val="预算完成进度风险预警"/>
      <sheetName val="损益表"/>
      <sheetName val="资产负债表"/>
      <sheetName val="现金流量表"/>
      <sheetName val="主要评级指标表"/>
      <sheetName val="主要经济指标表"/>
      <sheetName val="国资委考核指标"/>
      <sheetName val="=&gt;测算过程区"/>
      <sheetName val="实际情况下输配电价Ⅰ"/>
      <sheetName val="电量电价"/>
      <sheetName val="准许收入假设"/>
      <sheetName val="固定资产"/>
      <sheetName val="债务"/>
      <sheetName val="现金缺口测算"/>
      <sheetName val="实际收入"/>
      <sheetName val="=&gt;历史数据区"/>
      <sheetName val="历史利润表"/>
      <sheetName val="历史资产负债表"/>
      <sheetName val="关键参数底稿"/>
      <sheetName val="历史现金流量表"/>
      <sheetName val="历史发展投入"/>
      <sheetName val="=&gt;明细信息区"/>
      <sheetName val="17分部"/>
      <sheetName val="17成本"/>
      <sheetName val="16分部"/>
      <sheetName val="16成本"/>
    </sheetNames>
    <sheetDataSet>
      <sheetData sheetId="0">
        <row r="7">
          <cell r="C7" t="str">
            <v>1.实际收入+实际成本</v>
          </cell>
        </row>
        <row r="8">
          <cell r="C8">
            <v>2018</v>
          </cell>
        </row>
        <row r="9">
          <cell r="C9" t="str">
            <v>on</v>
          </cell>
        </row>
      </sheetData>
      <sheetData sheetId="1" refreshError="1"/>
      <sheetData sheetId="2" refreshError="1"/>
      <sheetData sheetId="3" refreshError="1"/>
      <sheetData sheetId="4">
        <row r="12">
          <cell r="G12">
            <v>634.18375551802797</v>
          </cell>
        </row>
      </sheetData>
      <sheetData sheetId="5">
        <row r="19">
          <cell r="C19">
            <v>126.98507272000001</v>
          </cell>
        </row>
      </sheetData>
      <sheetData sheetId="6" refreshError="1"/>
      <sheetData sheetId="7" refreshError="1"/>
      <sheetData sheetId="8" refreshError="1"/>
      <sheetData sheetId="9" refreshError="1"/>
      <sheetData sheetId="10" refreshError="1"/>
      <sheetData sheetId="11" refreshError="1"/>
      <sheetData sheetId="12">
        <row r="10">
          <cell r="C10" t="str">
            <v>第一季度</v>
          </cell>
        </row>
      </sheetData>
      <sheetData sheetId="13">
        <row r="3">
          <cell r="C3">
            <v>0</v>
          </cell>
        </row>
        <row r="4">
          <cell r="C4">
            <v>0</v>
          </cell>
        </row>
        <row r="5">
          <cell r="C5">
            <v>0</v>
          </cell>
        </row>
        <row r="7">
          <cell r="C7">
            <v>0</v>
          </cell>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 Type="http://schemas.openxmlformats.org/officeDocument/2006/relationships/ctrlProp" Target="../ctrlProps/ctrlProp2.xml"/><Relationship Id="rId21" Type="http://schemas.openxmlformats.org/officeDocument/2006/relationships/ctrlProp" Target="../ctrlProps/ctrlProp20.xml"/><Relationship Id="rId34" Type="http://schemas.openxmlformats.org/officeDocument/2006/relationships/ctrlProp" Target="../ctrlProps/ctrlProp33.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33" Type="http://schemas.openxmlformats.org/officeDocument/2006/relationships/ctrlProp" Target="../ctrlProps/ctrlProp32.xml"/><Relationship Id="rId2" Type="http://schemas.openxmlformats.org/officeDocument/2006/relationships/vmlDrawing" Target="../drawings/vmlDrawing2.vml"/><Relationship Id="rId16" Type="http://schemas.openxmlformats.org/officeDocument/2006/relationships/ctrlProp" Target="../ctrlProps/ctrlProp15.xml"/><Relationship Id="rId20" Type="http://schemas.openxmlformats.org/officeDocument/2006/relationships/ctrlProp" Target="../ctrlProps/ctrlProp19.xml"/><Relationship Id="rId29" Type="http://schemas.openxmlformats.org/officeDocument/2006/relationships/ctrlProp" Target="../ctrlProps/ctrlProp28.xml"/><Relationship Id="rId1" Type="http://schemas.openxmlformats.org/officeDocument/2006/relationships/drawing" Target="../drawings/drawing3.xml"/><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32" Type="http://schemas.openxmlformats.org/officeDocument/2006/relationships/ctrlProp" Target="../ctrlProps/ctrlProp31.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trlProp" Target="../ctrlProps/ctrlProp27.xml"/><Relationship Id="rId10" Type="http://schemas.openxmlformats.org/officeDocument/2006/relationships/ctrlProp" Target="../ctrlProps/ctrlProp9.xml"/><Relationship Id="rId19" Type="http://schemas.openxmlformats.org/officeDocument/2006/relationships/ctrlProp" Target="../ctrlProps/ctrlProp18.xml"/><Relationship Id="rId31" Type="http://schemas.openxmlformats.org/officeDocument/2006/relationships/ctrlProp" Target="../ctrlProps/ctrlProp30.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 Id="rId30" Type="http://schemas.openxmlformats.org/officeDocument/2006/relationships/ctrlProp" Target="../ctrlProps/ctrlProp29.xml"/><Relationship Id="rId35" Type="http://schemas.openxmlformats.org/officeDocument/2006/relationships/ctrlProp" Target="../ctrlProps/ctrlProp34.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40.xml"/><Relationship Id="rId3" Type="http://schemas.openxmlformats.org/officeDocument/2006/relationships/ctrlProp" Target="../ctrlProps/ctrlProp35.xml"/><Relationship Id="rId7" Type="http://schemas.openxmlformats.org/officeDocument/2006/relationships/ctrlProp" Target="../ctrlProps/ctrlProp39.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38.xml"/><Relationship Id="rId5" Type="http://schemas.openxmlformats.org/officeDocument/2006/relationships/ctrlProp" Target="../ctrlProps/ctrlProp37.xml"/><Relationship Id="rId10" Type="http://schemas.openxmlformats.org/officeDocument/2006/relationships/comments" Target="../comments1.xml"/><Relationship Id="rId4" Type="http://schemas.openxmlformats.org/officeDocument/2006/relationships/ctrlProp" Target="../ctrlProps/ctrlProp36.xml"/><Relationship Id="rId9" Type="http://schemas.openxmlformats.org/officeDocument/2006/relationships/ctrlProp" Target="../ctrlProps/ctrlProp41.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47.xml"/><Relationship Id="rId13" Type="http://schemas.openxmlformats.org/officeDocument/2006/relationships/ctrlProp" Target="../ctrlProps/ctrlProp52.xml"/><Relationship Id="rId3" Type="http://schemas.openxmlformats.org/officeDocument/2006/relationships/ctrlProp" Target="../ctrlProps/ctrlProp42.xml"/><Relationship Id="rId7" Type="http://schemas.openxmlformats.org/officeDocument/2006/relationships/ctrlProp" Target="../ctrlProps/ctrlProp46.xml"/><Relationship Id="rId12" Type="http://schemas.openxmlformats.org/officeDocument/2006/relationships/ctrlProp" Target="../ctrlProps/ctrlProp51.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45.xml"/><Relationship Id="rId11" Type="http://schemas.openxmlformats.org/officeDocument/2006/relationships/ctrlProp" Target="../ctrlProps/ctrlProp50.xml"/><Relationship Id="rId5" Type="http://schemas.openxmlformats.org/officeDocument/2006/relationships/ctrlProp" Target="../ctrlProps/ctrlProp44.xml"/><Relationship Id="rId15" Type="http://schemas.openxmlformats.org/officeDocument/2006/relationships/ctrlProp" Target="../ctrlProps/ctrlProp54.xml"/><Relationship Id="rId10" Type="http://schemas.openxmlformats.org/officeDocument/2006/relationships/ctrlProp" Target="../ctrlProps/ctrlProp49.xml"/><Relationship Id="rId4" Type="http://schemas.openxmlformats.org/officeDocument/2006/relationships/ctrlProp" Target="../ctrlProps/ctrlProp43.xml"/><Relationship Id="rId9" Type="http://schemas.openxmlformats.org/officeDocument/2006/relationships/ctrlProp" Target="../ctrlProps/ctrlProp48.xml"/><Relationship Id="rId14" Type="http://schemas.openxmlformats.org/officeDocument/2006/relationships/ctrlProp" Target="../ctrlProps/ctrlProp5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5.vml"/><Relationship Id="rId1" Type="http://schemas.openxmlformats.org/officeDocument/2006/relationships/drawing" Target="../drawings/drawing8.xml"/><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6.xml"/><Relationship Id="rId2" Type="http://schemas.openxmlformats.org/officeDocument/2006/relationships/vmlDrawing" Target="../drawings/vmlDrawing6.vml"/><Relationship Id="rId1" Type="http://schemas.openxmlformats.org/officeDocument/2006/relationships/drawing" Target="../drawings/drawing9.xml"/><Relationship Id="rId6" Type="http://schemas.openxmlformats.org/officeDocument/2006/relationships/ctrlProp" Target="../ctrlProps/ctrlProp59.xml"/><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64.xml"/><Relationship Id="rId3" Type="http://schemas.openxmlformats.org/officeDocument/2006/relationships/vmlDrawing" Target="../drawings/vmlDrawing7.vml"/><Relationship Id="rId7" Type="http://schemas.openxmlformats.org/officeDocument/2006/relationships/ctrlProp" Target="../ctrlProps/ctrlProp63.xml"/><Relationship Id="rId2" Type="http://schemas.openxmlformats.org/officeDocument/2006/relationships/drawing" Target="../drawings/drawing10.xml"/><Relationship Id="rId1" Type="http://schemas.openxmlformats.org/officeDocument/2006/relationships/printerSettings" Target="../printerSettings/printerSettings4.bin"/><Relationship Id="rId6" Type="http://schemas.openxmlformats.org/officeDocument/2006/relationships/ctrlProp" Target="../ctrlProps/ctrlProp62.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drawing" Target="../drawings/drawing11.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9.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1.vml"/><Relationship Id="rId1" Type="http://schemas.openxmlformats.org/officeDocument/2006/relationships/printerSettings" Target="../printerSettings/printerSettings6.bin"/></Relationships>
</file>

<file path=xl/worksheets/_rels/sheet2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12.v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3.vml"/></Relationships>
</file>

<file path=xl/worksheets/_rels/sheet33.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4.v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5.v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44.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6.v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tint="-0.249977111117893"/>
    <pageSetUpPr fitToPage="1"/>
  </sheetPr>
  <dimension ref="A1:O61"/>
  <sheetViews>
    <sheetView showGridLines="0" zoomScaleNormal="100" zoomScaleSheetLayoutView="100" workbookViewId="0">
      <selection activeCell="C9" sqref="C9"/>
    </sheetView>
  </sheetViews>
  <sheetFormatPr defaultColWidth="9.109375" defaultRowHeight="14.4"/>
  <cols>
    <col min="1" max="1" width="1.44140625" style="2" customWidth="1"/>
    <col min="2" max="2" width="16.6640625" style="2" customWidth="1"/>
    <col min="3" max="3" width="20.33203125" style="2" customWidth="1"/>
    <col min="4" max="4" width="16.6640625" style="2" customWidth="1"/>
    <col min="5" max="6" width="16.6640625" style="3" customWidth="1"/>
    <col min="7" max="7" width="16.6640625" style="2" customWidth="1"/>
    <col min="8" max="8" width="9.109375" style="2" customWidth="1"/>
    <col min="9" max="9" width="60.77734375" style="736" customWidth="1"/>
    <col min="16" max="16384" width="9.109375" style="2"/>
  </cols>
  <sheetData>
    <row r="1" spans="1:15" s="1" customFormat="1" ht="27" customHeight="1">
      <c r="A1" s="42" t="s">
        <v>0</v>
      </c>
      <c r="B1" s="42"/>
      <c r="C1" s="35"/>
      <c r="D1" s="41"/>
      <c r="E1" s="43"/>
      <c r="F1" s="43"/>
      <c r="G1" s="41"/>
      <c r="H1" s="36"/>
      <c r="I1" s="735"/>
      <c r="J1"/>
      <c r="K1"/>
      <c r="L1"/>
      <c r="M1"/>
      <c r="N1"/>
      <c r="O1"/>
    </row>
    <row r="2" spans="1:15" s="1" customFormat="1" ht="27" customHeight="1">
      <c r="A2" s="38"/>
      <c r="B2" s="37"/>
      <c r="C2" s="36"/>
      <c r="D2" s="39"/>
      <c r="E2" s="40"/>
      <c r="F2" s="40"/>
      <c r="G2" s="39"/>
      <c r="H2" s="44"/>
      <c r="I2" s="735"/>
      <c r="J2"/>
      <c r="K2"/>
      <c r="L2"/>
      <c r="M2"/>
      <c r="N2"/>
      <c r="O2"/>
    </row>
    <row r="3" spans="1:15" s="51" customFormat="1" ht="27" customHeight="1" thickBot="1">
      <c r="B3" s="2409" t="s">
        <v>2215</v>
      </c>
      <c r="C3" s="2410"/>
      <c r="D3" s="2410"/>
      <c r="E3" s="2410"/>
      <c r="F3" s="2410"/>
      <c r="G3" s="2410"/>
      <c r="I3" s="733" t="s">
        <v>1685</v>
      </c>
      <c r="J3"/>
      <c r="K3"/>
      <c r="L3"/>
      <c r="M3"/>
      <c r="N3"/>
      <c r="O3"/>
    </row>
    <row r="4" spans="1:15" ht="19.2" customHeight="1">
      <c r="B4" s="742" t="s">
        <v>39</v>
      </c>
      <c r="C4" s="45"/>
      <c r="D4" s="46"/>
      <c r="E4" s="46"/>
      <c r="F4" s="46"/>
      <c r="G4" s="743"/>
      <c r="H4" s="3"/>
      <c r="I4" s="798" t="s">
        <v>1688</v>
      </c>
    </row>
    <row r="5" spans="1:15" ht="19.2" customHeight="1">
      <c r="B5" s="47"/>
      <c r="C5" s="18"/>
      <c r="D5" s="17"/>
      <c r="E5" s="19"/>
      <c r="F5" s="19"/>
      <c r="G5" s="48"/>
      <c r="I5" s="798" t="s">
        <v>1648</v>
      </c>
    </row>
    <row r="6" spans="1:15" ht="19.2" customHeight="1">
      <c r="B6" s="59" t="s">
        <v>41</v>
      </c>
      <c r="C6" s="56" t="s">
        <v>808</v>
      </c>
      <c r="D6" s="61"/>
      <c r="E6" s="19"/>
      <c r="F6" s="19"/>
      <c r="G6" s="48"/>
      <c r="I6" s="798" t="s">
        <v>2220</v>
      </c>
    </row>
    <row r="7" spans="1:15" ht="19.2" customHeight="1">
      <c r="B7" s="58" t="s">
        <v>164</v>
      </c>
      <c r="C7" s="82" t="s">
        <v>364</v>
      </c>
      <c r="D7" s="62"/>
      <c r="E7" s="20"/>
      <c r="F7" s="20"/>
      <c r="G7" s="48"/>
      <c r="I7" s="798" t="s">
        <v>2221</v>
      </c>
    </row>
    <row r="8" spans="1:15" ht="19.2" customHeight="1">
      <c r="B8" s="59" t="s">
        <v>43</v>
      </c>
      <c r="C8" s="966">
        <v>2018</v>
      </c>
      <c r="D8" s="61"/>
      <c r="E8" s="19"/>
      <c r="F8" s="19"/>
      <c r="G8" s="48"/>
      <c r="I8" s="798" t="s">
        <v>2417</v>
      </c>
    </row>
    <row r="9" spans="1:15" ht="19.2" customHeight="1">
      <c r="B9" s="58" t="s">
        <v>258</v>
      </c>
      <c r="C9" s="83" t="s">
        <v>2300</v>
      </c>
      <c r="D9" s="229"/>
      <c r="E9" s="19"/>
      <c r="F9" s="19"/>
      <c r="G9" s="49"/>
      <c r="I9" s="798" t="s">
        <v>2418</v>
      </c>
    </row>
    <row r="10" spans="1:15" ht="19.2" customHeight="1">
      <c r="B10" s="59" t="s">
        <v>257</v>
      </c>
      <c r="C10" s="76" t="s">
        <v>668</v>
      </c>
      <c r="D10" s="64"/>
      <c r="E10" s="19"/>
      <c r="F10" s="19"/>
      <c r="G10" s="50"/>
      <c r="I10" s="798" t="s">
        <v>1689</v>
      </c>
    </row>
    <row r="11" spans="1:15" ht="19.2" customHeight="1">
      <c r="B11" s="77"/>
      <c r="C11" s="76" t="s">
        <v>1045</v>
      </c>
      <c r="D11" s="64"/>
      <c r="E11" s="4"/>
      <c r="F11" s="4"/>
      <c r="G11" s="50"/>
      <c r="I11" s="798" t="s">
        <v>1690</v>
      </c>
    </row>
    <row r="12" spans="1:15" ht="19.2" customHeight="1">
      <c r="B12" s="77"/>
      <c r="C12" s="76" t="s">
        <v>1244</v>
      </c>
      <c r="D12" s="64"/>
      <c r="E12" s="4"/>
      <c r="F12" s="4"/>
      <c r="G12" s="50"/>
      <c r="I12" s="798" t="s">
        <v>1656</v>
      </c>
    </row>
    <row r="13" spans="1:15" ht="19.2" customHeight="1">
      <c r="B13" s="60" t="s">
        <v>40</v>
      </c>
      <c r="C13" s="53" t="s">
        <v>1</v>
      </c>
      <c r="D13" s="54" t="s">
        <v>2</v>
      </c>
      <c r="E13" s="4"/>
      <c r="F13" s="4"/>
      <c r="G13" s="50"/>
      <c r="I13" s="798" t="s">
        <v>1658</v>
      </c>
    </row>
    <row r="14" spans="1:15" ht="19.2" customHeight="1">
      <c r="B14" s="52"/>
      <c r="C14" s="57" t="s">
        <v>3</v>
      </c>
      <c r="D14" s="55" t="s">
        <v>38</v>
      </c>
      <c r="E14" s="4"/>
      <c r="F14" s="4"/>
      <c r="G14" s="50"/>
      <c r="I14" s="798" t="s">
        <v>1655</v>
      </c>
    </row>
    <row r="15" spans="1:15" ht="19.2" customHeight="1" thickBot="1">
      <c r="B15" s="744" t="s">
        <v>1698</v>
      </c>
      <c r="C15" s="746" t="s">
        <v>1767</v>
      </c>
      <c r="D15" s="747" t="s">
        <v>1768</v>
      </c>
      <c r="E15" s="748" t="s">
        <v>1706</v>
      </c>
      <c r="F15" s="775" t="s">
        <v>1699</v>
      </c>
      <c r="G15" s="745"/>
      <c r="I15" s="798" t="s">
        <v>2222</v>
      </c>
    </row>
    <row r="16" spans="1:15" ht="19.2" customHeight="1" thickBot="1">
      <c r="I16" s="798" t="s">
        <v>2308</v>
      </c>
    </row>
    <row r="17" spans="2:9" ht="19.2" customHeight="1">
      <c r="B17" s="2415" t="s">
        <v>42</v>
      </c>
      <c r="C17" s="2416"/>
      <c r="D17" s="2416"/>
      <c r="E17" s="2416"/>
      <c r="F17" s="2416"/>
      <c r="G17" s="2417"/>
      <c r="I17" s="798" t="s">
        <v>2309</v>
      </c>
    </row>
    <row r="18" spans="2:9" ht="19.2" customHeight="1">
      <c r="B18" s="777" t="s">
        <v>1710</v>
      </c>
      <c r="C18" s="777" t="s">
        <v>1708</v>
      </c>
      <c r="D18" s="2418" t="s">
        <v>1709</v>
      </c>
      <c r="E18" s="2418"/>
      <c r="F18" s="2418"/>
      <c r="G18" s="2418"/>
      <c r="I18" s="798" t="s">
        <v>2419</v>
      </c>
    </row>
    <row r="19" spans="2:9" ht="19.2" customHeight="1">
      <c r="B19" s="2411" t="s">
        <v>1701</v>
      </c>
      <c r="C19" s="776" t="s">
        <v>1703</v>
      </c>
      <c r="D19" s="2412" t="s">
        <v>1653</v>
      </c>
      <c r="E19" s="2413"/>
      <c r="F19" s="2413"/>
      <c r="G19" s="2414"/>
      <c r="I19" s="798" t="s">
        <v>2310</v>
      </c>
    </row>
    <row r="20" spans="2:9" ht="19.2" customHeight="1">
      <c r="B20" s="2411"/>
      <c r="C20" s="2408" t="s">
        <v>1702</v>
      </c>
      <c r="D20" s="2412" t="s">
        <v>1666</v>
      </c>
      <c r="E20" s="2413"/>
      <c r="F20" s="2413"/>
      <c r="G20" s="2414"/>
      <c r="I20" s="798" t="s">
        <v>2193</v>
      </c>
    </row>
    <row r="21" spans="2:9" ht="19.2" customHeight="1">
      <c r="B21" s="2411"/>
      <c r="C21" s="2408"/>
      <c r="D21" s="2412" t="s">
        <v>1667</v>
      </c>
      <c r="E21" s="2413"/>
      <c r="F21" s="2413"/>
      <c r="G21" s="2414"/>
      <c r="I21" s="798" t="s">
        <v>2311</v>
      </c>
    </row>
    <row r="22" spans="2:9" ht="19.2" customHeight="1">
      <c r="B22" s="2411"/>
      <c r="C22" s="2408"/>
      <c r="D22" s="2412" t="s">
        <v>1668</v>
      </c>
      <c r="E22" s="2413"/>
      <c r="F22" s="2413"/>
      <c r="G22" s="2414"/>
      <c r="I22" s="798" t="s">
        <v>2312</v>
      </c>
    </row>
    <row r="23" spans="2:9" ht="19.2" customHeight="1">
      <c r="B23" s="2411"/>
      <c r="C23" s="776" t="s">
        <v>1704</v>
      </c>
      <c r="D23" s="2412" t="s">
        <v>1656</v>
      </c>
      <c r="E23" s="2413"/>
      <c r="F23" s="2413"/>
      <c r="G23" s="2414"/>
      <c r="I23" s="798" t="s">
        <v>2313</v>
      </c>
    </row>
    <row r="24" spans="2:9" ht="19.2" customHeight="1">
      <c r="B24" s="2411" t="s">
        <v>1766</v>
      </c>
      <c r="C24" s="2408" t="s">
        <v>1703</v>
      </c>
      <c r="D24" s="2412" t="s">
        <v>1650</v>
      </c>
      <c r="E24" s="2413"/>
      <c r="F24" s="2413"/>
      <c r="G24" s="2414"/>
      <c r="I24" s="798" t="s">
        <v>2223</v>
      </c>
    </row>
    <row r="25" spans="2:9" ht="19.2" customHeight="1">
      <c r="B25" s="2411"/>
      <c r="C25" s="2408"/>
      <c r="D25" s="2412" t="s">
        <v>1651</v>
      </c>
      <c r="E25" s="2413"/>
      <c r="F25" s="2413"/>
      <c r="G25" s="2414"/>
      <c r="I25" s="798" t="s">
        <v>1649</v>
      </c>
    </row>
    <row r="26" spans="2:9" ht="19.2" customHeight="1">
      <c r="B26" s="2411"/>
      <c r="C26" s="2408"/>
      <c r="D26" s="2412" t="s">
        <v>1652</v>
      </c>
      <c r="E26" s="2413"/>
      <c r="F26" s="2413"/>
      <c r="G26" s="2414"/>
      <c r="I26" s="798" t="s">
        <v>1651</v>
      </c>
    </row>
    <row r="27" spans="2:9" ht="19.2" customHeight="1">
      <c r="B27" s="2411"/>
      <c r="C27" s="2408" t="s">
        <v>1702</v>
      </c>
      <c r="D27" s="2412" t="s">
        <v>1671</v>
      </c>
      <c r="E27" s="2413"/>
      <c r="F27" s="2413"/>
      <c r="G27" s="2414"/>
      <c r="I27" s="798" t="s">
        <v>1650</v>
      </c>
    </row>
    <row r="28" spans="2:9" ht="19.2" customHeight="1">
      <c r="B28" s="2411"/>
      <c r="C28" s="2408"/>
      <c r="D28" s="2412" t="s">
        <v>1672</v>
      </c>
      <c r="E28" s="2413"/>
      <c r="F28" s="2413"/>
      <c r="G28" s="2414"/>
      <c r="I28" s="798" t="s">
        <v>1938</v>
      </c>
    </row>
    <row r="29" spans="2:9" ht="19.2" customHeight="1">
      <c r="B29" s="2411"/>
      <c r="C29" s="2408"/>
      <c r="D29" s="2412" t="s">
        <v>1673</v>
      </c>
      <c r="E29" s="2413"/>
      <c r="F29" s="2413"/>
      <c r="G29" s="2414"/>
      <c r="I29" s="798" t="s">
        <v>1652</v>
      </c>
    </row>
    <row r="30" spans="2:9" ht="19.2" customHeight="1">
      <c r="B30" s="2411"/>
      <c r="C30" s="2408"/>
      <c r="D30" s="2412" t="s">
        <v>1674</v>
      </c>
      <c r="E30" s="2413"/>
      <c r="F30" s="2413"/>
      <c r="G30" s="2414"/>
      <c r="I30" s="798" t="s">
        <v>1653</v>
      </c>
    </row>
    <row r="31" spans="2:9" ht="19.2" customHeight="1">
      <c r="B31" s="2411"/>
      <c r="C31" s="2408" t="s">
        <v>1704</v>
      </c>
      <c r="D31" s="2412" t="s">
        <v>1660</v>
      </c>
      <c r="E31" s="2413"/>
      <c r="F31" s="2413"/>
      <c r="G31" s="2414"/>
      <c r="I31" s="798" t="s">
        <v>1654</v>
      </c>
    </row>
    <row r="32" spans="2:9" ht="19.2" customHeight="1">
      <c r="B32" s="2411"/>
      <c r="C32" s="2408"/>
      <c r="D32" s="2412" t="s">
        <v>29</v>
      </c>
      <c r="E32" s="2413"/>
      <c r="F32" s="2413"/>
      <c r="G32" s="2414"/>
      <c r="I32" s="798" t="s">
        <v>1764</v>
      </c>
    </row>
    <row r="33" spans="2:9" ht="19.2" customHeight="1">
      <c r="B33" s="2411"/>
      <c r="C33" s="2408"/>
      <c r="D33" s="2412" t="s">
        <v>1661</v>
      </c>
      <c r="E33" s="2413"/>
      <c r="F33" s="2413"/>
      <c r="G33" s="2414"/>
      <c r="I33" s="798" t="s">
        <v>1659</v>
      </c>
    </row>
    <row r="34" spans="2:9" ht="19.2" customHeight="1">
      <c r="B34" s="2411"/>
      <c r="C34" s="2408"/>
      <c r="D34" s="2412" t="s">
        <v>1662</v>
      </c>
      <c r="E34" s="2413"/>
      <c r="F34" s="2413"/>
      <c r="G34" s="2414"/>
      <c r="I34" s="798" t="s">
        <v>1666</v>
      </c>
    </row>
    <row r="35" spans="2:9" ht="19.2" customHeight="1">
      <c r="B35" s="2411"/>
      <c r="C35" s="2408"/>
      <c r="D35" s="2412" t="s">
        <v>1663</v>
      </c>
      <c r="E35" s="2413"/>
      <c r="F35" s="2413"/>
      <c r="G35" s="2414"/>
      <c r="I35" s="798" t="s">
        <v>1660</v>
      </c>
    </row>
    <row r="36" spans="2:9" ht="19.2" customHeight="1">
      <c r="B36" s="2411"/>
      <c r="C36" s="2408"/>
      <c r="D36" s="2412" t="s">
        <v>1664</v>
      </c>
      <c r="E36" s="2413"/>
      <c r="F36" s="2413"/>
      <c r="G36" s="2414"/>
      <c r="I36" s="798" t="s">
        <v>29</v>
      </c>
    </row>
    <row r="37" spans="2:9" ht="19.2" customHeight="1">
      <c r="B37" s="2411" t="s">
        <v>1705</v>
      </c>
      <c r="C37" s="776" t="s">
        <v>1706</v>
      </c>
      <c r="D37" s="2412" t="s">
        <v>1658</v>
      </c>
      <c r="E37" s="2413"/>
      <c r="F37" s="2413"/>
      <c r="G37" s="2414"/>
      <c r="I37" s="798" t="s">
        <v>1661</v>
      </c>
    </row>
    <row r="38" spans="2:9" ht="19.2" customHeight="1">
      <c r="B38" s="2411"/>
      <c r="C38" s="2408" t="s">
        <v>1707</v>
      </c>
      <c r="D38" s="2412" t="s">
        <v>1689</v>
      </c>
      <c r="E38" s="2413"/>
      <c r="F38" s="2413"/>
      <c r="G38" s="2414"/>
      <c r="I38" s="798" t="s">
        <v>1662</v>
      </c>
    </row>
    <row r="39" spans="2:9" ht="19.2" customHeight="1">
      <c r="B39" s="2411"/>
      <c r="C39" s="2408"/>
      <c r="D39" s="2412" t="s">
        <v>1690</v>
      </c>
      <c r="E39" s="2413"/>
      <c r="F39" s="2413"/>
      <c r="G39" s="2414"/>
      <c r="I39" s="798" t="s">
        <v>1663</v>
      </c>
    </row>
    <row r="40" spans="2:9" ht="19.2" customHeight="1">
      <c r="B40" s="2411"/>
      <c r="C40" s="2408"/>
      <c r="D40" s="2412" t="s">
        <v>1657</v>
      </c>
      <c r="E40" s="2413"/>
      <c r="F40" s="2413"/>
      <c r="G40" s="2414"/>
      <c r="I40" s="798" t="s">
        <v>1664</v>
      </c>
    </row>
    <row r="41" spans="2:9" ht="19.2" customHeight="1">
      <c r="B41"/>
      <c r="C41"/>
      <c r="D41"/>
      <c r="E41"/>
      <c r="F41"/>
      <c r="G41"/>
      <c r="I41" s="798" t="s">
        <v>1765</v>
      </c>
    </row>
    <row r="42" spans="2:9" ht="19.2" customHeight="1">
      <c r="B42"/>
      <c r="C42"/>
      <c r="D42"/>
      <c r="E42"/>
      <c r="F42"/>
      <c r="G42"/>
      <c r="I42" s="798" t="s">
        <v>1939</v>
      </c>
    </row>
    <row r="43" spans="2:9" ht="19.2" customHeight="1">
      <c r="B43"/>
      <c r="C43"/>
      <c r="D43"/>
      <c r="E43"/>
      <c r="F43"/>
      <c r="G43"/>
      <c r="I43" s="798" t="s">
        <v>1665</v>
      </c>
    </row>
    <row r="44" spans="2:9" ht="19.2" customHeight="1">
      <c r="B44"/>
      <c r="C44"/>
      <c r="D44"/>
      <c r="E44"/>
      <c r="F44"/>
      <c r="G44"/>
      <c r="I44" s="798" t="s">
        <v>1670</v>
      </c>
    </row>
    <row r="45" spans="2:9" ht="19.2" customHeight="1">
      <c r="B45"/>
      <c r="C45"/>
      <c r="D45"/>
      <c r="E45"/>
      <c r="F45"/>
      <c r="G45"/>
      <c r="I45" s="798" t="s">
        <v>1667</v>
      </c>
    </row>
    <row r="46" spans="2:9" ht="19.2" customHeight="1">
      <c r="B46"/>
      <c r="C46"/>
      <c r="D46"/>
      <c r="E46"/>
      <c r="F46"/>
      <c r="G46"/>
      <c r="I46" s="798" t="s">
        <v>1669</v>
      </c>
    </row>
    <row r="47" spans="2:9" ht="19.2" customHeight="1">
      <c r="B47"/>
      <c r="C47"/>
      <c r="D47"/>
      <c r="E47"/>
      <c r="F47"/>
      <c r="G47"/>
      <c r="I47" s="798" t="s">
        <v>1674</v>
      </c>
    </row>
    <row r="48" spans="2:9" ht="19.2" customHeight="1">
      <c r="B48"/>
      <c r="C48"/>
      <c r="D48"/>
      <c r="E48"/>
      <c r="F48"/>
      <c r="G48"/>
      <c r="I48" s="798" t="s">
        <v>1671</v>
      </c>
    </row>
    <row r="49" spans="2:9" ht="19.2" customHeight="1">
      <c r="B49"/>
      <c r="C49"/>
      <c r="D49"/>
      <c r="E49"/>
      <c r="F49"/>
      <c r="G49"/>
      <c r="I49" s="798" t="s">
        <v>1672</v>
      </c>
    </row>
    <row r="50" spans="2:9" ht="19.2" customHeight="1">
      <c r="I50" s="798" t="s">
        <v>1673</v>
      </c>
    </row>
    <row r="51" spans="2:9" ht="19.2" customHeight="1">
      <c r="I51" s="798" t="s">
        <v>1683</v>
      </c>
    </row>
    <row r="52" spans="2:9">
      <c r="I52" s="798" t="s">
        <v>1676</v>
      </c>
    </row>
    <row r="53" spans="2:9">
      <c r="I53" s="798" t="s">
        <v>1675</v>
      </c>
    </row>
    <row r="54" spans="2:9">
      <c r="I54" s="798" t="s">
        <v>1678</v>
      </c>
    </row>
    <row r="55" spans="2:9">
      <c r="I55" s="798" t="s">
        <v>1677</v>
      </c>
    </row>
    <row r="56" spans="2:9">
      <c r="I56" s="798" t="s">
        <v>1679</v>
      </c>
    </row>
    <row r="57" spans="2:9">
      <c r="I57" s="798" t="s">
        <v>1684</v>
      </c>
    </row>
    <row r="58" spans="2:9">
      <c r="I58" s="798" t="s">
        <v>1680</v>
      </c>
    </row>
    <row r="59" spans="2:9">
      <c r="I59" s="798" t="s">
        <v>1681</v>
      </c>
    </row>
    <row r="60" spans="2:9">
      <c r="I60" s="798" t="s">
        <v>1940</v>
      </c>
    </row>
    <row r="61" spans="2:9">
      <c r="I61" s="798" t="s">
        <v>1682</v>
      </c>
    </row>
  </sheetData>
  <mergeCells count="33">
    <mergeCell ref="D39:G39"/>
    <mergeCell ref="D40:G40"/>
    <mergeCell ref="D33:G33"/>
    <mergeCell ref="B37:B40"/>
    <mergeCell ref="C38:C40"/>
    <mergeCell ref="C31:C36"/>
    <mergeCell ref="D20:G20"/>
    <mergeCell ref="D21:G21"/>
    <mergeCell ref="D22:G22"/>
    <mergeCell ref="D23:G23"/>
    <mergeCell ref="D38:G38"/>
    <mergeCell ref="D37:G37"/>
    <mergeCell ref="D24:G24"/>
    <mergeCell ref="D25:G25"/>
    <mergeCell ref="D26:G26"/>
    <mergeCell ref="D27:G27"/>
    <mergeCell ref="D28:G28"/>
    <mergeCell ref="C27:C30"/>
    <mergeCell ref="C24:C26"/>
    <mergeCell ref="C20:C22"/>
    <mergeCell ref="B3:G3"/>
    <mergeCell ref="B19:B23"/>
    <mergeCell ref="B24:B36"/>
    <mergeCell ref="D34:G34"/>
    <mergeCell ref="D35:G35"/>
    <mergeCell ref="D36:G36"/>
    <mergeCell ref="B17:G17"/>
    <mergeCell ref="D18:G18"/>
    <mergeCell ref="D29:G29"/>
    <mergeCell ref="D30:G30"/>
    <mergeCell ref="D31:G31"/>
    <mergeCell ref="D32:G32"/>
    <mergeCell ref="D19:G19"/>
  </mergeCells>
  <phoneticPr fontId="28" type="noConversion"/>
  <conditionalFormatting sqref="I4:I51">
    <cfRule type="containsText" dxfId="26" priority="1" operator="containsText" text="区">
      <formula>NOT(ISERROR(SEARCH("区",I4)))</formula>
    </cfRule>
  </conditionalFormatting>
  <dataValidations count="2">
    <dataValidation type="list" allowBlank="1" showInputMessage="1" showErrorMessage="1" sqref="C7" xr:uid="{00000000-0002-0000-0000-000000000000}">
      <formula1>"1.实际收入+实际成本,2.准许收入+实际成本,3.准许收入+准许成本"</formula1>
    </dataValidation>
    <dataValidation type="list" allowBlank="1" showInputMessage="1" showErrorMessage="1" sqref="C9" xr:uid="{00000000-0002-0000-0000-000001000000}">
      <formula1>"on,off"</formula1>
    </dataValidation>
  </dataValidations>
  <hyperlinks>
    <hyperlink ref="I4" location="'模型框架'!a1" display="'模型框架" xr:uid="{00000000-0004-0000-0000-000000000000}"/>
    <hyperlink ref="I5" location="'修改记录'!a1" display="'修改记录" xr:uid="{00000000-0004-0000-0000-000001000000}"/>
    <hyperlink ref="I6" location="'=&gt;第一部分'!a1" display="'=&gt;第一部分" xr:uid="{00000000-0004-0000-0000-000002000000}"/>
    <hyperlink ref="I7" location="'多维联动分析'!a1" display="'多维联动分析" xr:uid="{00000000-0004-0000-0000-000003000000}"/>
    <hyperlink ref="I8" location="'Sheet1'!a1" display="'Sheet1" xr:uid="{00000000-0004-0000-0000-000004000000}"/>
    <hyperlink ref="I9" location="'经济活动分析'!a1" display="'经济活动分析" xr:uid="{00000000-0004-0000-0000-000005000000}"/>
    <hyperlink ref="I10" location="'动因指标对成果指标影响分析'!a1" display="'动因指标对成果指标影响分析" xr:uid="{00000000-0004-0000-0000-000006000000}"/>
    <hyperlink ref="I11" location="'动因指标和成果指标内部影响分析'!a1" display="'动因指标和成果指标内部影响分析" xr:uid="{00000000-0004-0000-0000-000007000000}"/>
    <hyperlink ref="I12" location="'核价与实际情况对比分析'!a1" display="'核价与实际情况对比分析" xr:uid="{00000000-0004-0000-0000-000008000000}"/>
    <hyperlink ref="I13" location="'投资能力规划'!a1" display="'投资能力规划" xr:uid="{00000000-0004-0000-0000-000009000000}"/>
    <hyperlink ref="I14" location="'敏感性分析'!a1" display="'敏感性分析" xr:uid="{00000000-0004-0000-0000-00000A000000}"/>
    <hyperlink ref="I15" location="'=&gt;预算管理、风险监控'!a1" display="'=&gt;预算管理、风险监控" xr:uid="{00000000-0004-0000-0000-00000B000000}"/>
    <hyperlink ref="I16" location="'损益预算完成情况'!a1" display="'损益预算完成情况" xr:uid="{00000000-0004-0000-0000-00000C000000}"/>
    <hyperlink ref="I17" location="'资产负债预算完成情况'!a1" display="'资产负债预算完成情况" xr:uid="{00000000-0004-0000-0000-00000D000000}"/>
    <hyperlink ref="I18" location="'净资产收益率完成情况'!a1" display="'净资产收益率完成情况" xr:uid="{00000000-0004-0000-0000-00000E000000}"/>
    <hyperlink ref="I19" location="'关键业绩指标滚动预判'!a1" display="'关键业绩指标滚动预判" xr:uid="{00000000-0004-0000-0000-00000F000000}"/>
    <hyperlink ref="I20" location="'预算完成风险预警'!a1" display="'预算完成风险预警" xr:uid="{00000000-0004-0000-0000-000010000000}"/>
    <hyperlink ref="I21" location="'购售电分析'!a1" display="'购售电分析" xr:uid="{00000000-0004-0000-0000-000011000000}"/>
    <hyperlink ref="I22" location="'购售电分析图表'!a1" display="'购售电分析图表" xr:uid="{00000000-0004-0000-0000-000012000000}"/>
    <hyperlink ref="I23" location="'税金预测'!a1" display="'税金预测" xr:uid="{00000000-0004-0000-0000-000013000000}"/>
    <hyperlink ref="I24" location="'=&gt;第二部分'!a1" display="'=&gt;第二部分" xr:uid="{00000000-0004-0000-0000-000014000000}"/>
    <hyperlink ref="I25" location="'=&gt;数据输入区'!a1" display="'=&gt;数据输入区" xr:uid="{00000000-0004-0000-0000-000015000000}"/>
    <hyperlink ref="I26" location="'长期债务表'!a1" display="'长期债务表" xr:uid="{00000000-0004-0000-0000-000016000000}"/>
    <hyperlink ref="I27" location="'假设'!a1" display="'假设" xr:uid="{00000000-0004-0000-0000-000017000000}"/>
    <hyperlink ref="I28" location="'固定资产结构及折旧参数'!a1" display="'固定资产结构及折旧参数" xr:uid="{00000000-0004-0000-0000-000018000000}"/>
    <hyperlink ref="I29" location="'发展投入'!a1" display="'发展投入" xr:uid="{00000000-0004-0000-0000-000019000000}"/>
    <hyperlink ref="I30" location="'输配电价测算参数'!a1" display="'输配电价测算参数" xr:uid="{00000000-0004-0000-0000-00001A000000}"/>
    <hyperlink ref="I31" location="'投资与电量关系测算数据'!a1" display="'投资与电量关系测算数据" xr:uid="{00000000-0004-0000-0000-00001B000000}"/>
    <hyperlink ref="I32" location="'=&gt;分析测算区'!a1" display="'=&gt;分析测算区" xr:uid="{00000000-0004-0000-0000-00001C000000}"/>
    <hyperlink ref="I33" location="'=&gt;结果输出区'!a1" display="'=&gt;结果输出区" xr:uid="{00000000-0004-0000-0000-00001D000000}"/>
    <hyperlink ref="I34" location="'输配电价测算模型'!a1" display="'输配电价测算模型" xr:uid="{00000000-0004-0000-0000-00001E000000}"/>
    <hyperlink ref="I35" location="'损益表'!a1" display="'损益表" xr:uid="{00000000-0004-0000-0000-00001F000000}"/>
    <hyperlink ref="I36" location="'资产负债表'!a1" display="'资产负债表" xr:uid="{00000000-0004-0000-0000-000020000000}"/>
    <hyperlink ref="I37" location="'现金流量表'!a1" display="'现金流量表" xr:uid="{00000000-0004-0000-0000-000021000000}"/>
    <hyperlink ref="I38" location="'主要评级指标表'!a1" display="'主要评级指标表" xr:uid="{00000000-0004-0000-0000-000022000000}"/>
    <hyperlink ref="I39" location="'主要经济指标表'!a1" display="'主要经济指标表" xr:uid="{00000000-0004-0000-0000-000023000000}"/>
    <hyperlink ref="I40" location="'国资委考核指标'!a1" display="'国资委考核指标" xr:uid="{00000000-0004-0000-0000-000024000000}"/>
    <hyperlink ref="I41" location="'变动统计'!a1" display="'变动统计" xr:uid="{00000000-0004-0000-0000-000025000000}"/>
    <hyperlink ref="I42" location="'变动统计2'!a1" display="'变动统计2" xr:uid="{00000000-0004-0000-0000-000026000000}"/>
    <hyperlink ref="I43" location="'=&gt;测算过程区'!a1" display="'=&gt;测算过程区" xr:uid="{00000000-0004-0000-0000-000027000000}"/>
    <hyperlink ref="I44" location="'准许收入假设'!a1" display="'准许收入假设" xr:uid="{00000000-0004-0000-0000-000028000000}"/>
    <hyperlink ref="I45" location="'实际情况下输配电价Ⅰ'!a1" display="'实际情况下输配电价Ⅰ" xr:uid="{00000000-0004-0000-0000-000029000000}"/>
    <hyperlink ref="I46" location="'电量电价'!a1" display="'电量电价" xr:uid="{00000000-0004-0000-0000-00002A000000}"/>
    <hyperlink ref="I47" location="'实际收入'!a1" display="'实际收入" xr:uid="{00000000-0004-0000-0000-00002B000000}"/>
    <hyperlink ref="I48" location="'固定资产'!a1" display="'固定资产" xr:uid="{00000000-0004-0000-0000-00002C000000}"/>
    <hyperlink ref="I49" location="'债务'!a1" display="'债务" xr:uid="{00000000-0004-0000-0000-00002D000000}"/>
    <hyperlink ref="I50" location="'现金缺口测算'!a1" display="'现金缺口测算" xr:uid="{00000000-0004-0000-0000-00002E000000}"/>
    <hyperlink ref="I51" location="'=&gt;历史数据区'!a1" display="'=&gt;历史数据区" xr:uid="{00000000-0004-0000-0000-00002F000000}"/>
    <hyperlink ref="I52" location="'历史资产负债表'!a1" display="'历史资产负债表" xr:uid="{00000000-0004-0000-0000-000030000000}"/>
    <hyperlink ref="I53" location="'历史利润表'!a1" display="'历史利润表" xr:uid="{00000000-0004-0000-0000-000031000000}"/>
    <hyperlink ref="I54" location="'历史现金流量表'!a1" display="'历史现金流量表" xr:uid="{00000000-0004-0000-0000-000032000000}"/>
    <hyperlink ref="I55" location="'关键参数底稿'!a1" display="'关键参数底稿" xr:uid="{00000000-0004-0000-0000-000033000000}"/>
    <hyperlink ref="I56" location="'历史发展投入'!a1" display="'历史发展投入" xr:uid="{00000000-0004-0000-0000-000034000000}"/>
    <hyperlink ref="I57" location="'=&gt;明细信息区'!a1" display="'=&gt;明细信息区" xr:uid="{00000000-0004-0000-0000-000035000000}"/>
    <hyperlink ref="I58" location="'17分部'!a1" display="'17分部" xr:uid="{00000000-0004-0000-0000-000036000000}"/>
    <hyperlink ref="I59" location="'17成本'!a1" display="'17成本" xr:uid="{00000000-0004-0000-0000-000037000000}"/>
    <hyperlink ref="I60" location="'16分部'!a1" display="'16分部" xr:uid="{00000000-0004-0000-0000-000038000000}"/>
    <hyperlink ref="I61" location="'16成本'!a1" display="'16成本" xr:uid="{00000000-0004-0000-0000-000039000000}"/>
  </hyperlinks>
  <printOptions horizontalCentered="1"/>
  <pageMargins left="0.70866141732283472" right="0.70866141732283472" top="0.74803149606299213" bottom="0.74803149606299213" header="0.31496062992125984" footer="0.31496062992125984"/>
  <pageSetup paperSize="9"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目录">
                <anchor moveWithCells="1" sizeWithCells="1">
                  <from>
                    <xdr:col>8</xdr:col>
                    <xdr:colOff>3147060</xdr:colOff>
                    <xdr:row>2</xdr:row>
                    <xdr:rowOff>38100</xdr:rowOff>
                  </from>
                  <to>
                    <xdr:col>8</xdr:col>
                    <xdr:colOff>3870960</xdr:colOff>
                    <xdr:row>2</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0">
    <tabColor theme="8" tint="-0.249977111117893"/>
  </sheetPr>
  <dimension ref="A1:A2"/>
  <sheetViews>
    <sheetView showGridLines="0" zoomScale="115" zoomScaleNormal="115" workbookViewId="0">
      <selection activeCell="G37" sqref="G37"/>
    </sheetView>
  </sheetViews>
  <sheetFormatPr defaultRowHeight="14.4"/>
  <cols>
    <col min="1" max="1" width="5.44140625" customWidth="1"/>
  </cols>
  <sheetData>
    <row r="1" ht="9.6" customHeight="1"/>
    <row r="2" ht="9.6" customHeight="1"/>
  </sheetData>
  <phoneticPr fontId="20"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8" tint="-0.249977111117893"/>
    <pageSetUpPr fitToPage="1"/>
  </sheetPr>
  <dimension ref="A1:G60"/>
  <sheetViews>
    <sheetView showGridLines="0" zoomScaleNormal="100" zoomScaleSheetLayoutView="100" workbookViewId="0">
      <selection activeCell="K8" sqref="K8"/>
    </sheetView>
  </sheetViews>
  <sheetFormatPr defaultColWidth="9.109375" defaultRowHeight="13.2"/>
  <cols>
    <col min="1" max="1" width="4.77734375" style="2" customWidth="1"/>
    <col min="2" max="2" width="19.77734375" style="2" customWidth="1"/>
    <col min="3" max="3" width="3.109375" style="435" customWidth="1"/>
    <col min="4" max="4" width="23.21875" style="2" bestFit="1" customWidth="1"/>
    <col min="5" max="5" width="64.6640625" style="2" bestFit="1" customWidth="1"/>
    <col min="6" max="6" width="8.77734375" style="2" customWidth="1"/>
    <col min="7" max="7" width="4.77734375" style="2" customWidth="1"/>
    <col min="8" max="16384" width="9.109375" style="2"/>
  </cols>
  <sheetData>
    <row r="1" spans="1:7" s="1" customFormat="1" ht="17.399999999999999">
      <c r="A1" s="155" t="s">
        <v>444</v>
      </c>
      <c r="B1" s="42"/>
      <c r="C1" s="426"/>
      <c r="D1" s="35"/>
      <c r="E1" s="41"/>
      <c r="F1" s="41"/>
      <c r="G1" s="35"/>
    </row>
    <row r="2" spans="1:7" s="1" customFormat="1" ht="13.8">
      <c r="A2" s="2420"/>
      <c r="B2" s="2420"/>
      <c r="C2" s="2420"/>
      <c r="D2" s="2420"/>
      <c r="E2" s="2420"/>
      <c r="F2" s="2420"/>
      <c r="G2" s="2420"/>
    </row>
    <row r="3" spans="1:7" s="1" customFormat="1" ht="13.8">
      <c r="A3" s="2420" t="s">
        <v>621</v>
      </c>
      <c r="B3" s="2420"/>
      <c r="C3" s="2420"/>
      <c r="D3" s="2420"/>
      <c r="E3" s="2420"/>
      <c r="F3" s="2420"/>
      <c r="G3" s="2420"/>
    </row>
    <row r="4" spans="1:7" s="156" customFormat="1" ht="46.8">
      <c r="A4" s="2421" t="s">
        <v>409</v>
      </c>
      <c r="B4" s="2421"/>
      <c r="C4" s="2421"/>
      <c r="D4" s="2421"/>
      <c r="E4" s="2421"/>
      <c r="F4" s="2421"/>
      <c r="G4" s="2421"/>
    </row>
    <row r="5" spans="1:7" ht="15">
      <c r="A5" s="2422" t="s">
        <v>1243</v>
      </c>
      <c r="B5" s="2423"/>
      <c r="C5" s="2423"/>
      <c r="D5" s="2423"/>
      <c r="E5" s="2423"/>
      <c r="F5" s="2423"/>
      <c r="G5" s="2423"/>
    </row>
    <row r="6" spans="1:7" ht="15">
      <c r="A6" s="191"/>
      <c r="B6" s="192"/>
      <c r="C6" s="422"/>
      <c r="D6" s="192"/>
      <c r="E6" s="192"/>
      <c r="F6" s="192"/>
      <c r="G6" s="192"/>
    </row>
    <row r="7" spans="1:7" ht="15.6" hidden="1">
      <c r="A7" s="191"/>
      <c r="B7" s="206" t="s">
        <v>439</v>
      </c>
      <c r="C7" s="427"/>
      <c r="D7" s="192"/>
      <c r="E7" s="192"/>
      <c r="F7" s="192"/>
      <c r="G7" s="192"/>
    </row>
    <row r="8" spans="1:7" ht="33" hidden="1" customHeight="1">
      <c r="A8" s="191"/>
      <c r="B8" s="2424" t="s">
        <v>697</v>
      </c>
      <c r="C8" s="2424"/>
      <c r="D8" s="2424"/>
      <c r="E8" s="2424"/>
      <c r="F8" s="2424"/>
      <c r="G8" s="192"/>
    </row>
    <row r="9" spans="1:7" ht="15" hidden="1">
      <c r="A9" s="191"/>
      <c r="B9" s="192"/>
      <c r="C9" s="422"/>
      <c r="D9" s="192"/>
      <c r="E9" s="192"/>
      <c r="F9" s="192"/>
      <c r="G9" s="192"/>
    </row>
    <row r="10" spans="1:7" ht="15">
      <c r="A10" s="191"/>
      <c r="B10" s="192"/>
      <c r="C10" s="422"/>
      <c r="D10" s="192"/>
      <c r="E10" s="192"/>
      <c r="F10" s="192"/>
      <c r="G10" s="192"/>
    </row>
    <row r="11" spans="1:7" ht="17.399999999999999">
      <c r="A11" s="225"/>
      <c r="B11" s="206" t="s">
        <v>622</v>
      </c>
      <c r="C11" s="428"/>
      <c r="D11" s="210"/>
      <c r="E11" s="210"/>
      <c r="F11" s="210"/>
      <c r="G11" s="185"/>
    </row>
    <row r="12" spans="1:7" ht="13.8">
      <c r="B12" s="211" t="s">
        <v>410</v>
      </c>
      <c r="C12" s="2419" t="s">
        <v>443</v>
      </c>
      <c r="D12" s="2419"/>
      <c r="E12" s="211" t="s">
        <v>411</v>
      </c>
      <c r="F12" s="211" t="s">
        <v>437</v>
      </c>
    </row>
    <row r="13" spans="1:7" ht="15">
      <c r="A13" s="446">
        <v>1</v>
      </c>
      <c r="B13" s="212">
        <v>42967</v>
      </c>
      <c r="C13" s="429"/>
      <c r="D13" s="213" t="s">
        <v>579</v>
      </c>
      <c r="E13" s="214" t="s">
        <v>438</v>
      </c>
      <c r="F13" s="214" t="s">
        <v>440</v>
      </c>
    </row>
    <row r="14" spans="1:7" ht="15">
      <c r="A14" s="446">
        <v>2</v>
      </c>
      <c r="B14" s="212">
        <v>42968</v>
      </c>
      <c r="C14" s="429" t="s">
        <v>442</v>
      </c>
      <c r="D14" s="213" t="s">
        <v>578</v>
      </c>
      <c r="E14" s="213" t="s">
        <v>664</v>
      </c>
      <c r="F14" s="213" t="s">
        <v>441</v>
      </c>
    </row>
    <row r="15" spans="1:7" ht="15">
      <c r="A15" s="446">
        <v>3</v>
      </c>
      <c r="B15" s="212">
        <v>42969</v>
      </c>
      <c r="C15" s="429" t="s">
        <v>577</v>
      </c>
      <c r="D15" s="213" t="s">
        <v>635</v>
      </c>
      <c r="E15" s="213" t="s">
        <v>663</v>
      </c>
      <c r="F15" s="213" t="s">
        <v>580</v>
      </c>
    </row>
    <row r="16" spans="1:7" ht="15">
      <c r="A16" s="446">
        <v>4</v>
      </c>
      <c r="B16" s="212">
        <v>42969</v>
      </c>
      <c r="C16" s="429" t="s">
        <v>577</v>
      </c>
      <c r="D16" s="213" t="s">
        <v>581</v>
      </c>
      <c r="E16" s="213" t="s">
        <v>662</v>
      </c>
      <c r="F16" s="213" t="s">
        <v>580</v>
      </c>
    </row>
    <row r="17" spans="1:6" ht="15">
      <c r="A17" s="446">
        <v>5</v>
      </c>
      <c r="B17" s="212">
        <v>42975</v>
      </c>
      <c r="C17" s="429" t="s">
        <v>610</v>
      </c>
      <c r="D17" s="213" t="s">
        <v>611</v>
      </c>
      <c r="E17" s="213" t="s">
        <v>619</v>
      </c>
      <c r="F17" s="213" t="s">
        <v>612</v>
      </c>
    </row>
    <row r="18" spans="1:6" ht="15">
      <c r="A18" s="446">
        <v>6</v>
      </c>
      <c r="B18" s="212">
        <v>42975</v>
      </c>
      <c r="C18" s="429" t="s">
        <v>609</v>
      </c>
      <c r="D18" s="213" t="s">
        <v>608</v>
      </c>
      <c r="E18" s="213" t="s">
        <v>661</v>
      </c>
      <c r="F18" s="213" t="s">
        <v>612</v>
      </c>
    </row>
    <row r="19" spans="1:6" ht="15">
      <c r="A19" s="446">
        <v>7</v>
      </c>
      <c r="B19" s="212">
        <v>42975</v>
      </c>
      <c r="C19" s="429" t="s">
        <v>613</v>
      </c>
      <c r="D19" s="213" t="s">
        <v>614</v>
      </c>
      <c r="E19" s="213" t="s">
        <v>620</v>
      </c>
      <c r="F19" s="213" t="s">
        <v>612</v>
      </c>
    </row>
    <row r="20" spans="1:6" ht="15">
      <c r="A20" s="446">
        <v>8</v>
      </c>
      <c r="B20" s="212">
        <v>42976</v>
      </c>
      <c r="C20" s="429" t="s">
        <v>623</v>
      </c>
      <c r="D20" s="213" t="s">
        <v>624</v>
      </c>
      <c r="E20" s="213" t="s">
        <v>625</v>
      </c>
      <c r="F20" s="213" t="s">
        <v>626</v>
      </c>
    </row>
    <row r="21" spans="1:6" ht="15">
      <c r="A21" s="446">
        <v>9</v>
      </c>
      <c r="B21" s="212">
        <v>42977</v>
      </c>
      <c r="C21" s="429" t="s">
        <v>623</v>
      </c>
      <c r="D21" s="213" t="s">
        <v>628</v>
      </c>
      <c r="E21" s="213" t="s">
        <v>629</v>
      </c>
      <c r="F21" s="213" t="s">
        <v>630</v>
      </c>
    </row>
    <row r="22" spans="1:6" ht="15">
      <c r="A22" s="446">
        <v>10</v>
      </c>
      <c r="B22" s="212">
        <v>42978</v>
      </c>
      <c r="C22" s="429" t="s">
        <v>634</v>
      </c>
      <c r="D22" s="213" t="s">
        <v>636</v>
      </c>
      <c r="E22" s="213" t="s">
        <v>637</v>
      </c>
      <c r="F22" s="213" t="s">
        <v>645</v>
      </c>
    </row>
    <row r="23" spans="1:6" ht="15">
      <c r="A23" s="446">
        <v>11</v>
      </c>
      <c r="B23" s="212">
        <v>42978</v>
      </c>
      <c r="C23" s="429" t="s">
        <v>610</v>
      </c>
      <c r="D23" s="213" t="s">
        <v>638</v>
      </c>
      <c r="E23" s="213" t="s">
        <v>639</v>
      </c>
      <c r="F23" s="213" t="s">
        <v>645</v>
      </c>
    </row>
    <row r="24" spans="1:6" ht="15">
      <c r="A24" s="446">
        <v>12</v>
      </c>
      <c r="B24" s="212">
        <v>42978</v>
      </c>
      <c r="C24" s="429" t="s">
        <v>640</v>
      </c>
      <c r="D24" s="213" t="s">
        <v>641</v>
      </c>
      <c r="E24" s="213" t="s">
        <v>660</v>
      </c>
      <c r="F24" s="213" t="s">
        <v>644</v>
      </c>
    </row>
    <row r="25" spans="1:6" ht="15">
      <c r="A25" s="446">
        <v>13</v>
      </c>
      <c r="B25" s="212">
        <v>42978</v>
      </c>
      <c r="C25" s="429" t="s">
        <v>642</v>
      </c>
      <c r="D25" s="213" t="s">
        <v>643</v>
      </c>
      <c r="E25" s="213" t="s">
        <v>660</v>
      </c>
      <c r="F25" s="213" t="s">
        <v>644</v>
      </c>
    </row>
    <row r="26" spans="1:6" ht="15">
      <c r="A26" s="446">
        <v>14</v>
      </c>
      <c r="B26" s="212">
        <v>42978</v>
      </c>
      <c r="C26" s="429" t="s">
        <v>646</v>
      </c>
      <c r="D26" s="213" t="s">
        <v>666</v>
      </c>
      <c r="E26" s="213" t="s">
        <v>659</v>
      </c>
      <c r="F26" s="213" t="s">
        <v>647</v>
      </c>
    </row>
    <row r="27" spans="1:6" ht="15">
      <c r="A27" s="446">
        <v>15</v>
      </c>
      <c r="B27" s="212">
        <v>42989</v>
      </c>
      <c r="C27" s="429" t="s">
        <v>655</v>
      </c>
      <c r="D27" s="213" t="s">
        <v>656</v>
      </c>
      <c r="E27" s="213" t="s">
        <v>657</v>
      </c>
      <c r="F27" s="213" t="s">
        <v>658</v>
      </c>
    </row>
    <row r="28" spans="1:6" ht="15">
      <c r="A28" s="446">
        <v>16</v>
      </c>
      <c r="B28" s="212">
        <v>42989</v>
      </c>
      <c r="C28" s="429" t="s">
        <v>665</v>
      </c>
      <c r="D28" s="213" t="s">
        <v>667</v>
      </c>
      <c r="E28" s="213" t="s">
        <v>713</v>
      </c>
      <c r="F28" s="213" t="s">
        <v>658</v>
      </c>
    </row>
    <row r="29" spans="1:6" ht="15">
      <c r="A29" s="446">
        <v>17</v>
      </c>
      <c r="B29" s="212">
        <v>42991</v>
      </c>
      <c r="C29" s="429" t="s">
        <v>707</v>
      </c>
      <c r="D29" s="213" t="s">
        <v>708</v>
      </c>
      <c r="E29" s="213" t="s">
        <v>709</v>
      </c>
      <c r="F29" s="213" t="s">
        <v>712</v>
      </c>
    </row>
    <row r="30" spans="1:6" ht="15">
      <c r="A30" s="446">
        <v>18</v>
      </c>
      <c r="B30" s="212">
        <v>42992</v>
      </c>
      <c r="C30" s="429" t="s">
        <v>613</v>
      </c>
      <c r="D30" s="213" t="s">
        <v>614</v>
      </c>
      <c r="E30" s="213" t="s">
        <v>710</v>
      </c>
      <c r="F30" s="213" t="s">
        <v>711</v>
      </c>
    </row>
    <row r="31" spans="1:6" ht="15">
      <c r="A31" s="446">
        <v>19</v>
      </c>
      <c r="B31" s="212">
        <v>42999</v>
      </c>
      <c r="C31" s="429" t="s">
        <v>646</v>
      </c>
      <c r="D31" s="213" t="s">
        <v>666</v>
      </c>
      <c r="E31" s="213" t="s">
        <v>790</v>
      </c>
      <c r="F31" s="213" t="s">
        <v>791</v>
      </c>
    </row>
    <row r="32" spans="1:6" ht="15">
      <c r="A32" s="446">
        <v>20</v>
      </c>
      <c r="B32" s="212">
        <v>42999</v>
      </c>
      <c r="C32" s="429" t="s">
        <v>797</v>
      </c>
      <c r="D32" s="213" t="s">
        <v>798</v>
      </c>
      <c r="E32" s="213" t="s">
        <v>799</v>
      </c>
      <c r="F32" s="213" t="s">
        <v>791</v>
      </c>
    </row>
    <row r="33" spans="1:6" ht="15">
      <c r="A33" s="446">
        <v>21</v>
      </c>
      <c r="B33" s="212">
        <v>42999</v>
      </c>
      <c r="C33" s="429" t="s">
        <v>646</v>
      </c>
      <c r="D33" s="213" t="s">
        <v>666</v>
      </c>
      <c r="E33" s="213" t="s">
        <v>800</v>
      </c>
      <c r="F33" s="213" t="s">
        <v>791</v>
      </c>
    </row>
    <row r="34" spans="1:6" ht="15">
      <c r="A34" s="446">
        <v>22</v>
      </c>
      <c r="B34" s="212">
        <v>43021</v>
      </c>
      <c r="C34" s="429" t="s">
        <v>804</v>
      </c>
      <c r="D34" s="213" t="s">
        <v>805</v>
      </c>
      <c r="E34" s="213" t="s">
        <v>807</v>
      </c>
      <c r="F34" s="213" t="s">
        <v>806</v>
      </c>
    </row>
    <row r="35" spans="1:6" ht="15">
      <c r="A35" s="446">
        <v>23</v>
      </c>
      <c r="B35" s="212">
        <v>43052</v>
      </c>
      <c r="C35" s="429"/>
      <c r="D35" s="213" t="s">
        <v>579</v>
      </c>
      <c r="E35" s="213" t="s">
        <v>810</v>
      </c>
      <c r="F35" s="213" t="s">
        <v>809</v>
      </c>
    </row>
    <row r="36" spans="1:6" ht="15">
      <c r="A36" s="446">
        <v>24</v>
      </c>
      <c r="B36" s="212">
        <v>43101</v>
      </c>
      <c r="C36" s="429" t="s">
        <v>1228</v>
      </c>
      <c r="D36" s="213" t="s">
        <v>1246</v>
      </c>
      <c r="E36" s="213" t="s">
        <v>1247</v>
      </c>
      <c r="F36" s="213" t="s">
        <v>1248</v>
      </c>
    </row>
    <row r="37" spans="1:6" ht="15">
      <c r="A37" s="446">
        <v>25</v>
      </c>
      <c r="B37" s="212">
        <v>43128</v>
      </c>
      <c r="C37" s="429" t="s">
        <v>1233</v>
      </c>
      <c r="D37" s="213" t="s">
        <v>1234</v>
      </c>
      <c r="E37" s="213" t="s">
        <v>1235</v>
      </c>
      <c r="F37" s="213" t="s">
        <v>1236</v>
      </c>
    </row>
    <row r="38" spans="1:6" ht="15">
      <c r="A38" s="446">
        <v>26</v>
      </c>
      <c r="B38" s="212">
        <v>43130</v>
      </c>
      <c r="C38" s="430" t="s">
        <v>1250</v>
      </c>
      <c r="D38" s="213" t="s">
        <v>1229</v>
      </c>
      <c r="E38" s="213" t="s">
        <v>1230</v>
      </c>
      <c r="F38" s="213" t="s">
        <v>1231</v>
      </c>
    </row>
    <row r="39" spans="1:6" ht="15">
      <c r="A39" s="446">
        <v>27</v>
      </c>
      <c r="B39" s="212">
        <v>43131</v>
      </c>
      <c r="C39" s="429" t="s">
        <v>1232</v>
      </c>
      <c r="D39" s="213" t="s">
        <v>1237</v>
      </c>
      <c r="E39" s="213" t="s">
        <v>1238</v>
      </c>
      <c r="F39" s="213" t="s">
        <v>1239</v>
      </c>
    </row>
    <row r="40" spans="1:6" ht="15">
      <c r="A40" s="446">
        <v>28</v>
      </c>
      <c r="B40" s="212">
        <v>43132</v>
      </c>
      <c r="C40" s="429" t="s">
        <v>1228</v>
      </c>
      <c r="D40" s="213" t="s">
        <v>1240</v>
      </c>
      <c r="E40" s="213" t="s">
        <v>1241</v>
      </c>
      <c r="F40" s="213" t="s">
        <v>1242</v>
      </c>
    </row>
    <row r="41" spans="1:6" ht="45">
      <c r="A41" s="446">
        <v>29</v>
      </c>
      <c r="B41" s="424">
        <v>43132</v>
      </c>
      <c r="C41" s="430" t="s">
        <v>1250</v>
      </c>
      <c r="D41" s="425" t="s">
        <v>1245</v>
      </c>
      <c r="E41" s="423" t="s">
        <v>1253</v>
      </c>
      <c r="F41" s="425" t="s">
        <v>1249</v>
      </c>
    </row>
    <row r="42" spans="1:6" ht="15">
      <c r="A42" s="446">
        <v>30</v>
      </c>
      <c r="B42" s="212">
        <v>43139</v>
      </c>
      <c r="C42" s="429"/>
      <c r="D42" s="213" t="s">
        <v>1225</v>
      </c>
      <c r="E42" s="213" t="s">
        <v>1227</v>
      </c>
      <c r="F42" s="213" t="s">
        <v>1226</v>
      </c>
    </row>
    <row r="43" spans="1:6" ht="15">
      <c r="A43" s="446">
        <v>31</v>
      </c>
      <c r="B43" s="212">
        <v>43153</v>
      </c>
      <c r="C43" s="429" t="s">
        <v>1256</v>
      </c>
      <c r="D43" s="213" t="s">
        <v>1257</v>
      </c>
      <c r="E43" s="213" t="s">
        <v>1258</v>
      </c>
      <c r="F43" s="213" t="s">
        <v>1259</v>
      </c>
    </row>
    <row r="44" spans="1:6" ht="30">
      <c r="A44" s="446">
        <v>32</v>
      </c>
      <c r="B44" s="424">
        <v>43153</v>
      </c>
      <c r="C44" s="431" t="s">
        <v>1256</v>
      </c>
      <c r="D44" s="425" t="s">
        <v>624</v>
      </c>
      <c r="E44" s="447" t="s">
        <v>1261</v>
      </c>
      <c r="F44" s="425" t="s">
        <v>1259</v>
      </c>
    </row>
    <row r="45" spans="1:6" ht="30">
      <c r="A45" s="446">
        <v>33</v>
      </c>
      <c r="B45" s="424">
        <v>43157</v>
      </c>
      <c r="C45" s="431" t="s">
        <v>1262</v>
      </c>
      <c r="D45" s="425" t="s">
        <v>1273</v>
      </c>
      <c r="E45" s="447" t="s">
        <v>1272</v>
      </c>
      <c r="F45" s="425" t="s">
        <v>1271</v>
      </c>
    </row>
    <row r="46" spans="1:6" ht="15">
      <c r="A46" s="446">
        <v>34</v>
      </c>
      <c r="B46" s="424">
        <v>43159</v>
      </c>
      <c r="C46" s="431" t="s">
        <v>1274</v>
      </c>
      <c r="D46" s="425" t="s">
        <v>1275</v>
      </c>
      <c r="E46" s="447" t="s">
        <v>1276</v>
      </c>
      <c r="F46" s="425"/>
    </row>
    <row r="47" spans="1:6" ht="15">
      <c r="A47" s="446">
        <v>35</v>
      </c>
      <c r="B47" s="424">
        <v>43172</v>
      </c>
      <c r="C47" s="431" t="s">
        <v>1282</v>
      </c>
      <c r="D47" s="425" t="s">
        <v>1283</v>
      </c>
      <c r="E47" s="447" t="s">
        <v>1284</v>
      </c>
      <c r="F47" s="425" t="s">
        <v>1285</v>
      </c>
    </row>
    <row r="48" spans="1:6" ht="15">
      <c r="A48" s="446">
        <v>36</v>
      </c>
      <c r="B48" s="424">
        <v>43173</v>
      </c>
      <c r="C48" s="431" t="s">
        <v>1286</v>
      </c>
      <c r="D48" s="425" t="s">
        <v>1287</v>
      </c>
      <c r="E48" s="447" t="s">
        <v>1288</v>
      </c>
      <c r="F48" s="425" t="s">
        <v>1285</v>
      </c>
    </row>
    <row r="49" spans="2:6" ht="15">
      <c r="B49" s="215"/>
      <c r="C49" s="432"/>
      <c r="D49" s="216"/>
      <c r="E49" s="216"/>
      <c r="F49" s="216"/>
    </row>
    <row r="50" spans="2:6" ht="15">
      <c r="B50" s="212" t="s">
        <v>1251</v>
      </c>
      <c r="C50" s="429"/>
      <c r="D50" s="213"/>
      <c r="E50" s="213"/>
      <c r="F50" s="213"/>
    </row>
    <row r="51" spans="2:6" ht="15">
      <c r="B51" s="157"/>
      <c r="C51" s="433"/>
      <c r="D51" s="158"/>
      <c r="E51" s="158"/>
      <c r="F51" s="158"/>
    </row>
    <row r="52" spans="2:6" ht="15">
      <c r="B52" s="158"/>
      <c r="C52" s="434"/>
      <c r="D52" s="158"/>
      <c r="E52" s="158"/>
      <c r="F52" s="158"/>
    </row>
    <row r="53" spans="2:6" ht="15">
      <c r="B53" s="158"/>
      <c r="C53" s="434"/>
      <c r="D53" s="158"/>
      <c r="E53" s="158"/>
      <c r="F53" s="158"/>
    </row>
    <row r="54" spans="2:6" ht="15">
      <c r="B54" s="158"/>
      <c r="C54" s="434"/>
      <c r="D54" s="158"/>
      <c r="E54" s="158"/>
      <c r="F54" s="158"/>
    </row>
    <row r="55" spans="2:6" ht="15">
      <c r="B55" s="158"/>
      <c r="C55" s="434"/>
      <c r="D55" s="158"/>
      <c r="E55" s="158"/>
      <c r="F55" s="158"/>
    </row>
    <row r="56" spans="2:6" ht="15">
      <c r="B56" s="158"/>
      <c r="C56" s="434"/>
      <c r="D56" s="158"/>
      <c r="E56" s="158"/>
      <c r="F56" s="158"/>
    </row>
    <row r="57" spans="2:6" ht="15">
      <c r="B57" s="158"/>
      <c r="C57" s="434"/>
      <c r="D57" s="158"/>
      <c r="E57" s="158"/>
      <c r="F57" s="158"/>
    </row>
    <row r="58" spans="2:6" ht="15">
      <c r="B58" s="158"/>
      <c r="C58" s="434"/>
      <c r="D58" s="158"/>
      <c r="E58" s="158"/>
      <c r="F58" s="158"/>
    </row>
    <row r="59" spans="2:6" ht="15">
      <c r="B59" s="158"/>
      <c r="C59" s="434"/>
      <c r="D59" s="158"/>
      <c r="E59" s="158"/>
      <c r="F59" s="158"/>
    </row>
    <row r="60" spans="2:6" ht="15">
      <c r="B60" s="158"/>
      <c r="C60" s="434"/>
      <c r="D60" s="158"/>
      <c r="E60" s="158"/>
      <c r="F60" s="158"/>
    </row>
  </sheetData>
  <mergeCells count="6">
    <mergeCell ref="C12:D12"/>
    <mergeCell ref="A2:G2"/>
    <mergeCell ref="A3:G3"/>
    <mergeCell ref="A4:G4"/>
    <mergeCell ref="A5:G5"/>
    <mergeCell ref="B8:F8"/>
  </mergeCells>
  <phoneticPr fontId="20" type="noConversion"/>
  <printOptions horizontalCentered="1"/>
  <pageMargins left="0.70866141732283472" right="0.70866141732283472" top="0.74803149606299213" bottom="0.74803149606299213" header="0.31496062992125984" footer="0.31496062992125984"/>
  <pageSetup paperSize="9" scale="98"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6">
    <tabColor theme="8" tint="-0.249977111117893"/>
  </sheetPr>
  <dimension ref="A1"/>
  <sheetViews>
    <sheetView workbookViewId="0"/>
  </sheetViews>
  <sheetFormatPr defaultRowHeight="14.4"/>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3">
    <tabColor theme="5" tint="0.59999389629810485"/>
  </sheetPr>
  <dimension ref="A1:R52"/>
  <sheetViews>
    <sheetView showGridLines="0" zoomScale="85" zoomScaleNormal="85" workbookViewId="0">
      <selection activeCell="B4" sqref="B4"/>
    </sheetView>
  </sheetViews>
  <sheetFormatPr defaultColWidth="9" defaultRowHeight="14.4" outlineLevelRow="1"/>
  <cols>
    <col min="1" max="1" width="13.6640625" customWidth="1"/>
    <col min="2" max="2" width="24.6640625" customWidth="1"/>
    <col min="3" max="3" width="26.21875" customWidth="1"/>
    <col min="4" max="4" width="21.44140625" bestFit="1" customWidth="1"/>
    <col min="5" max="5" width="17.6640625" customWidth="1"/>
    <col min="6" max="6" width="18.77734375" customWidth="1"/>
    <col min="7" max="7" width="11.109375" bestFit="1" customWidth="1"/>
    <col min="8" max="8" width="18.21875" customWidth="1"/>
    <col min="9" max="9" width="16.88671875" bestFit="1" customWidth="1"/>
    <col min="10" max="10" width="19.33203125" bestFit="1" customWidth="1"/>
    <col min="11" max="11" width="20.109375" customWidth="1"/>
    <col min="12" max="12" width="19.109375" customWidth="1"/>
    <col min="13" max="13" width="18" customWidth="1"/>
    <col min="15" max="18" width="0" hidden="1" customWidth="1"/>
  </cols>
  <sheetData>
    <row r="1" spans="1:18" ht="12.6" customHeight="1"/>
    <row r="2" spans="1:18" ht="22.95" customHeight="1" thickBot="1">
      <c r="B2" s="529" t="s">
        <v>1466</v>
      </c>
    </row>
    <row r="3" spans="1:18" ht="22.95" customHeight="1">
      <c r="B3" s="581" t="s">
        <v>1465</v>
      </c>
      <c r="C3" s="738" t="s">
        <v>1574</v>
      </c>
      <c r="D3" s="582"/>
      <c r="E3" s="582"/>
      <c r="F3" s="582"/>
      <c r="G3" s="582"/>
      <c r="H3" s="582"/>
      <c r="I3" s="582"/>
      <c r="J3" s="582"/>
      <c r="K3" s="582"/>
      <c r="L3" s="583"/>
    </row>
    <row r="4" spans="1:18" ht="22.95" customHeight="1">
      <c r="B4" s="598" t="s">
        <v>1457</v>
      </c>
      <c r="C4" s="16" t="s">
        <v>1715</v>
      </c>
      <c r="D4" s="7"/>
      <c r="E4" s="7"/>
      <c r="F4" s="7"/>
      <c r="G4" s="7"/>
      <c r="H4" s="7"/>
      <c r="I4" s="7"/>
      <c r="J4" s="7"/>
      <c r="K4" s="7"/>
      <c r="L4" s="570"/>
    </row>
    <row r="5" spans="1:18" ht="22.95" customHeight="1">
      <c r="B5" s="598"/>
      <c r="C5" s="16" t="s">
        <v>1713</v>
      </c>
      <c r="D5" s="7"/>
      <c r="E5" s="7"/>
      <c r="F5" s="7"/>
      <c r="G5" s="7"/>
      <c r="H5" s="7"/>
      <c r="I5" s="7"/>
      <c r="J5" s="7"/>
      <c r="K5" s="7"/>
      <c r="L5" s="570"/>
    </row>
    <row r="6" spans="1:18" ht="22.95" customHeight="1">
      <c r="B6" s="598"/>
      <c r="C6" s="16" t="s">
        <v>1714</v>
      </c>
      <c r="D6" s="7"/>
      <c r="E6" s="7"/>
      <c r="F6" s="7"/>
      <c r="G6" s="7"/>
      <c r="H6" s="7"/>
      <c r="I6" s="7"/>
      <c r="J6" s="7"/>
      <c r="K6" s="7"/>
      <c r="L6" s="570"/>
    </row>
    <row r="7" spans="1:18" ht="22.95" customHeight="1">
      <c r="B7" s="598" t="s">
        <v>1457</v>
      </c>
      <c r="C7" s="16" t="s">
        <v>1722</v>
      </c>
      <c r="D7" s="7"/>
      <c r="E7" s="7"/>
      <c r="F7" s="7"/>
      <c r="G7" s="7"/>
      <c r="H7" s="7"/>
      <c r="I7" s="7"/>
      <c r="J7" s="7"/>
      <c r="K7" s="7"/>
      <c r="L7" s="570"/>
    </row>
    <row r="8" spans="1:18" ht="22.95" customHeight="1">
      <c r="B8" s="598" t="s">
        <v>1457</v>
      </c>
      <c r="C8" s="16" t="s">
        <v>1723</v>
      </c>
      <c r="D8" s="7"/>
      <c r="E8" s="7"/>
      <c r="F8" s="7"/>
      <c r="G8" s="7"/>
      <c r="H8" s="7"/>
      <c r="I8" s="7"/>
      <c r="J8" s="7"/>
      <c r="K8" s="7"/>
      <c r="L8" s="570"/>
    </row>
    <row r="9" spans="1:18" ht="22.95" customHeight="1">
      <c r="B9" s="598" t="s">
        <v>1457</v>
      </c>
      <c r="C9" s="16" t="s">
        <v>1724</v>
      </c>
      <c r="D9" s="7"/>
      <c r="E9" s="7"/>
      <c r="F9" s="7"/>
      <c r="G9" s="7"/>
      <c r="H9" s="7"/>
      <c r="I9" s="7"/>
      <c r="J9" s="7"/>
      <c r="K9" s="7"/>
      <c r="L9" s="570"/>
    </row>
    <row r="10" spans="1:18" ht="22.95" customHeight="1" thickBot="1">
      <c r="B10" s="599" t="s">
        <v>1457</v>
      </c>
      <c r="C10" s="739" t="s">
        <v>1725</v>
      </c>
      <c r="D10" s="572"/>
      <c r="E10" s="572"/>
      <c r="F10" s="572"/>
      <c r="G10" s="572"/>
      <c r="H10" s="572"/>
      <c r="I10" s="572"/>
      <c r="J10" s="572"/>
      <c r="K10" s="572"/>
      <c r="L10" s="574"/>
    </row>
    <row r="11" spans="1:18" s="828" customFormat="1" ht="22.95" customHeight="1">
      <c r="B11" s="1977"/>
      <c r="C11" s="16"/>
      <c r="D11" s="7"/>
      <c r="E11" s="7"/>
      <c r="F11" s="7"/>
      <c r="G11" s="7"/>
      <c r="H11" s="7"/>
      <c r="I11" s="7"/>
      <c r="J11" s="7"/>
      <c r="K11" s="7"/>
      <c r="L11" s="7"/>
    </row>
    <row r="12" spans="1:18" s="828" customFormat="1" ht="22.95" customHeight="1">
      <c r="B12" s="1977"/>
      <c r="C12" s="16"/>
      <c r="D12" s="7"/>
      <c r="E12" s="7"/>
      <c r="F12" s="7"/>
      <c r="G12" s="7"/>
      <c r="H12" s="7"/>
      <c r="I12" s="7"/>
      <c r="J12" s="7"/>
      <c r="K12" s="7"/>
      <c r="L12" s="7"/>
    </row>
    <row r="13" spans="1:18" ht="21" thickBot="1">
      <c r="B13" s="529" t="s">
        <v>2235</v>
      </c>
      <c r="D13" s="530"/>
      <c r="E13" s="530"/>
      <c r="F13" s="530"/>
      <c r="G13" s="530"/>
      <c r="H13" s="530"/>
      <c r="I13" s="530"/>
      <c r="J13" s="530"/>
      <c r="K13" s="531"/>
    </row>
    <row r="14" spans="1:18" ht="24" customHeight="1">
      <c r="B14" s="1978" t="s">
        <v>1419</v>
      </c>
      <c r="C14" s="2033" t="s">
        <v>1433</v>
      </c>
      <c r="D14" s="2033" t="s">
        <v>1434</v>
      </c>
      <c r="E14" s="2033" t="s">
        <v>1435</v>
      </c>
      <c r="F14" s="2033" t="s">
        <v>1436</v>
      </c>
      <c r="G14" s="2033"/>
      <c r="H14" s="2033" t="s">
        <v>2376</v>
      </c>
      <c r="I14" s="2033" t="s">
        <v>2378</v>
      </c>
      <c r="J14" s="1979" t="s">
        <v>2377</v>
      </c>
      <c r="O14" s="2070">
        <v>-32.032492968946947</v>
      </c>
      <c r="P14" s="2071">
        <v>-44.588671632241301</v>
      </c>
      <c r="Q14" s="2072">
        <f ca="1">D15-P14</f>
        <v>20.389246492375584</v>
      </c>
      <c r="R14" s="2073">
        <f ca="1">D15-O14</f>
        <v>7.8330678290812301</v>
      </c>
    </row>
    <row r="15" spans="1:18" ht="24" customHeight="1">
      <c r="B15" s="534" t="s">
        <v>1420</v>
      </c>
      <c r="C15" s="535" t="s">
        <v>1437</v>
      </c>
      <c r="D15" s="849">
        <f ca="1">国资委考核指标!G23</f>
        <v>-24.199425139865632</v>
      </c>
      <c r="E15" s="846">
        <v>100</v>
      </c>
      <c r="F15" s="846">
        <v>0</v>
      </c>
      <c r="G15" s="2305"/>
      <c r="H15" s="1973" t="s">
        <v>1420</v>
      </c>
      <c r="I15" s="2306">
        <v>-26.325696568181407</v>
      </c>
      <c r="J15" s="899">
        <f ca="1">D15-I15</f>
        <v>2.1262714283157749</v>
      </c>
      <c r="O15" s="2074">
        <v>31.993494244327469</v>
      </c>
      <c r="P15" s="2075">
        <v>14.819202059345287</v>
      </c>
      <c r="Q15" s="2076">
        <f ca="1">D16-P15</f>
        <v>16.560025484569248</v>
      </c>
      <c r="R15" s="2077">
        <f ca="1">D16-O15</f>
        <v>-0.61426670041293363</v>
      </c>
    </row>
    <row r="16" spans="1:18" ht="24" customHeight="1">
      <c r="A16">
        <v>31</v>
      </c>
      <c r="B16" s="534" t="s">
        <v>1452</v>
      </c>
      <c r="C16" s="537"/>
      <c r="D16" s="2168">
        <f ca="1">国资委考核指标!G9</f>
        <v>31.379227543914535</v>
      </c>
      <c r="E16" s="600">
        <v>50</v>
      </c>
      <c r="F16" s="600">
        <v>10</v>
      </c>
      <c r="G16" s="2305"/>
      <c r="H16" s="1973" t="s">
        <v>420</v>
      </c>
      <c r="I16" s="2306">
        <v>25.324940497925294</v>
      </c>
      <c r="J16" s="899">
        <f t="shared" ref="J16:J18" ca="1" si="0">D16-I16</f>
        <v>6.0542870459892413</v>
      </c>
      <c r="O16" s="2074">
        <v>0.23000509595629492</v>
      </c>
      <c r="P16" s="2075">
        <v>0.22798294352542181</v>
      </c>
      <c r="Q16" s="2076">
        <f ca="1">D17-P16</f>
        <v>7.5753223947581216E-2</v>
      </c>
      <c r="R16" s="2077">
        <f ca="1">D17-O16</f>
        <v>7.3731071516708102E-2</v>
      </c>
    </row>
    <row r="17" spans="1:18" ht="24" customHeight="1">
      <c r="A17" s="2303">
        <v>0.3</v>
      </c>
      <c r="B17" s="534" t="s">
        <v>1438</v>
      </c>
      <c r="C17" s="2026"/>
      <c r="D17" s="2027">
        <f ca="1">国资委考核指标!G5</f>
        <v>0.30373616747300303</v>
      </c>
      <c r="E17" s="2028">
        <v>0.3</v>
      </c>
      <c r="F17" s="2028">
        <v>0.1</v>
      </c>
      <c r="G17" s="2305"/>
      <c r="H17" s="2309" t="s">
        <v>426</v>
      </c>
      <c r="I17" s="369">
        <v>0.33474605346094571</v>
      </c>
      <c r="J17" s="900">
        <f t="shared" ca="1" si="0"/>
        <v>-3.1009885987942687E-2</v>
      </c>
      <c r="O17" s="2078">
        <v>0.24223491876140446</v>
      </c>
      <c r="P17" s="2079">
        <v>0.22825029361995378</v>
      </c>
      <c r="Q17" s="2076">
        <f ca="1">D19-P17</f>
        <v>-0.21064457671799869</v>
      </c>
      <c r="R17" s="2077">
        <f ca="1">D19-O17</f>
        <v>-0.2246292018594494</v>
      </c>
    </row>
    <row r="18" spans="1:18" ht="24" customHeight="1">
      <c r="B18" s="534" t="s">
        <v>2322</v>
      </c>
      <c r="C18" s="926"/>
      <c r="D18" s="2155">
        <f ca="1">主要评级指标表!G6</f>
        <v>1.763944534300349E-2</v>
      </c>
      <c r="E18" s="2158">
        <v>0.02</v>
      </c>
      <c r="F18" s="2158">
        <v>0.01</v>
      </c>
      <c r="G18" s="883"/>
      <c r="H18" s="2309" t="s">
        <v>1206</v>
      </c>
      <c r="I18" s="369">
        <v>1.4143561107238682E-2</v>
      </c>
      <c r="J18" s="900">
        <f t="shared" ca="1" si="0"/>
        <v>3.4958842357648082E-3</v>
      </c>
      <c r="O18" s="2080">
        <v>-27.227546498868435</v>
      </c>
      <c r="P18" s="2081">
        <f ca="1">O18-D15</f>
        <v>-3.0281213590028031</v>
      </c>
      <c r="Q18" s="2076"/>
      <c r="R18" s="2077"/>
    </row>
    <row r="19" spans="1:18" ht="24.6" customHeight="1" thickBot="1">
      <c r="B19" s="1980" t="s">
        <v>2246</v>
      </c>
      <c r="C19" s="1985"/>
      <c r="D19" s="2159">
        <f ca="1">国资委考核指标!G50</f>
        <v>1.7605716901955084E-2</v>
      </c>
      <c r="E19" s="2318" t="s">
        <v>2323</v>
      </c>
      <c r="F19" s="2156"/>
      <c r="G19" s="2156"/>
      <c r="H19" s="2307"/>
      <c r="I19" s="2308"/>
      <c r="J19" s="2157"/>
      <c r="N19" s="531"/>
      <c r="O19" s="2080">
        <v>32.394876288582445</v>
      </c>
      <c r="P19" s="2081">
        <f ca="1">O19-D16</f>
        <v>1.0156487446679101</v>
      </c>
      <c r="Q19" s="2082"/>
      <c r="R19" s="2083"/>
    </row>
    <row r="20" spans="1:18" ht="28.2" customHeight="1">
      <c r="H20" s="2025"/>
      <c r="I20" s="2056"/>
      <c r="N20" s="531"/>
      <c r="O20" s="2084">
        <v>0.24680225565871439</v>
      </c>
      <c r="P20" s="2085">
        <f ca="1">O20-D17</f>
        <v>-5.693391181428864E-2</v>
      </c>
      <c r="Q20" s="2086"/>
      <c r="R20" s="2087"/>
    </row>
    <row r="21" spans="1:18" s="827" customFormat="1" ht="28.2" customHeight="1" thickBot="1">
      <c r="B21" s="529" t="s">
        <v>2236</v>
      </c>
      <c r="C21"/>
      <c r="F21"/>
      <c r="G21"/>
      <c r="H21" s="883"/>
      <c r="I21" s="1975"/>
      <c r="O21" s="1976"/>
      <c r="P21" s="912"/>
      <c r="Q21" s="550"/>
      <c r="R21" s="547"/>
    </row>
    <row r="22" spans="1:18" s="827" customFormat="1" ht="28.2" customHeight="1" outlineLevel="1">
      <c r="B22" s="1978" t="s">
        <v>1419</v>
      </c>
      <c r="C22" s="532"/>
      <c r="D22" s="532">
        <v>0.24200445212928604</v>
      </c>
      <c r="E22" s="532" t="s">
        <v>1435</v>
      </c>
      <c r="F22" s="532" t="s">
        <v>1436</v>
      </c>
      <c r="G22" s="1979"/>
      <c r="H22" s="883"/>
      <c r="I22" s="1975"/>
      <c r="J22" s="1976"/>
      <c r="K22" s="912"/>
      <c r="L22" s="550"/>
      <c r="M22" s="547"/>
    </row>
    <row r="23" spans="1:18" s="827" customFormat="1" ht="28.2" customHeight="1" outlineLevel="1">
      <c r="B23" s="538" t="s">
        <v>1207</v>
      </c>
      <c r="C23" s="539"/>
      <c r="D23" s="2029">
        <f ca="1">主要评级指标表!G9</f>
        <v>0.43497096790000001</v>
      </c>
      <c r="E23" s="601">
        <v>0.8</v>
      </c>
      <c r="F23" s="601">
        <v>0.2</v>
      </c>
      <c r="G23" s="536"/>
      <c r="H23" s="883"/>
      <c r="I23" s="1975"/>
      <c r="J23" s="1976"/>
      <c r="K23" s="912"/>
      <c r="L23" s="550"/>
      <c r="M23" s="547"/>
    </row>
    <row r="24" spans="1:18" s="827" customFormat="1" ht="28.2" customHeight="1" outlineLevel="1">
      <c r="B24" s="538" t="s">
        <v>1604</v>
      </c>
      <c r="C24" s="540"/>
      <c r="D24" s="541">
        <f ca="1">现金流量表!G20</f>
        <v>225.07111024761184</v>
      </c>
      <c r="E24" s="601">
        <v>200</v>
      </c>
      <c r="F24" s="600">
        <v>50</v>
      </c>
      <c r="G24" s="536"/>
      <c r="H24" s="883"/>
      <c r="I24" s="1975"/>
      <c r="J24" s="1976"/>
      <c r="K24" s="912"/>
      <c r="L24" s="550"/>
      <c r="M24" s="547"/>
    </row>
    <row r="25" spans="1:18" s="827" customFormat="1" ht="28.2" customHeight="1" outlineLevel="1">
      <c r="B25" s="538" t="s">
        <v>1793</v>
      </c>
      <c r="C25" s="539"/>
      <c r="D25" s="1971">
        <f>输配电价测算模型!H43/10000</f>
        <v>298.2687161775545</v>
      </c>
      <c r="E25" s="600">
        <v>400</v>
      </c>
      <c r="F25" s="1972">
        <v>100</v>
      </c>
      <c r="G25" s="536"/>
      <c r="H25" s="547"/>
      <c r="I25" s="1975"/>
      <c r="J25" s="1976"/>
      <c r="K25" s="912"/>
      <c r="L25" s="550"/>
      <c r="M25" s="547"/>
    </row>
    <row r="26" spans="1:18" s="827" customFormat="1" ht="28.2" customHeight="1" outlineLevel="1">
      <c r="B26" s="534" t="s">
        <v>2241</v>
      </c>
      <c r="C26" s="1974"/>
      <c r="D26" s="1971">
        <f>假设!G21</f>
        <v>219.2</v>
      </c>
      <c r="E26" s="600">
        <v>400</v>
      </c>
      <c r="F26" s="887">
        <v>100</v>
      </c>
      <c r="G26" s="2013"/>
      <c r="H26" s="547"/>
      <c r="I26" s="1975"/>
      <c r="J26" s="1976"/>
      <c r="K26" s="912"/>
      <c r="L26" s="550"/>
      <c r="M26" s="547"/>
    </row>
    <row r="27" spans="1:18" s="827" customFormat="1" ht="28.2" customHeight="1" outlineLevel="1">
      <c r="B27" s="2021" t="str">
        <f>税金预测!B13</f>
        <v>营业税金及附加</v>
      </c>
      <c r="C27" s="1974"/>
      <c r="D27" s="1971">
        <f>税金预测!C13</f>
        <v>6.1625687160459783</v>
      </c>
      <c r="E27" s="600">
        <v>10</v>
      </c>
      <c r="F27" s="887">
        <v>2</v>
      </c>
      <c r="G27" s="2013"/>
      <c r="H27" s="547"/>
      <c r="I27" s="1975"/>
      <c r="J27" s="1976"/>
      <c r="K27" s="912"/>
      <c r="L27" s="550"/>
      <c r="M27" s="547"/>
    </row>
    <row r="28" spans="1:18" s="827" customFormat="1" ht="28.2" customHeight="1" outlineLevel="1">
      <c r="B28" s="2021" t="str">
        <f>税金预测!B14</f>
        <v>所得税</v>
      </c>
      <c r="C28" s="32"/>
      <c r="D28" s="1971">
        <f ca="1">税金预测!C14</f>
        <v>7.8448068859786479</v>
      </c>
      <c r="E28" s="600">
        <v>20</v>
      </c>
      <c r="F28" s="32">
        <v>1</v>
      </c>
      <c r="G28" s="2013"/>
      <c r="H28" s="547"/>
      <c r="I28" s="1975"/>
      <c r="J28" s="1976"/>
      <c r="K28" s="912"/>
      <c r="L28" s="550"/>
      <c r="M28" s="547"/>
    </row>
    <row r="29" spans="1:18" s="827" customFormat="1" ht="28.2" customHeight="1" outlineLevel="1" thickBot="1">
      <c r="B29" s="2023" t="str">
        <f>税金预测!B3</f>
        <v>增值税</v>
      </c>
      <c r="C29" s="2024"/>
      <c r="D29" s="1986">
        <f>税金预测!F3-税金预测!E3</f>
        <v>31.022162211282634</v>
      </c>
      <c r="E29" s="2024">
        <v>50</v>
      </c>
      <c r="F29" s="2024">
        <v>10</v>
      </c>
      <c r="G29" s="1987"/>
      <c r="H29" s="547"/>
      <c r="I29" s="1975"/>
      <c r="J29" s="1976"/>
      <c r="K29" s="912"/>
      <c r="L29" s="550"/>
      <c r="M29" s="547"/>
    </row>
    <row r="30" spans="1:18" s="827" customFormat="1" ht="28.2" customHeight="1" outlineLevel="1">
      <c r="H30" s="547"/>
      <c r="I30" s="1975"/>
      <c r="J30" s="1976"/>
      <c r="K30" s="912"/>
      <c r="L30" s="550"/>
      <c r="M30" s="547"/>
    </row>
    <row r="31" spans="1:18" s="827" customFormat="1" ht="28.2" customHeight="1">
      <c r="B31" s="1973"/>
      <c r="C31" s="779" t="s">
        <v>1716</v>
      </c>
      <c r="E31" s="600"/>
      <c r="F31" s="887"/>
      <c r="G31" s="883"/>
      <c r="H31" s="542" t="s">
        <v>1712</v>
      </c>
      <c r="I31" s="1975"/>
      <c r="J31" s="1976"/>
      <c r="K31" s="912"/>
      <c r="L31" s="550" t="s">
        <v>1726</v>
      </c>
      <c r="M31" s="547"/>
    </row>
    <row r="32" spans="1:18" ht="35.4" customHeight="1" thickBot="1">
      <c r="B32" s="529" t="s">
        <v>1783</v>
      </c>
      <c r="C32" s="533"/>
      <c r="D32" s="786"/>
      <c r="E32" s="533"/>
      <c r="F32" s="786"/>
      <c r="G32" s="533"/>
      <c r="I32" s="533"/>
      <c r="J32" s="533"/>
      <c r="L32" s="587">
        <v>3</v>
      </c>
      <c r="M32" s="547"/>
      <c r="N32" s="531"/>
    </row>
    <row r="33" spans="1:14" ht="36" customHeight="1">
      <c r="A33" s="2032" t="s">
        <v>1439</v>
      </c>
      <c r="B33" s="2032" t="s">
        <v>1440</v>
      </c>
      <c r="C33" s="1978" t="s">
        <v>1720</v>
      </c>
      <c r="D33" s="1979" t="s">
        <v>1441</v>
      </c>
      <c r="E33" s="1978" t="s">
        <v>1442</v>
      </c>
      <c r="F33" s="1979" t="s">
        <v>1443</v>
      </c>
      <c r="G33" s="2033" t="s">
        <v>1444</v>
      </c>
      <c r="H33" s="2033" t="s">
        <v>1468</v>
      </c>
      <c r="I33" s="2033" t="s">
        <v>1721</v>
      </c>
      <c r="J33" s="2033" t="s">
        <v>1828</v>
      </c>
      <c r="K33" s="1979" t="s">
        <v>1719</v>
      </c>
      <c r="L33" s="2034"/>
      <c r="M33" s="2035"/>
      <c r="N33" s="531"/>
    </row>
    <row r="34" spans="1:14" ht="43.2" customHeight="1">
      <c r="A34" s="2045">
        <f>动因指标对成果指标影响分析!E5</f>
        <v>376.58</v>
      </c>
      <c r="B34" s="543" t="s">
        <v>1769</v>
      </c>
      <c r="C34" s="787">
        <v>376.58</v>
      </c>
      <c r="D34" s="670">
        <f>C34</f>
        <v>376.58</v>
      </c>
      <c r="E34" s="780">
        <v>226.57999999999998</v>
      </c>
      <c r="F34" s="781">
        <v>126.57999999999998</v>
      </c>
      <c r="G34" s="545" t="s">
        <v>1453</v>
      </c>
      <c r="H34" s="671"/>
      <c r="I34" s="545" t="s">
        <v>414</v>
      </c>
      <c r="J34" s="545" t="s">
        <v>1446</v>
      </c>
      <c r="K34" s="913" t="s">
        <v>1827</v>
      </c>
      <c r="L34" s="548"/>
      <c r="M34" s="549"/>
      <c r="N34" s="531"/>
    </row>
    <row r="35" spans="1:14" s="828" customFormat="1" ht="43.2" customHeight="1">
      <c r="A35" s="2317">
        <f>假设!G14*10</f>
        <v>6397.8462534290338</v>
      </c>
      <c r="B35" s="2310" t="s">
        <v>2237</v>
      </c>
      <c r="C35" s="2311">
        <v>6397.8462534290338</v>
      </c>
      <c r="D35" s="2312">
        <f>C35/10</f>
        <v>639.78462534290338</v>
      </c>
      <c r="E35" s="2313">
        <v>689.94647948533384</v>
      </c>
      <c r="F35" s="2314">
        <v>589.94647948533384</v>
      </c>
      <c r="G35" s="2315" t="s">
        <v>1454</v>
      </c>
      <c r="H35" s="2316"/>
      <c r="I35" s="545" t="s">
        <v>1718</v>
      </c>
      <c r="J35" s="545" t="s">
        <v>1446</v>
      </c>
      <c r="K35" s="544" t="s">
        <v>1718</v>
      </c>
      <c r="L35" s="548"/>
      <c r="M35" s="549"/>
      <c r="N35" s="531"/>
    </row>
    <row r="36" spans="1:14" s="828" customFormat="1" ht="43.2" customHeight="1">
      <c r="A36" s="2045">
        <f>假设!G18*10</f>
        <v>3828.3999999999996</v>
      </c>
      <c r="B36" s="543" t="s">
        <v>2238</v>
      </c>
      <c r="C36" s="787">
        <v>3828.3999999999996</v>
      </c>
      <c r="D36" s="670">
        <f>C36/10</f>
        <v>382.84</v>
      </c>
      <c r="E36" s="780">
        <v>432.84</v>
      </c>
      <c r="F36" s="781">
        <v>332.84</v>
      </c>
      <c r="G36" s="545" t="s">
        <v>1454</v>
      </c>
      <c r="H36" s="671"/>
      <c r="I36" s="545" t="s">
        <v>2271</v>
      </c>
      <c r="J36" s="545" t="s">
        <v>1446</v>
      </c>
      <c r="K36" s="913" t="s">
        <v>2271</v>
      </c>
      <c r="L36" s="548"/>
      <c r="M36" s="549"/>
      <c r="N36" s="531"/>
    </row>
    <row r="37" spans="1:14" ht="43.2" customHeight="1">
      <c r="A37" s="2045">
        <f>假设!G21*10</f>
        <v>2192</v>
      </c>
      <c r="B37" s="543" t="s">
        <v>1459</v>
      </c>
      <c r="C37" s="787">
        <v>2192</v>
      </c>
      <c r="D37" s="670">
        <f>C37/10</f>
        <v>219.2</v>
      </c>
      <c r="E37" s="780">
        <v>269.21000000000004</v>
      </c>
      <c r="F37" s="781">
        <v>169.21</v>
      </c>
      <c r="G37" s="545" t="s">
        <v>1454</v>
      </c>
      <c r="H37" s="672"/>
      <c r="I37" s="545" t="s">
        <v>1718</v>
      </c>
      <c r="J37" s="545" t="s">
        <v>1446</v>
      </c>
      <c r="K37" s="544" t="s">
        <v>1718</v>
      </c>
      <c r="L37" s="548">
        <v>19591.473342871574</v>
      </c>
      <c r="M37" s="549">
        <v>19623.72266983382</v>
      </c>
      <c r="N37" s="531"/>
    </row>
    <row r="38" spans="1:14" ht="43.2" customHeight="1">
      <c r="A38" s="2046">
        <f>假设!G8*1000</f>
        <v>20.502245854707724</v>
      </c>
      <c r="B38" s="543" t="s">
        <v>1455</v>
      </c>
      <c r="C38" s="787">
        <v>20.502245854707724</v>
      </c>
      <c r="D38" s="674">
        <f>C38/1000</f>
        <v>2.0502245854707724E-2</v>
      </c>
      <c r="E38" s="783">
        <v>0.1</v>
      </c>
      <c r="F38" s="784">
        <v>0</v>
      </c>
      <c r="G38" s="545" t="s">
        <v>1445</v>
      </c>
      <c r="H38" s="671"/>
      <c r="I38" s="545" t="s">
        <v>1718</v>
      </c>
      <c r="J38" s="545" t="s">
        <v>1717</v>
      </c>
      <c r="K38" s="544" t="s">
        <v>1718</v>
      </c>
      <c r="L38" s="548">
        <v>80.524880071277167</v>
      </c>
      <c r="M38" s="549">
        <v>82.234962839603469</v>
      </c>
      <c r="N38" s="531"/>
    </row>
    <row r="39" spans="1:14" ht="43.2" customHeight="1">
      <c r="A39" s="2047">
        <f ca="1">固定资产结构及折旧参数!E35*1000</f>
        <v>60.979590666698499</v>
      </c>
      <c r="B39" s="543" t="s">
        <v>1456</v>
      </c>
      <c r="C39" s="787">
        <v>60.988634957644692</v>
      </c>
      <c r="D39" s="674">
        <f>C39/1000</f>
        <v>6.0988634957644693E-2</v>
      </c>
      <c r="E39" s="785">
        <v>0.08</v>
      </c>
      <c r="F39" s="784">
        <v>0.03</v>
      </c>
      <c r="G39" s="545" t="s">
        <v>1445</v>
      </c>
      <c r="H39" s="672"/>
      <c r="I39" s="545" t="s">
        <v>1717</v>
      </c>
      <c r="J39" s="545" t="s">
        <v>1446</v>
      </c>
      <c r="K39" s="545" t="s">
        <v>1446</v>
      </c>
      <c r="L39" s="548"/>
      <c r="M39" s="549"/>
      <c r="N39" s="531"/>
    </row>
    <row r="40" spans="1:14" ht="43.2" customHeight="1">
      <c r="A40" s="2045">
        <f>假设!G42</f>
        <v>25.119</v>
      </c>
      <c r="B40" s="543" t="s">
        <v>2254</v>
      </c>
      <c r="C40" s="787">
        <v>25.119</v>
      </c>
      <c r="D40" s="2051">
        <f>C40</f>
        <v>25.119</v>
      </c>
      <c r="E40" s="780">
        <v>30.119</v>
      </c>
      <c r="F40" s="781">
        <v>20.119</v>
      </c>
      <c r="G40" s="545" t="s">
        <v>1445</v>
      </c>
      <c r="H40" s="673"/>
      <c r="I40" s="545" t="s">
        <v>1717</v>
      </c>
      <c r="J40" s="545" t="s">
        <v>1446</v>
      </c>
      <c r="K40" s="545" t="s">
        <v>1717</v>
      </c>
      <c r="L40" s="548"/>
      <c r="M40" s="549"/>
      <c r="N40" s="531"/>
    </row>
    <row r="41" spans="1:14" ht="43.2" customHeight="1">
      <c r="A41" s="2045">
        <f>假设!G119</f>
        <v>0</v>
      </c>
      <c r="B41" s="543" t="s">
        <v>2247</v>
      </c>
      <c r="C41" s="787">
        <v>0</v>
      </c>
      <c r="D41" s="670">
        <f>C41</f>
        <v>0</v>
      </c>
      <c r="E41" s="780">
        <v>27</v>
      </c>
      <c r="F41" s="781">
        <v>17</v>
      </c>
      <c r="G41" s="545" t="s">
        <v>1453</v>
      </c>
      <c r="H41" s="672"/>
      <c r="I41" s="545" t="s">
        <v>1717</v>
      </c>
      <c r="J41" s="545" t="s">
        <v>1446</v>
      </c>
      <c r="K41" s="545" t="s">
        <v>1717</v>
      </c>
      <c r="L41" s="548"/>
      <c r="M41" s="549"/>
      <c r="N41" s="531"/>
    </row>
    <row r="42" spans="1:14" ht="43.2" customHeight="1">
      <c r="A42" s="2045">
        <f>假设!G71</f>
        <v>3.59</v>
      </c>
      <c r="B42" s="1982" t="s">
        <v>1603</v>
      </c>
      <c r="C42" s="1983">
        <v>3.59</v>
      </c>
      <c r="D42" s="670">
        <f>C42</f>
        <v>3.59</v>
      </c>
      <c r="E42" s="780">
        <v>8.59</v>
      </c>
      <c r="F42" s="781">
        <v>0</v>
      </c>
      <c r="G42" s="545" t="s">
        <v>1605</v>
      </c>
      <c r="H42" s="671"/>
      <c r="I42" s="884" t="s">
        <v>1447</v>
      </c>
      <c r="J42" s="884" t="s">
        <v>1446</v>
      </c>
      <c r="K42" s="1984" t="s">
        <v>1446</v>
      </c>
      <c r="L42" s="548"/>
      <c r="M42" s="549"/>
      <c r="N42" s="679">
        <v>33.059553999999999</v>
      </c>
    </row>
    <row r="43" spans="1:14" s="7" customFormat="1" ht="43.2" customHeight="1">
      <c r="A43" s="2048">
        <f>假设!G10*10</f>
        <v>0.56599999999999995</v>
      </c>
      <c r="B43" s="1982" t="s">
        <v>2239</v>
      </c>
      <c r="C43" s="1981">
        <v>0.56599999999999995</v>
      </c>
      <c r="D43" s="2050">
        <f>C43/10</f>
        <v>5.6599999999999998E-2</v>
      </c>
      <c r="E43" s="780">
        <v>0.1</v>
      </c>
      <c r="F43" s="782">
        <v>0.04</v>
      </c>
      <c r="G43" s="545" t="s">
        <v>2269</v>
      </c>
      <c r="H43" s="672"/>
      <c r="I43" s="884" t="s">
        <v>1446</v>
      </c>
      <c r="J43" s="884" t="s">
        <v>2271</v>
      </c>
      <c r="K43" s="884" t="s">
        <v>1446</v>
      </c>
      <c r="L43" s="548"/>
      <c r="M43" s="549"/>
      <c r="N43" s="546"/>
    </row>
    <row r="44" spans="1:14" s="828" customFormat="1" ht="43.2" customHeight="1">
      <c r="A44" s="2048">
        <f>80%*100</f>
        <v>80</v>
      </c>
      <c r="B44" s="1982" t="s">
        <v>2240</v>
      </c>
      <c r="C44" s="1981">
        <v>80</v>
      </c>
      <c r="D44" s="2050">
        <f>C44/100</f>
        <v>0.8</v>
      </c>
      <c r="E44" s="780">
        <v>0.9</v>
      </c>
      <c r="F44" s="782">
        <v>0.6</v>
      </c>
      <c r="G44" s="545" t="s">
        <v>2269</v>
      </c>
      <c r="H44" s="671"/>
      <c r="I44" s="884" t="s">
        <v>2271</v>
      </c>
      <c r="J44" s="884" t="s">
        <v>2271</v>
      </c>
      <c r="K44" s="884" t="s">
        <v>2271</v>
      </c>
      <c r="L44" s="548"/>
      <c r="M44" s="549"/>
      <c r="N44" s="679"/>
    </row>
    <row r="45" spans="1:14" s="828" customFormat="1" ht="43.2" customHeight="1">
      <c r="A45" s="2049">
        <f>假设!G77*10</f>
        <v>1.7081820340688463</v>
      </c>
      <c r="B45" s="1982" t="s">
        <v>2250</v>
      </c>
      <c r="C45" s="1981">
        <v>1.7081820340688463</v>
      </c>
      <c r="D45" s="2050">
        <f>C45/10</f>
        <v>0.17081820340688464</v>
      </c>
      <c r="E45" s="780">
        <v>0.2</v>
      </c>
      <c r="F45" s="782">
        <v>0</v>
      </c>
      <c r="G45" s="545" t="s">
        <v>2269</v>
      </c>
      <c r="H45" s="672"/>
      <c r="I45" s="884" t="s">
        <v>2271</v>
      </c>
      <c r="J45" s="884" t="s">
        <v>2272</v>
      </c>
      <c r="K45" s="884" t="s">
        <v>2271</v>
      </c>
      <c r="L45" s="548"/>
      <c r="M45" s="549"/>
      <c r="N45" s="679"/>
    </row>
    <row r="46" spans="1:14" s="828" customFormat="1" ht="43.2" customHeight="1">
      <c r="A46" s="2049">
        <f>假设!G75*10</f>
        <v>5.3653166271017752E-2</v>
      </c>
      <c r="B46" s="1982" t="s">
        <v>177</v>
      </c>
      <c r="C46" s="1981">
        <v>0.03</v>
      </c>
      <c r="D46" s="674">
        <f>C46/10</f>
        <v>3.0000000000000001E-3</v>
      </c>
      <c r="E46" s="2053">
        <v>0.01</v>
      </c>
      <c r="F46" s="2054">
        <v>0</v>
      </c>
      <c r="G46" s="545"/>
      <c r="H46" s="671"/>
      <c r="I46" s="884" t="s">
        <v>2271</v>
      </c>
      <c r="J46" s="884" t="s">
        <v>2272</v>
      </c>
      <c r="K46" s="884" t="s">
        <v>2271</v>
      </c>
      <c r="L46" s="548"/>
      <c r="M46" s="549"/>
      <c r="N46" s="679"/>
    </row>
    <row r="47" spans="1:14" s="828" customFormat="1" ht="43.2" customHeight="1" thickBot="1">
      <c r="A47" s="2098">
        <f>假设!G51</f>
        <v>63.982228000000006</v>
      </c>
      <c r="B47" s="2036" t="s">
        <v>2256</v>
      </c>
      <c r="C47" s="2037">
        <v>63.982228000000006</v>
      </c>
      <c r="D47" s="2038">
        <f>C47</f>
        <v>63.982228000000006</v>
      </c>
      <c r="E47" s="2039">
        <v>80</v>
      </c>
      <c r="F47" s="2040">
        <v>60</v>
      </c>
      <c r="G47" s="2041" t="s">
        <v>2270</v>
      </c>
      <c r="H47" s="2052"/>
      <c r="I47" s="2042" t="s">
        <v>2271</v>
      </c>
      <c r="J47" s="2042" t="s">
        <v>2271</v>
      </c>
      <c r="K47" s="2042" t="s">
        <v>2271</v>
      </c>
      <c r="L47" s="2043"/>
      <c r="M47" s="2044"/>
      <c r="N47" s="679"/>
    </row>
    <row r="48" spans="1:14" s="828" customFormat="1" ht="15.6">
      <c r="A48" s="546"/>
      <c r="B48" s="883"/>
      <c r="C48" s="1981"/>
      <c r="D48" s="1981"/>
      <c r="E48" s="1981"/>
      <c r="F48" s="1981"/>
      <c r="G48" s="1981"/>
      <c r="H48" s="1981"/>
      <c r="I48" s="1981"/>
      <c r="J48" s="884"/>
      <c r="K48" s="884"/>
      <c r="L48" s="885"/>
      <c r="M48" s="885"/>
      <c r="N48" s="679"/>
    </row>
    <row r="49" spans="1:14" s="828" customFormat="1" ht="15.6">
      <c r="A49" s="2319">
        <f ca="1">D39-固定资产结构及折旧参数!E35</f>
        <v>9.0442909461904697E-6</v>
      </c>
      <c r="B49" s="883"/>
      <c r="C49" s="1981"/>
      <c r="D49" s="1981"/>
      <c r="E49" s="1981"/>
      <c r="F49" s="1981"/>
      <c r="G49" s="1981"/>
      <c r="H49" s="1981"/>
      <c r="I49" s="1981"/>
      <c r="J49" s="884"/>
      <c r="K49" s="884"/>
      <c r="L49" s="885"/>
      <c r="M49" s="885"/>
      <c r="N49" s="679"/>
    </row>
    <row r="50" spans="1:14">
      <c r="B50" s="585"/>
    </row>
    <row r="51" spans="1:14">
      <c r="B51" s="585"/>
    </row>
    <row r="52" spans="1:14">
      <c r="B52" s="585"/>
    </row>
  </sheetData>
  <scenarios current="0">
    <scenario name="1" count="3" user="kachio" comment="创建者 kachio 日期 6/4/2018">
      <inputCells r="C34" val="4657.11575346773" numFmtId="193"/>
      <inputCells r="C37" val="19816.2575097927" numFmtId="193"/>
      <inputCells r="C38" val="49" numFmtId="193"/>
    </scenario>
  </scenarios>
  <phoneticPr fontId="20" type="noConversion"/>
  <conditionalFormatting sqref="B4:B12">
    <cfRule type="containsText" dxfId="25" priority="1" operator="containsText" text="YES">
      <formula>NOT(ISERROR(SEARCH("YES",B4)))</formula>
    </cfRule>
  </conditionalFormatting>
  <dataValidations count="1">
    <dataValidation type="list" allowBlank="1" showInputMessage="1" showErrorMessage="1" sqref="B4:B12" xr:uid="{00000000-0002-0000-0400-000000000000}">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0418" r:id="rId3" name="Spinner 2">
              <controlPr defaultSize="0" autoPict="0">
                <anchor moveWithCells="1" sizeWithCells="1">
                  <from>
                    <xdr:col>7</xdr:col>
                    <xdr:colOff>449580</xdr:colOff>
                    <xdr:row>33</xdr:row>
                    <xdr:rowOff>121920</xdr:rowOff>
                  </from>
                  <to>
                    <xdr:col>7</xdr:col>
                    <xdr:colOff>922020</xdr:colOff>
                    <xdr:row>33</xdr:row>
                    <xdr:rowOff>426720</xdr:rowOff>
                  </to>
                </anchor>
              </controlPr>
            </control>
          </mc:Choice>
        </mc:AlternateContent>
        <mc:AlternateContent xmlns:mc="http://schemas.openxmlformats.org/markup-compatibility/2006">
          <mc:Choice Requires="x14">
            <control shapeId="60419" r:id="rId4" name="Spinner 3">
              <controlPr defaultSize="0" autoPict="0">
                <anchor moveWithCells="1" sizeWithCells="1">
                  <from>
                    <xdr:col>7</xdr:col>
                    <xdr:colOff>441960</xdr:colOff>
                    <xdr:row>37</xdr:row>
                    <xdr:rowOff>137160</xdr:rowOff>
                  </from>
                  <to>
                    <xdr:col>7</xdr:col>
                    <xdr:colOff>914400</xdr:colOff>
                    <xdr:row>37</xdr:row>
                    <xdr:rowOff>441960</xdr:rowOff>
                  </to>
                </anchor>
              </controlPr>
            </control>
          </mc:Choice>
        </mc:AlternateContent>
        <mc:AlternateContent xmlns:mc="http://schemas.openxmlformats.org/markup-compatibility/2006">
          <mc:Choice Requires="x14">
            <control shapeId="60420" r:id="rId5" name="Spinner 4">
              <controlPr defaultSize="0" autoPict="0">
                <anchor moveWithCells="1" sizeWithCells="1">
                  <from>
                    <xdr:col>7</xdr:col>
                    <xdr:colOff>441960</xdr:colOff>
                    <xdr:row>36</xdr:row>
                    <xdr:rowOff>137160</xdr:rowOff>
                  </from>
                  <to>
                    <xdr:col>7</xdr:col>
                    <xdr:colOff>914400</xdr:colOff>
                    <xdr:row>36</xdr:row>
                    <xdr:rowOff>441960</xdr:rowOff>
                  </to>
                </anchor>
              </controlPr>
            </control>
          </mc:Choice>
        </mc:AlternateContent>
        <mc:AlternateContent xmlns:mc="http://schemas.openxmlformats.org/markup-compatibility/2006">
          <mc:Choice Requires="x14">
            <control shapeId="60421" r:id="rId6" name="Spinner 5">
              <controlPr defaultSize="0" autoPict="0">
                <anchor moveWithCells="1" sizeWithCells="1">
                  <from>
                    <xdr:col>7</xdr:col>
                    <xdr:colOff>449580</xdr:colOff>
                    <xdr:row>38</xdr:row>
                    <xdr:rowOff>160020</xdr:rowOff>
                  </from>
                  <to>
                    <xdr:col>7</xdr:col>
                    <xdr:colOff>922020</xdr:colOff>
                    <xdr:row>38</xdr:row>
                    <xdr:rowOff>464820</xdr:rowOff>
                  </to>
                </anchor>
              </controlPr>
            </control>
          </mc:Choice>
        </mc:AlternateContent>
        <mc:AlternateContent xmlns:mc="http://schemas.openxmlformats.org/markup-compatibility/2006">
          <mc:Choice Requires="x14">
            <control shapeId="60422" r:id="rId7" name="Spinner 6">
              <controlPr defaultSize="0" autoPict="0">
                <anchor moveWithCells="1" sizeWithCells="1">
                  <from>
                    <xdr:col>7</xdr:col>
                    <xdr:colOff>457200</xdr:colOff>
                    <xdr:row>39</xdr:row>
                    <xdr:rowOff>160020</xdr:rowOff>
                  </from>
                  <to>
                    <xdr:col>7</xdr:col>
                    <xdr:colOff>937260</xdr:colOff>
                    <xdr:row>39</xdr:row>
                    <xdr:rowOff>464820</xdr:rowOff>
                  </to>
                </anchor>
              </controlPr>
            </control>
          </mc:Choice>
        </mc:AlternateContent>
        <mc:AlternateContent xmlns:mc="http://schemas.openxmlformats.org/markup-compatibility/2006">
          <mc:Choice Requires="x14">
            <control shapeId="60427" r:id="rId8" name="按钮 3">
              <controlPr locked="0" defaultSize="0" print="0" autoPict="0" macro="[0]!单变量下限值规划">
                <anchor moveWithCells="1" sizeWithCells="1">
                  <from>
                    <xdr:col>11</xdr:col>
                    <xdr:colOff>83820</xdr:colOff>
                    <xdr:row>32</xdr:row>
                    <xdr:rowOff>83820</xdr:rowOff>
                  </from>
                  <to>
                    <xdr:col>11</xdr:col>
                    <xdr:colOff>1264920</xdr:colOff>
                    <xdr:row>32</xdr:row>
                    <xdr:rowOff>327660</xdr:rowOff>
                  </to>
                </anchor>
              </controlPr>
            </control>
          </mc:Choice>
        </mc:AlternateContent>
        <mc:AlternateContent xmlns:mc="http://schemas.openxmlformats.org/markup-compatibility/2006">
          <mc:Choice Requires="x14">
            <control shapeId="60428" r:id="rId9" name="Button 12">
              <controlPr locked="0" defaultSize="0" print="0" autoPict="0" macro="[0]!单变量上限值规划">
                <anchor moveWithCells="1" sizeWithCells="1">
                  <from>
                    <xdr:col>12</xdr:col>
                    <xdr:colOff>68580</xdr:colOff>
                    <xdr:row>32</xdr:row>
                    <xdr:rowOff>83820</xdr:rowOff>
                  </from>
                  <to>
                    <xdr:col>12</xdr:col>
                    <xdr:colOff>1264920</xdr:colOff>
                    <xdr:row>32</xdr:row>
                    <xdr:rowOff>335280</xdr:rowOff>
                  </to>
                </anchor>
              </controlPr>
            </control>
          </mc:Choice>
        </mc:AlternateContent>
        <mc:AlternateContent xmlns:mc="http://schemas.openxmlformats.org/markup-compatibility/2006">
          <mc:Choice Requires="x14">
            <control shapeId="60430" r:id="rId10" name="Check Box 14">
              <controlPr defaultSize="0" autoPict="0">
                <anchor moveWithCells="1">
                  <from>
                    <xdr:col>2</xdr:col>
                    <xdr:colOff>106680</xdr:colOff>
                    <xdr:row>33</xdr:row>
                    <xdr:rowOff>60960</xdr:rowOff>
                  </from>
                  <to>
                    <xdr:col>2</xdr:col>
                    <xdr:colOff>1676400</xdr:colOff>
                    <xdr:row>34</xdr:row>
                    <xdr:rowOff>30480</xdr:rowOff>
                  </to>
                </anchor>
              </controlPr>
            </control>
          </mc:Choice>
        </mc:AlternateContent>
        <mc:AlternateContent xmlns:mc="http://schemas.openxmlformats.org/markup-compatibility/2006">
          <mc:Choice Requires="x14">
            <control shapeId="60431" r:id="rId11" name="Check Box 15">
              <controlPr defaultSize="0" autoPict="0">
                <anchor moveWithCells="1">
                  <from>
                    <xdr:col>2</xdr:col>
                    <xdr:colOff>83820</xdr:colOff>
                    <xdr:row>34</xdr:row>
                    <xdr:rowOff>22860</xdr:rowOff>
                  </from>
                  <to>
                    <xdr:col>2</xdr:col>
                    <xdr:colOff>1394460</xdr:colOff>
                    <xdr:row>34</xdr:row>
                    <xdr:rowOff>464820</xdr:rowOff>
                  </to>
                </anchor>
              </controlPr>
            </control>
          </mc:Choice>
        </mc:AlternateContent>
        <mc:AlternateContent xmlns:mc="http://schemas.openxmlformats.org/markup-compatibility/2006">
          <mc:Choice Requires="x14">
            <control shapeId="60432" r:id="rId12" name="Check Box 16">
              <controlPr defaultSize="0" autoPict="0">
                <anchor moveWithCells="1">
                  <from>
                    <xdr:col>2</xdr:col>
                    <xdr:colOff>99060</xdr:colOff>
                    <xdr:row>34</xdr:row>
                    <xdr:rowOff>533400</xdr:rowOff>
                  </from>
                  <to>
                    <xdr:col>2</xdr:col>
                    <xdr:colOff>1211580</xdr:colOff>
                    <xdr:row>35</xdr:row>
                    <xdr:rowOff>502920</xdr:rowOff>
                  </to>
                </anchor>
              </controlPr>
            </control>
          </mc:Choice>
        </mc:AlternateContent>
        <mc:AlternateContent xmlns:mc="http://schemas.openxmlformats.org/markup-compatibility/2006">
          <mc:Choice Requires="x14">
            <control shapeId="60433" r:id="rId13" name="Check Box 17">
              <controlPr defaultSize="0" autoPict="0">
                <anchor moveWithCells="1">
                  <from>
                    <xdr:col>2</xdr:col>
                    <xdr:colOff>99060</xdr:colOff>
                    <xdr:row>36</xdr:row>
                    <xdr:rowOff>7620</xdr:rowOff>
                  </from>
                  <to>
                    <xdr:col>2</xdr:col>
                    <xdr:colOff>1303020</xdr:colOff>
                    <xdr:row>36</xdr:row>
                    <xdr:rowOff>495300</xdr:rowOff>
                  </to>
                </anchor>
              </controlPr>
            </control>
          </mc:Choice>
        </mc:AlternateContent>
        <mc:AlternateContent xmlns:mc="http://schemas.openxmlformats.org/markup-compatibility/2006">
          <mc:Choice Requires="x14">
            <control shapeId="60434" r:id="rId14" name="Check Box 18">
              <controlPr defaultSize="0" autoPict="0">
                <anchor moveWithCells="1">
                  <from>
                    <xdr:col>2</xdr:col>
                    <xdr:colOff>76200</xdr:colOff>
                    <xdr:row>36</xdr:row>
                    <xdr:rowOff>525780</xdr:rowOff>
                  </from>
                  <to>
                    <xdr:col>2</xdr:col>
                    <xdr:colOff>1257300</xdr:colOff>
                    <xdr:row>37</xdr:row>
                    <xdr:rowOff>480060</xdr:rowOff>
                  </to>
                </anchor>
              </controlPr>
            </control>
          </mc:Choice>
        </mc:AlternateContent>
        <mc:AlternateContent xmlns:mc="http://schemas.openxmlformats.org/markup-compatibility/2006">
          <mc:Choice Requires="x14">
            <control shapeId="60439" r:id="rId15" name="Drop Down 23">
              <controlPr defaultSize="0" autoPict="0">
                <anchor moveWithCells="1">
                  <from>
                    <xdr:col>11</xdr:col>
                    <xdr:colOff>38100</xdr:colOff>
                    <xdr:row>31</xdr:row>
                    <xdr:rowOff>68580</xdr:rowOff>
                  </from>
                  <to>
                    <xdr:col>13</xdr:col>
                    <xdr:colOff>114300</xdr:colOff>
                    <xdr:row>31</xdr:row>
                    <xdr:rowOff>373380</xdr:rowOff>
                  </to>
                </anchor>
              </controlPr>
            </control>
          </mc:Choice>
        </mc:AlternateContent>
        <mc:AlternateContent xmlns:mc="http://schemas.openxmlformats.org/markup-compatibility/2006">
          <mc:Choice Requires="x14">
            <control shapeId="60440" r:id="rId16" name="Button 24">
              <controlPr defaultSize="0" print="0" autoPict="0" macro="[0]!初始化初值">
                <anchor moveWithCells="1">
                  <from>
                    <xdr:col>2</xdr:col>
                    <xdr:colOff>7620</xdr:colOff>
                    <xdr:row>31</xdr:row>
                    <xdr:rowOff>76200</xdr:rowOff>
                  </from>
                  <to>
                    <xdr:col>2</xdr:col>
                    <xdr:colOff>1379220</xdr:colOff>
                    <xdr:row>31</xdr:row>
                    <xdr:rowOff>373380</xdr:rowOff>
                  </to>
                </anchor>
              </controlPr>
            </control>
          </mc:Choice>
        </mc:AlternateContent>
        <mc:AlternateContent xmlns:mc="http://schemas.openxmlformats.org/markup-compatibility/2006">
          <mc:Choice Requires="x14">
            <control shapeId="60460" r:id="rId17" name="Check Box 44">
              <controlPr defaultSize="0" autoPict="0">
                <anchor moveWithCells="1">
                  <from>
                    <xdr:col>2</xdr:col>
                    <xdr:colOff>83820</xdr:colOff>
                    <xdr:row>38</xdr:row>
                    <xdr:rowOff>30480</xdr:rowOff>
                  </from>
                  <to>
                    <xdr:col>2</xdr:col>
                    <xdr:colOff>1264920</xdr:colOff>
                    <xdr:row>38</xdr:row>
                    <xdr:rowOff>525780</xdr:rowOff>
                  </to>
                </anchor>
              </controlPr>
            </control>
          </mc:Choice>
        </mc:AlternateContent>
        <mc:AlternateContent xmlns:mc="http://schemas.openxmlformats.org/markup-compatibility/2006">
          <mc:Choice Requires="x14">
            <control shapeId="60461" r:id="rId18" name="Spinner 45">
              <controlPr defaultSize="0" autoPict="0">
                <anchor moveWithCells="1" sizeWithCells="1">
                  <from>
                    <xdr:col>7</xdr:col>
                    <xdr:colOff>457200</xdr:colOff>
                    <xdr:row>40</xdr:row>
                    <xdr:rowOff>160020</xdr:rowOff>
                  </from>
                  <to>
                    <xdr:col>7</xdr:col>
                    <xdr:colOff>937260</xdr:colOff>
                    <xdr:row>40</xdr:row>
                    <xdr:rowOff>464820</xdr:rowOff>
                  </to>
                </anchor>
              </controlPr>
            </control>
          </mc:Choice>
        </mc:AlternateContent>
        <mc:AlternateContent xmlns:mc="http://schemas.openxmlformats.org/markup-compatibility/2006">
          <mc:Choice Requires="x14">
            <control shapeId="60463" r:id="rId19" name="Check Box 47">
              <controlPr defaultSize="0" autoPict="0">
                <anchor moveWithCells="1">
                  <from>
                    <xdr:col>2</xdr:col>
                    <xdr:colOff>76200</xdr:colOff>
                    <xdr:row>39</xdr:row>
                    <xdr:rowOff>7620</xdr:rowOff>
                  </from>
                  <to>
                    <xdr:col>2</xdr:col>
                    <xdr:colOff>1257300</xdr:colOff>
                    <xdr:row>39</xdr:row>
                    <xdr:rowOff>495300</xdr:rowOff>
                  </to>
                </anchor>
              </controlPr>
            </control>
          </mc:Choice>
        </mc:AlternateContent>
        <mc:AlternateContent xmlns:mc="http://schemas.openxmlformats.org/markup-compatibility/2006">
          <mc:Choice Requires="x14">
            <control shapeId="60464" r:id="rId20" name="Spinner 48">
              <controlPr defaultSize="0" autoPict="0">
                <anchor moveWithCells="1" sizeWithCells="1">
                  <from>
                    <xdr:col>7</xdr:col>
                    <xdr:colOff>480060</xdr:colOff>
                    <xdr:row>41</xdr:row>
                    <xdr:rowOff>121920</xdr:rowOff>
                  </from>
                  <to>
                    <xdr:col>7</xdr:col>
                    <xdr:colOff>952500</xdr:colOff>
                    <xdr:row>41</xdr:row>
                    <xdr:rowOff>426720</xdr:rowOff>
                  </to>
                </anchor>
              </controlPr>
            </control>
          </mc:Choice>
        </mc:AlternateContent>
        <mc:AlternateContent xmlns:mc="http://schemas.openxmlformats.org/markup-compatibility/2006">
          <mc:Choice Requires="x14">
            <control shapeId="60417" r:id="rId21" name="Button 1">
              <controlPr defaultSize="0" print="0" autoPict="0" macro="[0]!整体规划">
                <anchor moveWithCells="1" sizeWithCells="1">
                  <from>
                    <xdr:col>3</xdr:col>
                    <xdr:colOff>137160</xdr:colOff>
                    <xdr:row>31</xdr:row>
                    <xdr:rowOff>53340</xdr:rowOff>
                  </from>
                  <to>
                    <xdr:col>3</xdr:col>
                    <xdr:colOff>1394460</xdr:colOff>
                    <xdr:row>31</xdr:row>
                    <xdr:rowOff>381000</xdr:rowOff>
                  </to>
                </anchor>
              </controlPr>
            </control>
          </mc:Choice>
        </mc:AlternateContent>
        <mc:AlternateContent xmlns:mc="http://schemas.openxmlformats.org/markup-compatibility/2006">
          <mc:Choice Requires="x14">
            <control shapeId="60465" r:id="rId22" name="Check Box 49">
              <controlPr defaultSize="0" autoPict="0">
                <anchor moveWithCells="1">
                  <from>
                    <xdr:col>2</xdr:col>
                    <xdr:colOff>76200</xdr:colOff>
                    <xdr:row>40</xdr:row>
                    <xdr:rowOff>7620</xdr:rowOff>
                  </from>
                  <to>
                    <xdr:col>2</xdr:col>
                    <xdr:colOff>1257300</xdr:colOff>
                    <xdr:row>40</xdr:row>
                    <xdr:rowOff>495300</xdr:rowOff>
                  </to>
                </anchor>
              </controlPr>
            </control>
          </mc:Choice>
        </mc:AlternateContent>
        <mc:AlternateContent xmlns:mc="http://schemas.openxmlformats.org/markup-compatibility/2006">
          <mc:Choice Requires="x14">
            <control shapeId="60466" r:id="rId23" name="Check Box 50">
              <controlPr defaultSize="0" autoPict="0">
                <anchor moveWithCells="1">
                  <from>
                    <xdr:col>2</xdr:col>
                    <xdr:colOff>76200</xdr:colOff>
                    <xdr:row>41</xdr:row>
                    <xdr:rowOff>7620</xdr:rowOff>
                  </from>
                  <to>
                    <xdr:col>2</xdr:col>
                    <xdr:colOff>1257300</xdr:colOff>
                    <xdr:row>41</xdr:row>
                    <xdr:rowOff>495300</xdr:rowOff>
                  </to>
                </anchor>
              </controlPr>
            </control>
          </mc:Choice>
        </mc:AlternateContent>
        <mc:AlternateContent xmlns:mc="http://schemas.openxmlformats.org/markup-compatibility/2006">
          <mc:Choice Requires="x14">
            <control shapeId="60467" r:id="rId24" name="Check Box 51">
              <controlPr defaultSize="0" autoPict="0">
                <anchor moveWithCells="1">
                  <from>
                    <xdr:col>2</xdr:col>
                    <xdr:colOff>76200</xdr:colOff>
                    <xdr:row>42</xdr:row>
                    <xdr:rowOff>7620</xdr:rowOff>
                  </from>
                  <to>
                    <xdr:col>2</xdr:col>
                    <xdr:colOff>1257300</xdr:colOff>
                    <xdr:row>42</xdr:row>
                    <xdr:rowOff>495300</xdr:rowOff>
                  </to>
                </anchor>
              </controlPr>
            </control>
          </mc:Choice>
        </mc:AlternateContent>
        <mc:AlternateContent xmlns:mc="http://schemas.openxmlformats.org/markup-compatibility/2006">
          <mc:Choice Requires="x14">
            <control shapeId="60468" r:id="rId25" name="Check Box 52">
              <controlPr defaultSize="0" autoPict="0">
                <anchor moveWithCells="1">
                  <from>
                    <xdr:col>2</xdr:col>
                    <xdr:colOff>76200</xdr:colOff>
                    <xdr:row>43</xdr:row>
                    <xdr:rowOff>7620</xdr:rowOff>
                  </from>
                  <to>
                    <xdr:col>2</xdr:col>
                    <xdr:colOff>1257300</xdr:colOff>
                    <xdr:row>43</xdr:row>
                    <xdr:rowOff>495300</xdr:rowOff>
                  </to>
                </anchor>
              </controlPr>
            </control>
          </mc:Choice>
        </mc:AlternateContent>
        <mc:AlternateContent xmlns:mc="http://schemas.openxmlformats.org/markup-compatibility/2006">
          <mc:Choice Requires="x14">
            <control shapeId="60469" r:id="rId26" name="Check Box 53">
              <controlPr defaultSize="0" autoPict="0">
                <anchor moveWithCells="1">
                  <from>
                    <xdr:col>2</xdr:col>
                    <xdr:colOff>99060</xdr:colOff>
                    <xdr:row>44</xdr:row>
                    <xdr:rowOff>22860</xdr:rowOff>
                  </from>
                  <to>
                    <xdr:col>2</xdr:col>
                    <xdr:colOff>1280160</xdr:colOff>
                    <xdr:row>44</xdr:row>
                    <xdr:rowOff>502920</xdr:rowOff>
                  </to>
                </anchor>
              </controlPr>
            </control>
          </mc:Choice>
        </mc:AlternateContent>
        <mc:AlternateContent xmlns:mc="http://schemas.openxmlformats.org/markup-compatibility/2006">
          <mc:Choice Requires="x14">
            <control shapeId="60470" r:id="rId27" name="Check Box 54">
              <controlPr defaultSize="0" autoPict="0">
                <anchor moveWithCells="1">
                  <from>
                    <xdr:col>2</xdr:col>
                    <xdr:colOff>76200</xdr:colOff>
                    <xdr:row>45</xdr:row>
                    <xdr:rowOff>7620</xdr:rowOff>
                  </from>
                  <to>
                    <xdr:col>2</xdr:col>
                    <xdr:colOff>1257300</xdr:colOff>
                    <xdr:row>45</xdr:row>
                    <xdr:rowOff>495300</xdr:rowOff>
                  </to>
                </anchor>
              </controlPr>
            </control>
          </mc:Choice>
        </mc:AlternateContent>
        <mc:AlternateContent xmlns:mc="http://schemas.openxmlformats.org/markup-compatibility/2006">
          <mc:Choice Requires="x14">
            <control shapeId="60471" r:id="rId28" name="Check Box 55">
              <controlPr defaultSize="0" autoPict="0">
                <anchor moveWithCells="1">
                  <from>
                    <xdr:col>2</xdr:col>
                    <xdr:colOff>76200</xdr:colOff>
                    <xdr:row>46</xdr:row>
                    <xdr:rowOff>7620</xdr:rowOff>
                  </from>
                  <to>
                    <xdr:col>2</xdr:col>
                    <xdr:colOff>1257300</xdr:colOff>
                    <xdr:row>46</xdr:row>
                    <xdr:rowOff>495300</xdr:rowOff>
                  </to>
                </anchor>
              </controlPr>
            </control>
          </mc:Choice>
        </mc:AlternateContent>
        <mc:AlternateContent xmlns:mc="http://schemas.openxmlformats.org/markup-compatibility/2006">
          <mc:Choice Requires="x14">
            <control shapeId="60478" r:id="rId29" name="Spinner 62">
              <controlPr defaultSize="0" autoPict="0">
                <anchor moveWithCells="1" sizeWithCells="1">
                  <from>
                    <xdr:col>7</xdr:col>
                    <xdr:colOff>441960</xdr:colOff>
                    <xdr:row>34</xdr:row>
                    <xdr:rowOff>137160</xdr:rowOff>
                  </from>
                  <to>
                    <xdr:col>7</xdr:col>
                    <xdr:colOff>914400</xdr:colOff>
                    <xdr:row>34</xdr:row>
                    <xdr:rowOff>441960</xdr:rowOff>
                  </to>
                </anchor>
              </controlPr>
            </control>
          </mc:Choice>
        </mc:AlternateContent>
        <mc:AlternateContent xmlns:mc="http://schemas.openxmlformats.org/markup-compatibility/2006">
          <mc:Choice Requires="x14">
            <control shapeId="60480" r:id="rId30" name="Spinner 64">
              <controlPr defaultSize="0" autoPict="0">
                <anchor moveWithCells="1" sizeWithCells="1">
                  <from>
                    <xdr:col>7</xdr:col>
                    <xdr:colOff>441960</xdr:colOff>
                    <xdr:row>35</xdr:row>
                    <xdr:rowOff>137160</xdr:rowOff>
                  </from>
                  <to>
                    <xdr:col>7</xdr:col>
                    <xdr:colOff>914400</xdr:colOff>
                    <xdr:row>35</xdr:row>
                    <xdr:rowOff>441960</xdr:rowOff>
                  </to>
                </anchor>
              </controlPr>
            </control>
          </mc:Choice>
        </mc:AlternateContent>
        <mc:AlternateContent xmlns:mc="http://schemas.openxmlformats.org/markup-compatibility/2006">
          <mc:Choice Requires="x14">
            <control shapeId="60481" r:id="rId31" name="Spinner 65">
              <controlPr defaultSize="0" autoPict="0">
                <anchor moveWithCells="1" sizeWithCells="1">
                  <from>
                    <xdr:col>7</xdr:col>
                    <xdr:colOff>480060</xdr:colOff>
                    <xdr:row>42</xdr:row>
                    <xdr:rowOff>121920</xdr:rowOff>
                  </from>
                  <to>
                    <xdr:col>7</xdr:col>
                    <xdr:colOff>952500</xdr:colOff>
                    <xdr:row>42</xdr:row>
                    <xdr:rowOff>426720</xdr:rowOff>
                  </to>
                </anchor>
              </controlPr>
            </control>
          </mc:Choice>
        </mc:AlternateContent>
        <mc:AlternateContent xmlns:mc="http://schemas.openxmlformats.org/markup-compatibility/2006">
          <mc:Choice Requires="x14">
            <control shapeId="60482" r:id="rId32" name="Spinner 66">
              <controlPr defaultSize="0" autoPict="0">
                <anchor moveWithCells="1" sizeWithCells="1">
                  <from>
                    <xdr:col>7</xdr:col>
                    <xdr:colOff>480060</xdr:colOff>
                    <xdr:row>43</xdr:row>
                    <xdr:rowOff>121920</xdr:rowOff>
                  </from>
                  <to>
                    <xdr:col>7</xdr:col>
                    <xdr:colOff>952500</xdr:colOff>
                    <xdr:row>43</xdr:row>
                    <xdr:rowOff>426720</xdr:rowOff>
                  </to>
                </anchor>
              </controlPr>
            </control>
          </mc:Choice>
        </mc:AlternateContent>
        <mc:AlternateContent xmlns:mc="http://schemas.openxmlformats.org/markup-compatibility/2006">
          <mc:Choice Requires="x14">
            <control shapeId="60483" r:id="rId33" name="Spinner 67">
              <controlPr defaultSize="0" autoPict="0">
                <anchor moveWithCells="1" sizeWithCells="1">
                  <from>
                    <xdr:col>7</xdr:col>
                    <xdr:colOff>480060</xdr:colOff>
                    <xdr:row>44</xdr:row>
                    <xdr:rowOff>121920</xdr:rowOff>
                  </from>
                  <to>
                    <xdr:col>7</xdr:col>
                    <xdr:colOff>952500</xdr:colOff>
                    <xdr:row>44</xdr:row>
                    <xdr:rowOff>426720</xdr:rowOff>
                  </to>
                </anchor>
              </controlPr>
            </control>
          </mc:Choice>
        </mc:AlternateContent>
        <mc:AlternateContent xmlns:mc="http://schemas.openxmlformats.org/markup-compatibility/2006">
          <mc:Choice Requires="x14">
            <control shapeId="60484" r:id="rId34" name="Spinner 68">
              <controlPr defaultSize="0" autoPict="0">
                <anchor moveWithCells="1" sizeWithCells="1">
                  <from>
                    <xdr:col>7</xdr:col>
                    <xdr:colOff>480060</xdr:colOff>
                    <xdr:row>45</xdr:row>
                    <xdr:rowOff>121920</xdr:rowOff>
                  </from>
                  <to>
                    <xdr:col>7</xdr:col>
                    <xdr:colOff>952500</xdr:colOff>
                    <xdr:row>45</xdr:row>
                    <xdr:rowOff>426720</xdr:rowOff>
                  </to>
                </anchor>
              </controlPr>
            </control>
          </mc:Choice>
        </mc:AlternateContent>
        <mc:AlternateContent xmlns:mc="http://schemas.openxmlformats.org/markup-compatibility/2006">
          <mc:Choice Requires="x14">
            <control shapeId="60485" r:id="rId35" name="Spinner 69">
              <controlPr defaultSize="0" autoPict="0">
                <anchor moveWithCells="1" sizeWithCells="1">
                  <from>
                    <xdr:col>7</xdr:col>
                    <xdr:colOff>480060</xdr:colOff>
                    <xdr:row>46</xdr:row>
                    <xdr:rowOff>121920</xdr:rowOff>
                  </from>
                  <to>
                    <xdr:col>7</xdr:col>
                    <xdr:colOff>952500</xdr:colOff>
                    <xdr:row>46</xdr:row>
                    <xdr:rowOff>426720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5">
    <tabColor theme="1"/>
  </sheetPr>
  <dimension ref="B2:V151"/>
  <sheetViews>
    <sheetView workbookViewId="0">
      <selection activeCell="D40" sqref="D40"/>
    </sheetView>
  </sheetViews>
  <sheetFormatPr defaultRowHeight="14.4"/>
  <cols>
    <col min="2" max="2" width="40.109375" bestFit="1" customWidth="1"/>
    <col min="4" max="4" width="11.33203125" customWidth="1"/>
    <col min="7" max="7" width="9.5546875" bestFit="1" customWidth="1"/>
    <col min="8" max="8" width="9" bestFit="1" customWidth="1"/>
    <col min="9" max="9" width="9.5546875" bestFit="1" customWidth="1"/>
    <col min="10" max="11" width="9" bestFit="1" customWidth="1"/>
    <col min="12" max="12" width="9.5546875" bestFit="1" customWidth="1"/>
    <col min="13" max="13" width="9" bestFit="1" customWidth="1"/>
    <col min="14" max="14" width="11.6640625" bestFit="1" customWidth="1"/>
    <col min="15" max="15" width="13.109375" bestFit="1" customWidth="1"/>
    <col min="16" max="16" width="12.88671875" bestFit="1" customWidth="1"/>
    <col min="17" max="17" width="11.6640625" bestFit="1" customWidth="1"/>
    <col min="18" max="18" width="9" bestFit="1" customWidth="1"/>
    <col min="19" max="19" width="11.6640625" bestFit="1" customWidth="1"/>
    <col min="20" max="20" width="9.5546875" bestFit="1" customWidth="1"/>
  </cols>
  <sheetData>
    <row r="2" spans="2:20">
      <c r="B2" t="s">
        <v>298</v>
      </c>
      <c r="C2">
        <v>890.20720039486719</v>
      </c>
      <c r="D2" s="679">
        <f>C2-损益表!G4</f>
        <v>-4.8043551347291213E-2</v>
      </c>
      <c r="F2" t="s">
        <v>1349</v>
      </c>
      <c r="G2" t="s">
        <v>25</v>
      </c>
      <c r="H2" t="s">
        <v>2288</v>
      </c>
      <c r="I2" t="s">
        <v>2289</v>
      </c>
      <c r="J2" t="s">
        <v>2290</v>
      </c>
      <c r="K2" t="s">
        <v>2291</v>
      </c>
      <c r="L2" t="s">
        <v>2292</v>
      </c>
      <c r="M2" t="s">
        <v>2293</v>
      </c>
      <c r="N2" t="s">
        <v>22</v>
      </c>
      <c r="O2" t="s">
        <v>2294</v>
      </c>
      <c r="P2" t="s">
        <v>2295</v>
      </c>
      <c r="Q2" t="s">
        <v>2296</v>
      </c>
      <c r="R2" t="s">
        <v>2297</v>
      </c>
      <c r="S2" t="s">
        <v>24</v>
      </c>
      <c r="T2" t="s">
        <v>2298</v>
      </c>
    </row>
    <row r="3" spans="2:20">
      <c r="B3" t="s">
        <v>44</v>
      </c>
      <c r="C3">
        <v>860.4945070355559</v>
      </c>
      <c r="D3" s="679">
        <f ca="1">C3-损益表!G5</f>
        <v>0.67465581707733691</v>
      </c>
      <c r="F3" t="s">
        <v>1835</v>
      </c>
      <c r="G3" s="679">
        <v>16.303629295255011</v>
      </c>
      <c r="H3" s="679">
        <v>3.2607258590510013</v>
      </c>
      <c r="I3" s="679">
        <v>20.170112703539537</v>
      </c>
      <c r="J3" s="679">
        <v>2.3897167760473623</v>
      </c>
      <c r="K3" s="679">
        <v>2.8556550631618906E-4</v>
      </c>
      <c r="L3" s="679">
        <v>25.820840904144216</v>
      </c>
      <c r="M3" s="679">
        <v>2.5341092138920001</v>
      </c>
      <c r="N3" s="679">
        <v>530.10857446865225</v>
      </c>
      <c r="O3" s="679">
        <v>11.575617509648232</v>
      </c>
      <c r="P3" s="679">
        <v>21.880550494959863</v>
      </c>
      <c r="Q3" s="679">
        <v>186.78973656196246</v>
      </c>
      <c r="R3" s="679">
        <v>1.4262030944465551E-2</v>
      </c>
      <c r="S3" s="679">
        <v>343.30457587574534</v>
      </c>
      <c r="T3" s="679">
        <v>18.08514604658258</v>
      </c>
    </row>
    <row r="4" spans="2:20">
      <c r="B4" t="s">
        <v>55</v>
      </c>
      <c r="C4">
        <v>852.64816870299978</v>
      </c>
      <c r="D4" s="679">
        <f ca="1">C4-损益表!G6</f>
        <v>0.51630421834443041</v>
      </c>
      <c r="F4" t="s">
        <v>1865</v>
      </c>
      <c r="G4" s="679">
        <v>0</v>
      </c>
      <c r="H4" s="679">
        <v>0</v>
      </c>
      <c r="I4" s="679">
        <v>0</v>
      </c>
      <c r="J4" s="679">
        <v>0</v>
      </c>
      <c r="K4" s="679">
        <v>0</v>
      </c>
      <c r="L4" s="679">
        <v>0</v>
      </c>
      <c r="M4" s="679">
        <v>0.56026884808800004</v>
      </c>
      <c r="N4" s="679">
        <v>111.493500769512</v>
      </c>
      <c r="O4" s="679">
        <v>0</v>
      </c>
      <c r="P4" s="679">
        <v>4.8286210403616199</v>
      </c>
      <c r="Q4" s="679">
        <v>10.081750478878019</v>
      </c>
      <c r="R4" s="679">
        <v>0</v>
      </c>
      <c r="S4" s="679">
        <v>101.41175029063398</v>
      </c>
      <c r="T4" s="679">
        <v>0</v>
      </c>
    </row>
    <row r="5" spans="2:20">
      <c r="B5" t="s">
        <v>2276</v>
      </c>
      <c r="C5">
        <v>6.1622361466075466</v>
      </c>
      <c r="D5" s="679">
        <f>C5-损益表!G7</f>
        <v>-3.3256943843174014E-4</v>
      </c>
      <c r="F5" t="s">
        <v>1866</v>
      </c>
      <c r="G5" s="679">
        <v>3.8707645482866444</v>
      </c>
      <c r="H5" s="679">
        <v>0.77415290965732875</v>
      </c>
      <c r="I5" s="679">
        <v>4.7887348132068608</v>
      </c>
      <c r="J5" s="679">
        <v>0.56736023677023262</v>
      </c>
      <c r="K5" s="679">
        <v>6.7798207260755871E-5</v>
      </c>
      <c r="L5" s="679">
        <v>6.1303157578416831</v>
      </c>
      <c r="M5" s="679">
        <v>0.28196590051800002</v>
      </c>
      <c r="N5" s="679">
        <v>62.241529960923685</v>
      </c>
      <c r="O5" s="679">
        <v>8.5641945459238702</v>
      </c>
      <c r="P5" s="679">
        <v>2.1942501510131058</v>
      </c>
      <c r="Q5" s="679">
        <v>28.324817106121003</v>
      </c>
      <c r="R5" s="679">
        <v>3.3860536673555948E-3</v>
      </c>
      <c r="S5" s="679">
        <v>33.913326801135327</v>
      </c>
      <c r="T5" s="679">
        <v>4.2937275437237705</v>
      </c>
    </row>
    <row r="6" spans="2:20">
      <c r="B6" t="s">
        <v>60</v>
      </c>
      <c r="C6">
        <v>0.70669076236000006</v>
      </c>
      <c r="D6" s="679">
        <f>C6-损益表!G8</f>
        <v>0</v>
      </c>
      <c r="F6" t="s">
        <v>1867</v>
      </c>
      <c r="G6" s="679">
        <v>3.8180366262153869</v>
      </c>
      <c r="H6" s="679">
        <v>0.76360732524307717</v>
      </c>
      <c r="I6" s="679">
        <v>4.7235022130575048</v>
      </c>
      <c r="J6" s="679">
        <v>0.55963160177382276</v>
      </c>
      <c r="K6" s="679">
        <v>6.6874653646367593E-5</v>
      </c>
      <c r="L6" s="679">
        <v>6.0468080147280512</v>
      </c>
      <c r="M6" s="679">
        <v>0.59466174164999996</v>
      </c>
      <c r="N6" s="679">
        <v>124.38449460307805</v>
      </c>
      <c r="O6" s="679">
        <v>0.28039880729586175</v>
      </c>
      <c r="P6" s="679">
        <v>5.4021377864480282</v>
      </c>
      <c r="Q6" s="679">
        <v>56.275310603580529</v>
      </c>
      <c r="R6" s="679">
        <v>3.3399285229108234E-3</v>
      </c>
      <c r="S6" s="679">
        <v>68.105844070974626</v>
      </c>
      <c r="T6" s="679">
        <v>4.2352379795830384</v>
      </c>
    </row>
    <row r="7" spans="2:20">
      <c r="B7" t="s">
        <v>61</v>
      </c>
      <c r="C7">
        <v>1.7260255686577797</v>
      </c>
      <c r="D7" s="679">
        <f>C7-损益表!G9</f>
        <v>0</v>
      </c>
      <c r="F7" t="s">
        <v>1868</v>
      </c>
      <c r="G7" s="679">
        <v>4.6524762403829492</v>
      </c>
      <c r="H7" s="679">
        <v>0.93049524807658968</v>
      </c>
      <c r="I7" s="679">
        <v>5.7558331595760315</v>
      </c>
      <c r="J7" s="679">
        <v>0.68194021836847662</v>
      </c>
      <c r="K7" s="679">
        <v>8.1490244236334954E-5</v>
      </c>
      <c r="L7" s="679">
        <v>7.3683501162653346</v>
      </c>
      <c r="M7" s="679">
        <v>0.31888932978099999</v>
      </c>
      <c r="N7" s="679">
        <v>70.827326742684335</v>
      </c>
      <c r="O7" s="679">
        <v>0.42061459610368923</v>
      </c>
      <c r="P7" s="679">
        <v>2.8173374574689025</v>
      </c>
      <c r="Q7" s="679">
        <v>21.477926798976956</v>
      </c>
      <c r="R7" s="679">
        <v>4.0698766456891836E-3</v>
      </c>
      <c r="S7" s="679">
        <v>49.345330067061695</v>
      </c>
      <c r="T7" s="679">
        <v>5.1608577919561309</v>
      </c>
    </row>
    <row r="8" spans="2:20">
      <c r="B8" t="s">
        <v>62</v>
      </c>
      <c r="C8">
        <v>-0.77719087250878571</v>
      </c>
      <c r="D8" s="679">
        <f ca="1">C8-损益表!G10</f>
        <v>0.15868416813171271</v>
      </c>
      <c r="F8" t="s">
        <v>1869</v>
      </c>
      <c r="G8" s="679">
        <v>3.9623518803700315</v>
      </c>
      <c r="H8" s="679">
        <v>0.79247037607400617</v>
      </c>
      <c r="I8" s="679">
        <v>4.9020425176991402</v>
      </c>
      <c r="J8" s="679">
        <v>0.58078471913483043</v>
      </c>
      <c r="K8" s="679">
        <v>6.9402401172730625E-5</v>
      </c>
      <c r="L8" s="679">
        <v>6.2753670153091496</v>
      </c>
      <c r="M8" s="679">
        <v>0.77832339385500005</v>
      </c>
      <c r="N8" s="679">
        <v>161.16172239245415</v>
      </c>
      <c r="O8" s="679">
        <v>2.7547391809782367</v>
      </c>
      <c r="P8" s="679">
        <v>6.6382040596682081</v>
      </c>
      <c r="Q8" s="679">
        <v>70.629931574405973</v>
      </c>
      <c r="R8" s="679">
        <v>3.4661721085099497E-3</v>
      </c>
      <c r="S8" s="679">
        <v>90.528324645939676</v>
      </c>
      <c r="T8" s="679">
        <v>4.3953227313196388</v>
      </c>
    </row>
    <row r="9" spans="2:20">
      <c r="B9" t="s">
        <v>63</v>
      </c>
      <c r="C9">
        <v>2.8576727400000002E-2</v>
      </c>
      <c r="D9" s="679">
        <f>C9-损益表!G11</f>
        <v>0</v>
      </c>
      <c r="F9" t="s">
        <v>1836</v>
      </c>
      <c r="G9" s="679">
        <v>13.079613742863739</v>
      </c>
      <c r="H9" s="679">
        <v>2.6159227485727472</v>
      </c>
      <c r="I9" s="679">
        <v>16.181506493717155</v>
      </c>
      <c r="J9" s="679">
        <v>1.9171542617592503</v>
      </c>
      <c r="K9" s="679">
        <v>2.2909540282470251E-4</v>
      </c>
      <c r="L9" s="679">
        <v>20.714812599451978</v>
      </c>
      <c r="M9" s="679">
        <v>1.577021425234</v>
      </c>
      <c r="N9" s="679">
        <v>334.54207622101796</v>
      </c>
      <c r="O9" s="679">
        <v>67.973434746740352</v>
      </c>
      <c r="P9" s="679">
        <v>15.643105802314036</v>
      </c>
      <c r="Q9" s="679">
        <v>183.68450523274174</v>
      </c>
      <c r="R9" s="679">
        <v>1.1441738067282384E-2</v>
      </c>
      <c r="S9" s="679">
        <v>150.84612925020895</v>
      </c>
      <c r="T9" s="679">
        <v>14.508838522317459</v>
      </c>
    </row>
    <row r="10" spans="2:20">
      <c r="B10" t="s">
        <v>1629</v>
      </c>
      <c r="C10">
        <v>0</v>
      </c>
      <c r="D10" s="679">
        <f>C10-损益表!G12</f>
        <v>0</v>
      </c>
      <c r="F10" t="s">
        <v>1865</v>
      </c>
      <c r="G10" s="679">
        <v>0</v>
      </c>
      <c r="H10" s="679">
        <v>0</v>
      </c>
      <c r="I10" s="679">
        <v>0</v>
      </c>
      <c r="J10" s="679">
        <v>0</v>
      </c>
      <c r="K10" s="679">
        <v>0</v>
      </c>
      <c r="L10" s="679">
        <v>0</v>
      </c>
      <c r="M10" s="679">
        <v>0.17853627863699997</v>
      </c>
      <c r="N10" s="679">
        <v>35.528719448762999</v>
      </c>
      <c r="O10" s="679">
        <v>8.9748412253500012E-2</v>
      </c>
      <c r="P10" s="679">
        <v>2.156799298582603</v>
      </c>
      <c r="Q10" s="679">
        <v>6.4482475429774535</v>
      </c>
      <c r="R10" s="679">
        <v>0</v>
      </c>
      <c r="S10" s="679">
        <v>29.080471905785544</v>
      </c>
      <c r="T10" s="679">
        <v>0</v>
      </c>
    </row>
    <row r="11" spans="2:20">
      <c r="B11" t="s">
        <v>2277</v>
      </c>
      <c r="C11">
        <v>1.093034816178674</v>
      </c>
      <c r="D11" s="679">
        <f>C11-损益表!G13</f>
        <v>0</v>
      </c>
      <c r="F11" t="s">
        <v>1866</v>
      </c>
      <c r="G11" s="679">
        <v>3.9491655187228816E-2</v>
      </c>
      <c r="H11" s="679">
        <v>7.8983310374457615E-3</v>
      </c>
      <c r="I11" s="679">
        <v>4.8857289475267587E-2</v>
      </c>
      <c r="J11" s="679">
        <v>5.7885191821838711E-3</v>
      </c>
      <c r="K11" s="679">
        <v>6.917143603165417E-7</v>
      </c>
      <c r="L11" s="679">
        <v>6.254483140925754E-2</v>
      </c>
      <c r="M11" s="679">
        <v>0.15580377007100002</v>
      </c>
      <c r="N11" s="679">
        <v>31.067495075538261</v>
      </c>
      <c r="O11" s="679">
        <v>5.7951092909254562</v>
      </c>
      <c r="P11" s="679">
        <v>1.5370287784688148</v>
      </c>
      <c r="Q11" s="679">
        <v>17.277189463901365</v>
      </c>
      <c r="R11" s="679">
        <v>3.4546369898899933E-5</v>
      </c>
      <c r="S11" s="679">
        <v>13.790271065266998</v>
      </c>
      <c r="T11" s="679">
        <v>4.3806954804239628E-2</v>
      </c>
    </row>
    <row r="12" spans="2:20">
      <c r="B12" t="s">
        <v>2278</v>
      </c>
      <c r="C12">
        <v>0</v>
      </c>
      <c r="D12" s="679">
        <f>C12-损益表!G14</f>
        <v>-2</v>
      </c>
      <c r="F12" t="s">
        <v>1867</v>
      </c>
      <c r="G12" s="679">
        <v>5.6286255036946953</v>
      </c>
      <c r="H12" s="679">
        <v>1.1257251007389388</v>
      </c>
      <c r="I12" s="679">
        <v>6.963480874076339</v>
      </c>
      <c r="J12" s="679">
        <v>0.8250200338020417</v>
      </c>
      <c r="K12" s="679">
        <v>9.8587943991991329E-5</v>
      </c>
      <c r="L12" s="679">
        <v>8.9143245965613112</v>
      </c>
      <c r="M12" s="679">
        <v>0.57489985217950013</v>
      </c>
      <c r="N12" s="679">
        <v>123.31939518028183</v>
      </c>
      <c r="O12" s="679">
        <v>25.816469543300911</v>
      </c>
      <c r="P12" s="679">
        <v>5.5750644802792166</v>
      </c>
      <c r="Q12" s="679">
        <v>73.134591431408694</v>
      </c>
      <c r="R12" s="679">
        <v>4.9237890321675226E-3</v>
      </c>
      <c r="S12" s="679">
        <v>50.179879959840967</v>
      </c>
      <c r="T12" s="679">
        <v>6.2436720335308511</v>
      </c>
    </row>
    <row r="13" spans="2:20">
      <c r="B13" t="s">
        <v>45</v>
      </c>
      <c r="C13">
        <v>30.805728175489961</v>
      </c>
      <c r="D13" s="679">
        <f ca="1">C13-损益表!G15</f>
        <v>-2.7226993684246281</v>
      </c>
      <c r="F13" t="s">
        <v>1868</v>
      </c>
      <c r="G13" s="679">
        <v>4.8338701913679447</v>
      </c>
      <c r="H13" s="679">
        <v>0.96677403827358876</v>
      </c>
      <c r="I13" s="679">
        <v>5.9802455507589265</v>
      </c>
      <c r="J13" s="679">
        <v>0.70852817371830268</v>
      </c>
      <c r="K13" s="679">
        <v>8.4667442056381078E-5</v>
      </c>
      <c r="L13" s="679">
        <v>7.655632430192874</v>
      </c>
      <c r="M13" s="679">
        <v>0.22824876004950001</v>
      </c>
      <c r="N13" s="679">
        <v>53.077135680043369</v>
      </c>
      <c r="O13" s="679">
        <v>8.8098934918269816</v>
      </c>
      <c r="P13" s="679">
        <v>2.5240738156548979</v>
      </c>
      <c r="Q13" s="679">
        <v>24.65471544060787</v>
      </c>
      <c r="R13" s="679">
        <v>4.2285558020436409E-3</v>
      </c>
      <c r="S13" s="679">
        <v>28.418191683633456</v>
      </c>
      <c r="T13" s="679">
        <v>5.3620728733420329</v>
      </c>
    </row>
    <row r="14" spans="2:20">
      <c r="B14" t="s">
        <v>88</v>
      </c>
      <c r="C14">
        <v>1.1835</v>
      </c>
      <c r="D14" s="679">
        <f>C14-损益表!G16</f>
        <v>0</v>
      </c>
      <c r="F14" t="s">
        <v>1869</v>
      </c>
      <c r="G14" s="679">
        <v>2.5776263926138689</v>
      </c>
      <c r="H14" s="679">
        <v>0.51552527852277363</v>
      </c>
      <c r="I14" s="679">
        <v>3.1889227794066191</v>
      </c>
      <c r="J14" s="679">
        <v>0.37781753505672183</v>
      </c>
      <c r="K14" s="679">
        <v>4.5148302416013566E-5</v>
      </c>
      <c r="L14" s="679">
        <v>4.0823107412885298</v>
      </c>
      <c r="M14" s="679">
        <v>0.439532764297</v>
      </c>
      <c r="N14" s="679">
        <v>91.549330836391519</v>
      </c>
      <c r="O14" s="679">
        <v>27.634100036473782</v>
      </c>
      <c r="P14" s="679">
        <v>3.8501394293285043</v>
      </c>
      <c r="Q14" s="679">
        <v>62.169761353846361</v>
      </c>
      <c r="R14" s="679">
        <v>2.2548468631723205E-3</v>
      </c>
      <c r="S14" s="679">
        <v>29.377314635681984</v>
      </c>
      <c r="T14" s="679">
        <v>2.8592866606403331</v>
      </c>
    </row>
    <row r="15" spans="2:20">
      <c r="B15" t="s">
        <v>89</v>
      </c>
      <c r="C15">
        <v>3.3327</v>
      </c>
      <c r="D15" s="679">
        <f>C15-损益表!G17</f>
        <v>0</v>
      </c>
      <c r="F15" t="s">
        <v>1837</v>
      </c>
      <c r="G15" s="679">
        <v>64.114010557725365</v>
      </c>
      <c r="H15" s="679">
        <v>12.822802111545069</v>
      </c>
      <c r="I15" s="679">
        <v>79.318953798931872</v>
      </c>
      <c r="J15" s="679">
        <v>9.3975595148048008</v>
      </c>
      <c r="K15" s="679">
        <v>1.1229861496057747E-3</v>
      </c>
      <c r="L15" s="679">
        <v>101.54043841143135</v>
      </c>
      <c r="M15" s="679">
        <v>6.7369322738674997</v>
      </c>
      <c r="N15" s="679">
        <v>1442.1899609110637</v>
      </c>
      <c r="O15" s="679">
        <v>286.3744219746502</v>
      </c>
      <c r="P15" s="679">
        <v>70.921726129428833</v>
      </c>
      <c r="Q15" s="679">
        <v>868.44053345255475</v>
      </c>
      <c r="R15" s="679">
        <v>5.6085426501582381E-2</v>
      </c>
      <c r="S15" s="679">
        <v>573.69334203200742</v>
      </c>
      <c r="T15" s="679">
        <v>71.119823909763653</v>
      </c>
    </row>
    <row r="16" spans="2:20">
      <c r="B16" t="s">
        <v>46</v>
      </c>
      <c r="C16">
        <v>28.65652817548996</v>
      </c>
      <c r="D16" s="679">
        <f ca="1">C16-损益表!G18</f>
        <v>-2.7226993684246317</v>
      </c>
      <c r="F16" t="s">
        <v>1870</v>
      </c>
      <c r="G16" s="679">
        <v>57.984593529052958</v>
      </c>
      <c r="H16" s="679">
        <v>11.596918705810589</v>
      </c>
      <c r="I16" s="679">
        <v>71.735916302409649</v>
      </c>
      <c r="J16" s="679">
        <v>8.4991355850438453</v>
      </c>
      <c r="K16" s="679">
        <v>1.015626613546811E-3</v>
      </c>
      <c r="L16" s="679">
        <v>91.83298621987764</v>
      </c>
      <c r="M16" s="679">
        <v>4.3454896695849996</v>
      </c>
      <c r="N16" s="679">
        <v>956.58543046729255</v>
      </c>
      <c r="O16" s="679">
        <v>155.13140128152352</v>
      </c>
      <c r="P16" s="679">
        <v>48.01377825311738</v>
      </c>
      <c r="Q16" s="679">
        <v>563.04610741551164</v>
      </c>
      <c r="R16" s="679">
        <v>5.0723556837390368E-2</v>
      </c>
      <c r="S16" s="679">
        <v>393.48859949494351</v>
      </c>
      <c r="T16" s="679">
        <v>64.320638272231207</v>
      </c>
    </row>
    <row r="17" spans="2:20">
      <c r="B17" t="s">
        <v>66</v>
      </c>
      <c r="C17">
        <v>7.16413204387249</v>
      </c>
      <c r="D17" s="679">
        <f ca="1">C17-损益表!G19</f>
        <v>-0.68067484210615792</v>
      </c>
      <c r="F17" t="s">
        <v>1871</v>
      </c>
      <c r="G17" s="679">
        <v>44.631407252343642</v>
      </c>
      <c r="H17" s="679">
        <v>8.9262814504687267</v>
      </c>
      <c r="I17" s="679">
        <v>55.215958244299763</v>
      </c>
      <c r="J17" s="679">
        <v>6.5418822225410054</v>
      </c>
      <c r="K17" s="679">
        <v>7.8173946296294212E-4</v>
      </c>
      <c r="L17" s="679">
        <v>70.684903656772462</v>
      </c>
      <c r="M17" s="679">
        <v>2.5941335406534995</v>
      </c>
      <c r="N17" s="679">
        <v>586.91747824681886</v>
      </c>
      <c r="O17" s="679">
        <v>70.241087713351135</v>
      </c>
      <c r="P17" s="679">
        <v>30.497585491725111</v>
      </c>
      <c r="Q17" s="679">
        <v>341.39113700000428</v>
      </c>
      <c r="R17" s="679">
        <v>3.9042503960343693E-2</v>
      </c>
      <c r="S17" s="679">
        <v>245.48729874285425</v>
      </c>
      <c r="T17" s="679">
        <v>49.508333623486898</v>
      </c>
    </row>
    <row r="18" spans="2:20">
      <c r="B18" t="s">
        <v>47</v>
      </c>
      <c r="C18">
        <v>21.492396131617468</v>
      </c>
      <c r="D18" s="679">
        <f ca="1">C18-损益表!G20</f>
        <v>-2.0420245263184746</v>
      </c>
      <c r="F18" t="s">
        <v>1872</v>
      </c>
      <c r="G18" s="679">
        <v>13.353186276709321</v>
      </c>
      <c r="H18" s="679">
        <v>2.6706372553418638</v>
      </c>
      <c r="I18" s="679">
        <v>16.519958058109889</v>
      </c>
      <c r="J18" s="679">
        <v>1.9572533625028403</v>
      </c>
      <c r="K18" s="679">
        <v>2.3388715058386887E-4</v>
      </c>
      <c r="L18" s="679">
        <v>21.148082563105177</v>
      </c>
      <c r="M18" s="679">
        <v>1.7513561289314998</v>
      </c>
      <c r="N18" s="679">
        <v>369.66795222047364</v>
      </c>
      <c r="O18" s="679">
        <v>83.217744338529485</v>
      </c>
      <c r="P18" s="679">
        <v>17.516192761392265</v>
      </c>
      <c r="Q18" s="679">
        <v>221.65497041550734</v>
      </c>
      <c r="R18" s="679">
        <v>1.1681052877046679E-2</v>
      </c>
      <c r="S18" s="679">
        <v>148.00130075208926</v>
      </c>
      <c r="T18" s="679">
        <v>14.812304648744346</v>
      </c>
    </row>
    <row r="19" spans="2:20">
      <c r="B19" t="s">
        <v>67</v>
      </c>
      <c r="C19">
        <v>21.481514232513174</v>
      </c>
      <c r="D19" s="679">
        <f ca="1">C19-损益表!G21</f>
        <v>-2.0409906208978867</v>
      </c>
      <c r="F19" t="s">
        <v>1873</v>
      </c>
      <c r="G19" s="679">
        <v>6.1294170286724103</v>
      </c>
      <c r="H19" s="679">
        <v>1.2258834057344818</v>
      </c>
      <c r="I19" s="679">
        <v>7.5830374965222234</v>
      </c>
      <c r="J19" s="679">
        <v>0.89842392976095486</v>
      </c>
      <c r="K19" s="679">
        <v>1.0735953605896372E-4</v>
      </c>
      <c r="L19" s="679">
        <v>9.7074521915537204</v>
      </c>
      <c r="M19" s="679">
        <v>2.3914426042825001</v>
      </c>
      <c r="N19" s="679">
        <v>485.6045304437713</v>
      </c>
      <c r="O19" s="679">
        <v>128.5425888103178</v>
      </c>
      <c r="P19" s="679">
        <v>22.907947876311447</v>
      </c>
      <c r="Q19" s="679">
        <v>305.39442603704305</v>
      </c>
      <c r="R19" s="679">
        <v>5.3618696641920104E-3</v>
      </c>
      <c r="S19" s="679">
        <v>180.20474253706405</v>
      </c>
      <c r="T19" s="679">
        <v>6.7991856375324256</v>
      </c>
    </row>
    <row r="20" spans="2:20">
      <c r="B20" t="s">
        <v>68</v>
      </c>
      <c r="C20">
        <v>1.08818991042108E-2</v>
      </c>
      <c r="D20" s="679">
        <f ca="1">C20-损益表!G22</f>
        <v>-1.0339054206725713E-3</v>
      </c>
      <c r="F20" t="s">
        <v>1871</v>
      </c>
      <c r="G20" s="679">
        <v>4.3768843905930588</v>
      </c>
      <c r="H20" s="679">
        <v>0.87537687811861153</v>
      </c>
      <c r="I20" s="679">
        <v>5.4148833888365289</v>
      </c>
      <c r="J20" s="679">
        <v>0.64154513486541265</v>
      </c>
      <c r="K20" s="679">
        <v>7.6663127237007098E-5</v>
      </c>
      <c r="L20" s="679">
        <v>6.9318820649477901</v>
      </c>
      <c r="M20" s="679">
        <v>2.1990635250119999</v>
      </c>
      <c r="N20" s="679">
        <v>444.54552354233579</v>
      </c>
      <c r="O20" s="679">
        <v>118.04594481403247</v>
      </c>
      <c r="P20" s="679">
        <v>20.893440611449947</v>
      </c>
      <c r="Q20" s="679">
        <v>282.16778458498857</v>
      </c>
      <c r="R20" s="679">
        <v>3.828795385893253E-3</v>
      </c>
      <c r="S20" s="679">
        <v>162.37391016196133</v>
      </c>
      <c r="T20" s="679">
        <v>4.8551516965563426</v>
      </c>
    </row>
    <row r="21" spans="2:20">
      <c r="F21" t="s">
        <v>1872</v>
      </c>
      <c r="G21" s="679">
        <v>1.7525326380793511</v>
      </c>
      <c r="H21" s="679">
        <v>0.35050652761587014</v>
      </c>
      <c r="I21" s="679">
        <v>2.1681541076856945</v>
      </c>
      <c r="J21" s="679">
        <v>0.25687879489554222</v>
      </c>
      <c r="K21" s="679">
        <v>3.069640882195662E-5</v>
      </c>
      <c r="L21" s="679">
        <v>2.7755701266059289</v>
      </c>
      <c r="M21" s="679">
        <v>0.19237907927049999</v>
      </c>
      <c r="N21" s="679">
        <v>41.059006901435424</v>
      </c>
      <c r="O21" s="679">
        <v>10.475898653889134</v>
      </c>
      <c r="P21" s="679">
        <v>2.0145072648615008</v>
      </c>
      <c r="Q21" s="679">
        <v>23.226641452054526</v>
      </c>
      <c r="R21" s="679">
        <v>1.5330742782987572E-3</v>
      </c>
      <c r="S21" s="679">
        <v>17.830832375102599</v>
      </c>
      <c r="T21" s="679">
        <v>1.944033940976083</v>
      </c>
    </row>
    <row r="22" spans="2:20">
      <c r="F22" t="s">
        <v>1838</v>
      </c>
      <c r="G22" s="679">
        <v>3.031320728782406</v>
      </c>
      <c r="H22" s="679">
        <v>0.60626414575648102</v>
      </c>
      <c r="I22" s="679">
        <v>3.7502128902005554</v>
      </c>
      <c r="J22" s="679">
        <v>0.44431812499930412</v>
      </c>
      <c r="K22" s="679">
        <v>5.309496573093955E-5</v>
      </c>
      <c r="L22" s="679">
        <v>4.8008482559220713</v>
      </c>
      <c r="M22" s="679">
        <v>0.33316340315349996</v>
      </c>
      <c r="N22" s="679">
        <v>71.100365483468565</v>
      </c>
      <c r="O22" s="679">
        <v>17.312609902345862</v>
      </c>
      <c r="P22" s="679">
        <v>4.0313358355303155</v>
      </c>
      <c r="Q22" s="679">
        <v>40.600105775734491</v>
      </c>
      <c r="R22" s="679">
        <v>2.6517279836015999E-3</v>
      </c>
      <c r="S22" s="679">
        <v>30.497607979750473</v>
      </c>
      <c r="T22" s="679">
        <v>3.3625567106103325</v>
      </c>
    </row>
    <row r="23" spans="2:20">
      <c r="B23" t="s">
        <v>2279</v>
      </c>
      <c r="C23">
        <v>852.64816870299978</v>
      </c>
      <c r="D23" s="679">
        <f ca="1">C23-实际收入!G16</f>
        <v>0.51630421834443041</v>
      </c>
      <c r="F23" t="s">
        <v>1839</v>
      </c>
      <c r="G23" s="679">
        <v>4.0195208884203639</v>
      </c>
      <c r="H23" s="679">
        <v>0.80390417768407263</v>
      </c>
      <c r="I23" s="679">
        <v>4.9727694285385793</v>
      </c>
      <c r="J23" s="679">
        <v>0.58916430966242095</v>
      </c>
      <c r="K23" s="679">
        <v>7.0403742434472797E-5</v>
      </c>
      <c r="L23" s="679">
        <v>6.3659083196275077</v>
      </c>
      <c r="M23" s="679">
        <v>0.24151751821050002</v>
      </c>
      <c r="N23" s="679">
        <v>54.427894443517012</v>
      </c>
      <c r="O23" s="679">
        <v>14.134177519546805</v>
      </c>
      <c r="P23" s="679">
        <v>3.7593382980538892</v>
      </c>
      <c r="Q23" s="679">
        <v>28.277376713853915</v>
      </c>
      <c r="R23" s="679">
        <v>3.5161822103782214E-3</v>
      </c>
      <c r="S23" s="679">
        <v>26.147001547452717</v>
      </c>
      <c r="T23" s="679">
        <v>4.458738664128501</v>
      </c>
    </row>
    <row r="24" spans="2:20">
      <c r="D24" s="679">
        <f>C24-实际收入!G17</f>
        <v>0</v>
      </c>
      <c r="F24" t="s">
        <v>1840</v>
      </c>
      <c r="G24" s="679">
        <v>11.902997586007857</v>
      </c>
      <c r="H24" s="679">
        <v>2.3805995172015706</v>
      </c>
      <c r="I24" s="679">
        <v>14.72585020622442</v>
      </c>
      <c r="J24" s="679">
        <v>1.7446908600168409</v>
      </c>
      <c r="K24" s="679">
        <v>2.0848643395725237E-4</v>
      </c>
      <c r="L24" s="679">
        <v>18.85134906987679</v>
      </c>
      <c r="M24" s="679">
        <v>0.78003714853350004</v>
      </c>
      <c r="N24" s="679">
        <v>174.0787416280433</v>
      </c>
      <c r="O24" s="679">
        <v>73.665762471025687</v>
      </c>
      <c r="P24" s="679">
        <v>8.0230890566465956</v>
      </c>
      <c r="Q24" s="679">
        <v>110.73246437933976</v>
      </c>
      <c r="R24" s="679">
        <v>1.0412461963481334E-2</v>
      </c>
      <c r="S24" s="679">
        <v>63.335864786740061</v>
      </c>
      <c r="T24" s="679">
        <v>13.203652133928433</v>
      </c>
    </row>
    <row r="25" spans="2:20">
      <c r="B25" t="s">
        <v>2280</v>
      </c>
      <c r="C25">
        <v>852.64816870299978</v>
      </c>
      <c r="D25" s="679">
        <f ca="1">C25-实际收入!G18</f>
        <v>0.51630421834443041</v>
      </c>
      <c r="F25" t="s">
        <v>1841</v>
      </c>
      <c r="G25" s="679">
        <v>0.96178871770345575</v>
      </c>
      <c r="H25" s="679">
        <v>0.1923577435406911</v>
      </c>
      <c r="I25" s="679">
        <v>1.189881497042959</v>
      </c>
      <c r="J25" s="679">
        <v>0.14097490761630316</v>
      </c>
      <c r="K25" s="679">
        <v>1.6846168246730219E-5</v>
      </c>
      <c r="L25" s="679">
        <v>1.5232309943682001</v>
      </c>
      <c r="M25" s="679">
        <v>0.11494181598099999</v>
      </c>
      <c r="N25" s="679">
        <v>24.396652374587198</v>
      </c>
      <c r="O25" s="679">
        <v>15.138153249306567</v>
      </c>
      <c r="P25" s="679">
        <v>0.77020841624207614</v>
      </c>
      <c r="Q25" s="679">
        <v>20.825847957660127</v>
      </c>
      <c r="R25" s="679">
        <v>8.4135011938211361E-4</v>
      </c>
      <c r="S25" s="679">
        <v>3.5699630668076892</v>
      </c>
      <c r="T25" s="679">
        <v>1.0668845022552575</v>
      </c>
    </row>
    <row r="26" spans="2:20">
      <c r="B26" t="s">
        <v>922</v>
      </c>
      <c r="C26">
        <v>547.91295119999972</v>
      </c>
      <c r="D26" s="679">
        <f>C26-实际收入!G19</f>
        <v>2.2405514182537445E-2</v>
      </c>
      <c r="F26" t="s">
        <v>1842</v>
      </c>
      <c r="G26" s="679">
        <v>0</v>
      </c>
      <c r="H26" s="679">
        <v>0</v>
      </c>
      <c r="I26" s="679">
        <v>0</v>
      </c>
      <c r="J26" s="679">
        <v>0</v>
      </c>
      <c r="K26" s="679">
        <v>0</v>
      </c>
      <c r="L26" s="679">
        <v>0</v>
      </c>
      <c r="M26" s="679">
        <v>0</v>
      </c>
      <c r="N26" s="679">
        <v>0</v>
      </c>
      <c r="O26" s="679">
        <v>0</v>
      </c>
      <c r="P26" s="679">
        <v>0</v>
      </c>
      <c r="Q26" s="679">
        <v>0</v>
      </c>
      <c r="R26" s="679">
        <v>0</v>
      </c>
      <c r="S26" s="679">
        <v>0</v>
      </c>
      <c r="T26" s="679">
        <v>0</v>
      </c>
    </row>
    <row r="27" spans="2:20">
      <c r="B27" t="s">
        <v>2281</v>
      </c>
      <c r="D27" s="679">
        <f>C27-实际收入!G20</f>
        <v>0</v>
      </c>
      <c r="F27" t="s">
        <v>1843</v>
      </c>
      <c r="G27" s="679">
        <v>0.23503706492854745</v>
      </c>
      <c r="H27" s="679">
        <v>4.7007412985709478E-2</v>
      </c>
      <c r="I27" s="679">
        <v>0.29077722531986644</v>
      </c>
      <c r="J27" s="679">
        <v>3.445073528604771E-2</v>
      </c>
      <c r="K27" s="679">
        <v>4.1167814376720237E-6</v>
      </c>
      <c r="L27" s="679">
        <v>0.37223949037306131</v>
      </c>
      <c r="M27" s="679">
        <v>2.2974067072999999E-2</v>
      </c>
      <c r="N27" s="679">
        <v>4.9440788379000615</v>
      </c>
      <c r="O27" s="679">
        <v>1.3614035892752605</v>
      </c>
      <c r="P27" s="679">
        <v>0.27687482524387719</v>
      </c>
      <c r="Q27" s="679">
        <v>2.973229832424527</v>
      </c>
      <c r="R27" s="679">
        <v>2.0560488909563809E-4</v>
      </c>
      <c r="S27" s="679">
        <v>1.9706434005864388</v>
      </c>
      <c r="T27" s="679">
        <v>0.26071984149136695</v>
      </c>
    </row>
    <row r="28" spans="2:20">
      <c r="B28" t="s">
        <v>2253</v>
      </c>
      <c r="C28">
        <v>25.119</v>
      </c>
      <c r="D28" s="679">
        <f>C28-实际收入!G21</f>
        <v>0</v>
      </c>
      <c r="F28" t="s">
        <v>1844</v>
      </c>
      <c r="G28" s="679">
        <v>1.2336569086442546</v>
      </c>
      <c r="H28" s="679">
        <v>0.24673138172885087</v>
      </c>
      <c r="I28" s="679">
        <v>1.5262245254862798</v>
      </c>
      <c r="J28" s="679">
        <v>0.18082419301154695</v>
      </c>
      <c r="K28" s="679">
        <v>2.1608063662241827E-5</v>
      </c>
      <c r="L28" s="679">
        <v>1.9538017082903398</v>
      </c>
      <c r="M28" s="679">
        <v>7.6432083434E-2</v>
      </c>
      <c r="N28" s="679">
        <v>17.163786311656342</v>
      </c>
      <c r="O28" s="679">
        <v>7.0801570201000796</v>
      </c>
      <c r="P28" s="679">
        <v>0.85914336675808645</v>
      </c>
      <c r="Q28" s="679">
        <v>11.207004352395787</v>
      </c>
      <c r="R28" s="679">
        <v>1.079174010111892E-3</v>
      </c>
      <c r="S28" s="679">
        <v>5.9557027852504429</v>
      </c>
      <c r="T28" s="679">
        <v>1.3684600502233117</v>
      </c>
    </row>
    <row r="29" spans="2:20">
      <c r="B29" t="s">
        <v>2282</v>
      </c>
      <c r="C29">
        <v>30.054272150000003</v>
      </c>
      <c r="D29" s="679">
        <f>C29-实际收入!G22</f>
        <v>0</v>
      </c>
      <c r="F29" t="s">
        <v>1845</v>
      </c>
      <c r="G29" s="679">
        <v>1.0140511311710088</v>
      </c>
      <c r="H29" s="679">
        <v>0.2028102262342017</v>
      </c>
      <c r="I29" s="679">
        <v>1.2545381910041202</v>
      </c>
      <c r="J29" s="679">
        <v>0.14863531033758459</v>
      </c>
      <c r="K29" s="679">
        <v>1.7761568265516916E-5</v>
      </c>
      <c r="L29" s="679">
        <v>1.6060014891441721</v>
      </c>
      <c r="M29" s="679">
        <v>4.5168717620500003E-2</v>
      </c>
      <c r="N29" s="679">
        <v>10.594576295623671</v>
      </c>
      <c r="O29" s="679">
        <v>4.5009522782370199</v>
      </c>
      <c r="P29" s="679">
        <v>0.48183010670374726</v>
      </c>
      <c r="Q29" s="679">
        <v>5.9673095509642726</v>
      </c>
      <c r="R29" s="679">
        <v>8.8706804786345026E-4</v>
      </c>
      <c r="S29" s="679">
        <v>4.6263796766115348</v>
      </c>
      <c r="T29" s="679">
        <v>1.1248576911195713</v>
      </c>
    </row>
    <row r="30" spans="2:20">
      <c r="B30" t="s">
        <v>2283</v>
      </c>
      <c r="C30">
        <v>32.1751183306</v>
      </c>
      <c r="D30" s="679">
        <f>C30-实际收入!G23</f>
        <v>0</v>
      </c>
      <c r="F30" t="s">
        <v>1846</v>
      </c>
      <c r="G30" s="679">
        <v>0.13628592110409804</v>
      </c>
      <c r="H30" s="679">
        <v>2.7257184220819602E-2</v>
      </c>
      <c r="I30" s="679">
        <v>0.16860677698157625</v>
      </c>
      <c r="J30" s="679">
        <v>1.9976211805571242E-2</v>
      </c>
      <c r="K30" s="679">
        <v>2.3871100942651314E-6</v>
      </c>
      <c r="L30" s="679">
        <v>0.21584256011806136</v>
      </c>
      <c r="M30" s="679">
        <v>1.9088054458999998E-2</v>
      </c>
      <c r="N30" s="679">
        <v>4.014365397459061</v>
      </c>
      <c r="O30" s="679">
        <v>1.2151471688251039</v>
      </c>
      <c r="P30" s="679">
        <v>0.20623115874493309</v>
      </c>
      <c r="Q30" s="679">
        <v>3.0019391919088831</v>
      </c>
      <c r="R30" s="679">
        <v>1.1921971414348419E-4</v>
      </c>
      <c r="S30" s="679">
        <v>1.0123069858360343</v>
      </c>
      <c r="T30" s="679">
        <v>0.15117804401857823</v>
      </c>
    </row>
    <row r="31" spans="2:20">
      <c r="B31" t="s">
        <v>2284</v>
      </c>
      <c r="D31" s="679">
        <f>C31-实际收入!G24</f>
        <v>0</v>
      </c>
      <c r="F31" t="s">
        <v>1847</v>
      </c>
      <c r="G31" s="679">
        <v>14.505608887976413</v>
      </c>
      <c r="H31" s="679">
        <v>2.9011217775952818</v>
      </c>
      <c r="I31" s="679">
        <v>17.945683185344574</v>
      </c>
      <c r="J31" s="679">
        <v>2.1261705770302082</v>
      </c>
      <c r="K31" s="679">
        <v>2.5407235846101862E-4</v>
      </c>
      <c r="L31" s="679">
        <v>22.973229612328527</v>
      </c>
      <c r="M31" s="679">
        <v>0.82460275609549993</v>
      </c>
      <c r="N31" s="679">
        <v>187.06917807533304</v>
      </c>
      <c r="O31" s="679">
        <v>9.505726671906201</v>
      </c>
      <c r="P31" s="679">
        <v>8.0200305923007118</v>
      </c>
      <c r="Q31" s="679">
        <v>76.115210655309994</v>
      </c>
      <c r="R31" s="679">
        <v>1.2689165036943281E-2</v>
      </c>
      <c r="S31" s="679">
        <v>110.9412782549861</v>
      </c>
      <c r="T31" s="679">
        <v>16.090653834358811</v>
      </c>
    </row>
    <row r="32" spans="2:20">
      <c r="B32" t="s">
        <v>2285</v>
      </c>
      <c r="C32">
        <v>3.6647671326999998</v>
      </c>
      <c r="D32" s="679">
        <f>C32-实际收入!G25</f>
        <v>0</v>
      </c>
      <c r="F32" t="s">
        <v>1848</v>
      </c>
      <c r="G32" s="679">
        <v>19.555513899266757</v>
      </c>
      <c r="H32" s="679">
        <v>3.9111027798533504</v>
      </c>
      <c r="I32" s="679">
        <v>24.193197243428543</v>
      </c>
      <c r="J32" s="679">
        <v>2.8663642176227597</v>
      </c>
      <c r="K32" s="679">
        <v>3.4252374896322349E-4</v>
      </c>
      <c r="L32" s="679">
        <v>30.971006764653616</v>
      </c>
      <c r="M32" s="679">
        <v>1.616195908933</v>
      </c>
      <c r="N32" s="679">
        <v>352.59399264232064</v>
      </c>
      <c r="O32" s="679">
        <v>87.674236067652174</v>
      </c>
      <c r="P32" s="679">
        <v>20.474856940073046</v>
      </c>
      <c r="Q32" s="679">
        <v>210.06919223598663</v>
      </c>
      <c r="R32" s="679">
        <v>1.7106703011668684E-2</v>
      </c>
      <c r="S32" s="679">
        <v>142.50769370332233</v>
      </c>
      <c r="T32" s="679">
        <v>21.692367906521575</v>
      </c>
    </row>
    <row r="33" spans="2:22">
      <c r="B33" t="s">
        <v>2284</v>
      </c>
      <c r="D33" s="679">
        <f>C33-实际收入!G26</f>
        <v>0</v>
      </c>
      <c r="F33" t="s">
        <v>1849</v>
      </c>
      <c r="G33" s="679">
        <v>0</v>
      </c>
      <c r="H33" s="679">
        <v>0</v>
      </c>
      <c r="I33" s="679">
        <v>0</v>
      </c>
      <c r="J33" s="679">
        <v>0</v>
      </c>
      <c r="K33" s="679">
        <v>0</v>
      </c>
      <c r="L33" s="679">
        <v>0</v>
      </c>
      <c r="M33" s="679">
        <v>4.3155237525000006E-3</v>
      </c>
      <c r="N33" s="679">
        <v>0.85878922674750002</v>
      </c>
      <c r="O33" s="679">
        <v>0</v>
      </c>
      <c r="P33" s="679">
        <v>0</v>
      </c>
      <c r="Q33" s="679">
        <v>-4.099747564875E-3</v>
      </c>
      <c r="R33" s="679">
        <v>0</v>
      </c>
      <c r="S33" s="679">
        <v>0.86288897431237499</v>
      </c>
      <c r="T33" s="679">
        <v>0</v>
      </c>
    </row>
    <row r="34" spans="2:22">
      <c r="B34" t="s">
        <v>282</v>
      </c>
      <c r="C34">
        <v>0</v>
      </c>
      <c r="D34" s="679">
        <f>C34-实际收入!G27</f>
        <v>0</v>
      </c>
      <c r="F34" t="s">
        <v>1874</v>
      </c>
      <c r="G34" s="679">
        <v>150.09303532984927</v>
      </c>
      <c r="H34" s="679">
        <v>30.018607065969842</v>
      </c>
      <c r="I34" s="679">
        <v>185.68831416576</v>
      </c>
      <c r="J34" s="679">
        <v>22</v>
      </c>
      <c r="K34" s="679">
        <v>2.628947999999999E-3</v>
      </c>
      <c r="L34" s="679">
        <v>237.70955017972989</v>
      </c>
      <c r="M34" s="679">
        <v>14.9264999102395</v>
      </c>
      <c r="N34" s="679">
        <v>3208.08303231739</v>
      </c>
      <c r="O34" s="679">
        <v>597.51180016925957</v>
      </c>
      <c r="P34" s="679">
        <v>155.34832102300001</v>
      </c>
      <c r="Q34" s="679">
        <v>1748.6803561452725</v>
      </c>
      <c r="R34" s="679">
        <v>0.13129785250000001</v>
      </c>
      <c r="S34" s="679">
        <v>1459.271378319618</v>
      </c>
      <c r="T34" s="679">
        <v>166.49387785731943</v>
      </c>
    </row>
    <row r="35" spans="2:22">
      <c r="B35" t="s">
        <v>2284</v>
      </c>
      <c r="C35">
        <v>0</v>
      </c>
      <c r="D35" s="679">
        <f>C35-实际收入!G28</f>
        <v>0</v>
      </c>
    </row>
    <row r="36" spans="2:22">
      <c r="B36" t="s">
        <v>155</v>
      </c>
      <c r="C36">
        <v>0</v>
      </c>
      <c r="D36" s="679">
        <f>C36-实际收入!G29</f>
        <v>0</v>
      </c>
      <c r="G36" s="1889">
        <f>G3-固定资产结构及折旧参数!C39</f>
        <v>0</v>
      </c>
      <c r="H36" s="1889">
        <f>H3-固定资产结构及折旧参数!D39</f>
        <v>0</v>
      </c>
      <c r="I36" s="1889">
        <f>I3-固定资产结构及折旧参数!E39</f>
        <v>0</v>
      </c>
      <c r="J36" s="1889">
        <f>J3-固定资产结构及折旧参数!F39</f>
        <v>2.3897167760473623</v>
      </c>
      <c r="K36" s="1889">
        <f ca="1">K3-固定资产结构及折旧参数!G39</f>
        <v>0</v>
      </c>
      <c r="L36" s="1889">
        <f ca="1">L3-固定资产结构及折旧参数!H39</f>
        <v>2.3897167760473614</v>
      </c>
      <c r="M36" s="1889">
        <f>M3-固定资产结构及折旧参数!I39</f>
        <v>0</v>
      </c>
      <c r="N36" s="1889">
        <f ca="1">N3-固定资产结构及折旧参数!J39</f>
        <v>2.3897167760474076</v>
      </c>
      <c r="O36" s="1889">
        <f ca="1">O3-固定资产结构及折旧参数!K39</f>
        <v>5.2182606900185391E-2</v>
      </c>
      <c r="P36" s="1889">
        <f ca="1">P3-固定资产结构及折旧参数!L39</f>
        <v>4.9274543822541261E-2</v>
      </c>
      <c r="Q36" s="1889">
        <f ca="1">Q3-固定资产结构及折旧参数!M39</f>
        <v>4.9274543822548367E-2</v>
      </c>
      <c r="R36" s="1889">
        <f>R3-固定资产结构及折旧参数!N39</f>
        <v>0</v>
      </c>
      <c r="S36" s="1889">
        <f ca="1">S3-固定资产结构及折旧参数!O39</f>
        <v>2.3404422322248593</v>
      </c>
      <c r="T36" s="1889">
        <f ca="1">T3-固定资产结构及折旧参数!P39</f>
        <v>0</v>
      </c>
      <c r="U36" s="1889"/>
      <c r="V36" s="1889"/>
    </row>
    <row r="37" spans="2:22">
      <c r="B37" t="s">
        <v>2284</v>
      </c>
      <c r="C37">
        <v>0</v>
      </c>
      <c r="D37" s="679">
        <f>C37-实际收入!G30</f>
        <v>0</v>
      </c>
      <c r="G37" s="1889">
        <f>G4-固定资产结构及折旧参数!C40</f>
        <v>0</v>
      </c>
      <c r="H37" s="1889">
        <f>H4-固定资产结构及折旧参数!D40</f>
        <v>0</v>
      </c>
      <c r="I37" s="1889">
        <f>I4-固定资产结构及折旧参数!E40</f>
        <v>0</v>
      </c>
      <c r="J37" s="1889">
        <f>J4-固定资产结构及折旧参数!F40</f>
        <v>0</v>
      </c>
      <c r="K37" s="1889">
        <f ca="1">K4-固定资产结构及折旧参数!G40</f>
        <v>0</v>
      </c>
      <c r="L37" s="1889">
        <f ca="1">L4-固定资产结构及折旧参数!H40</f>
        <v>0</v>
      </c>
      <c r="M37" s="1889">
        <f>M4-固定资产结构及折旧参数!I40</f>
        <v>0</v>
      </c>
      <c r="N37" s="1889">
        <f ca="1">N4-固定资产结构及折旧参数!J40</f>
        <v>0</v>
      </c>
      <c r="O37" s="1889">
        <f ca="1">O4-固定资产结构及折旧参数!K40</f>
        <v>0</v>
      </c>
      <c r="P37" s="1889">
        <f ca="1">P4-固定资产结构及折旧参数!L40</f>
        <v>0</v>
      </c>
      <c r="Q37" s="1889">
        <f ca="1">Q4-固定资产结构及折旧参数!M40</f>
        <v>0</v>
      </c>
      <c r="R37" s="1889">
        <f>R4-固定资产结构及折旧参数!N40</f>
        <v>0</v>
      </c>
      <c r="S37" s="1889">
        <f ca="1">S4-固定资产结构及折旧参数!O40</f>
        <v>0</v>
      </c>
      <c r="T37" s="1889">
        <f ca="1">T4-固定资产结构及折旧参数!P40</f>
        <v>0</v>
      </c>
      <c r="U37" s="1889"/>
      <c r="V37" s="1889"/>
    </row>
    <row r="38" spans="2:22">
      <c r="B38" t="s">
        <v>156</v>
      </c>
      <c r="C38">
        <v>0.68295651390000001</v>
      </c>
      <c r="D38" s="679">
        <f>C38-实际收入!G31</f>
        <v>0</v>
      </c>
      <c r="G38" s="1889">
        <f>G5-固定资产结构及折旧参数!C41</f>
        <v>0</v>
      </c>
      <c r="H38" s="1889">
        <f>H5-固定资产结构及折旧参数!D41</f>
        <v>0</v>
      </c>
      <c r="I38" s="1889">
        <f>I5-固定资产结构及折旧参数!E41</f>
        <v>0</v>
      </c>
      <c r="J38" s="1889">
        <f>J5-固定资产结构及折旧参数!F41</f>
        <v>0.56736023677023262</v>
      </c>
      <c r="K38" s="1889">
        <f ca="1">K5-固定资产结构及折旧参数!G41</f>
        <v>0</v>
      </c>
      <c r="L38" s="1889">
        <f ca="1">L5-固定资产结构及折旧参数!H41</f>
        <v>0.56736023677023262</v>
      </c>
      <c r="M38" s="1889">
        <f>M5-固定资产结构及折旧参数!I41</f>
        <v>0</v>
      </c>
      <c r="N38" s="1889">
        <f ca="1">N5-固定资产结构及折旧参数!J41</f>
        <v>0.56736023677023439</v>
      </c>
      <c r="O38" s="1889">
        <f ca="1">O5-固定资产结构及折旧参数!K41</f>
        <v>7.8066581081349895E-2</v>
      </c>
      <c r="P38" s="1889">
        <f ca="1">P5-固定资产结构及折旧参数!L41</f>
        <v>1.0421954866173255E-2</v>
      </c>
      <c r="Q38" s="1889">
        <f ca="1">Q5-固定资产结构及折旧参数!M41</f>
        <v>1.0421954866171035E-2</v>
      </c>
      <c r="R38" s="1889">
        <f>R5-固定资产结构及折旧参数!N41</f>
        <v>0</v>
      </c>
      <c r="S38" s="1889">
        <f ca="1">S5-固定资产结构及折旧参数!O41</f>
        <v>0.55693828190406691</v>
      </c>
      <c r="T38" s="1889">
        <f ca="1">T5-固定资产结构及折旧参数!P41</f>
        <v>0</v>
      </c>
      <c r="U38" s="1889"/>
      <c r="V38" s="1889"/>
    </row>
    <row r="39" spans="2:22">
      <c r="B39" t="s">
        <v>2284</v>
      </c>
      <c r="C39">
        <v>0</v>
      </c>
      <c r="D39" s="679">
        <f>C39-实际收入!G32</f>
        <v>0</v>
      </c>
      <c r="G39" s="1889">
        <f>G6-固定资产结构及折旧参数!C42</f>
        <v>0</v>
      </c>
      <c r="H39" s="1889">
        <f>H6-固定资产结构及折旧参数!D42</f>
        <v>0</v>
      </c>
      <c r="I39" s="1889">
        <f>I6-固定资产结构及折旧参数!E42</f>
        <v>0</v>
      </c>
      <c r="J39" s="1889">
        <f>J6-固定资产结构及折旧参数!F42</f>
        <v>0.55963160177382276</v>
      </c>
      <c r="K39" s="1889">
        <f ca="1">K6-固定资产结构及折旧参数!G42</f>
        <v>0</v>
      </c>
      <c r="L39" s="1889">
        <f ca="1">L6-固定资产结构及折旧参数!H42</f>
        <v>0.55963160177382232</v>
      </c>
      <c r="M39" s="1889">
        <f>M6-固定资产结构及折旧参数!I42</f>
        <v>0</v>
      </c>
      <c r="N39" s="1889">
        <f ca="1">N6-固定资产结构及折旧参数!J42</f>
        <v>0.55963160177383031</v>
      </c>
      <c r="O39" s="1889">
        <f ca="1">O6-固定资产结构及折旧参数!K42</f>
        <v>1.261572305802261E-3</v>
      </c>
      <c r="P39" s="1889">
        <f ca="1">P6-固定资产结构及折旧参数!L42</f>
        <v>1.2423733155663363E-2</v>
      </c>
      <c r="Q39" s="1889">
        <f ca="1">Q6-固定资产结构及折旧参数!M42</f>
        <v>1.2423733155664252E-2</v>
      </c>
      <c r="R39" s="1889">
        <f>R6-固定资产结构及折旧参数!N42</f>
        <v>0</v>
      </c>
      <c r="S39" s="1889">
        <f ca="1">S6-固定资产结构及折旧参数!O42</f>
        <v>0.54720786861817317</v>
      </c>
      <c r="T39" s="1889">
        <f ca="1">T6-固定资产结构及折旧参数!P42</f>
        <v>0</v>
      </c>
      <c r="U39" s="1889"/>
      <c r="V39" s="1889"/>
    </row>
    <row r="40" spans="2:22">
      <c r="B40" t="s">
        <v>925</v>
      </c>
      <c r="C40">
        <v>155.34832102300001</v>
      </c>
      <c r="D40" s="679">
        <f ca="1">C40-实际收入!G33</f>
        <v>0.49389870416183612</v>
      </c>
      <c r="G40" s="1889">
        <f>G7-固定资产结构及折旧参数!C43</f>
        <v>0</v>
      </c>
      <c r="H40" s="1889">
        <f>H7-固定资产结构及折旧参数!D43</f>
        <v>0</v>
      </c>
      <c r="I40" s="1889">
        <f>I7-固定资产结构及折旧参数!E43</f>
        <v>0</v>
      </c>
      <c r="J40" s="1889">
        <f>J7-固定资产结构及折旧参数!F43</f>
        <v>0.68194021836847662</v>
      </c>
      <c r="K40" s="1889">
        <f ca="1">K7-固定资产结构及折旧参数!G43</f>
        <v>0</v>
      </c>
      <c r="L40" s="1889">
        <f ca="1">L7-固定资产结构及折旧参数!H43</f>
        <v>0.68194021836847707</v>
      </c>
      <c r="M40" s="1889">
        <f>M7-固定资产结构及折旧参数!I43</f>
        <v>0</v>
      </c>
      <c r="N40" s="1889">
        <f ca="1">N7-固定资产结构及折旧参数!J43</f>
        <v>0.68194021836848151</v>
      </c>
      <c r="O40" s="1889">
        <f ca="1">O7-固定资产结构及折旧参数!K43</f>
        <v>4.0497647265156367E-3</v>
      </c>
      <c r="P40" s="1889">
        <f ca="1">P7-固定资产结构及折旧参数!L43</f>
        <v>1.4269594049163725E-2</v>
      </c>
      <c r="Q40" s="1889">
        <f ca="1">Q7-固定资产结构及折旧参数!M43</f>
        <v>1.4269594049164169E-2</v>
      </c>
      <c r="R40" s="1889">
        <f>R7-固定资产结构及折旧参数!N43</f>
        <v>0</v>
      </c>
      <c r="S40" s="1889">
        <f ca="1">S7-固定资产结构及折旧参数!O43</f>
        <v>0.66767062431932089</v>
      </c>
      <c r="T40" s="1889">
        <f ca="1">T7-固定资产结构及折旧参数!P43</f>
        <v>0</v>
      </c>
      <c r="U40" s="1889"/>
      <c r="V40" s="1889"/>
    </row>
    <row r="41" spans="2:22">
      <c r="B41" t="s">
        <v>911</v>
      </c>
      <c r="C41">
        <v>5.8107963300000005</v>
      </c>
      <c r="D41" s="679">
        <f>C41-实际收入!G34</f>
        <v>0</v>
      </c>
      <c r="G41" s="1889">
        <f>G8-固定资产结构及折旧参数!C44</f>
        <v>0</v>
      </c>
      <c r="H41" s="1889">
        <f>H8-固定资产结构及折旧参数!D44</f>
        <v>0</v>
      </c>
      <c r="I41" s="1889">
        <f>I8-固定资产结构及折旧参数!E44</f>
        <v>0</v>
      </c>
      <c r="J41" s="1889">
        <f>J8-固定资产结构及折旧参数!F44</f>
        <v>0.58078471913483043</v>
      </c>
      <c r="K41" s="1889">
        <f ca="1">K8-固定资产结构及折旧参数!G44</f>
        <v>0</v>
      </c>
      <c r="L41" s="1889">
        <f ca="1">L8-固定资产结构及折旧参数!H44</f>
        <v>0.58078471913483032</v>
      </c>
      <c r="M41" s="1889">
        <f>M8-固定资产结构及折旧参数!I44</f>
        <v>0</v>
      </c>
      <c r="N41" s="1889">
        <f ca="1">N8-固定资产结构及折旧参数!J44</f>
        <v>0.58078471913481167</v>
      </c>
      <c r="O41" s="1889">
        <f ca="1">O8-固定资产结构及折旧参数!K44</f>
        <v>9.9273599075719865E-3</v>
      </c>
      <c r="P41" s="1889">
        <f ca="1">P8-固定资产结构及折旧参数!L44</f>
        <v>1.2159261751540917E-2</v>
      </c>
      <c r="Q41" s="1889">
        <f ca="1">Q8-固定资产结构及折旧参数!M44</f>
        <v>1.2159261751548911E-2</v>
      </c>
      <c r="R41" s="1889">
        <f>R8-固定资产结构及折旧参数!N44</f>
        <v>0</v>
      </c>
      <c r="S41" s="1889">
        <f ca="1">S8-固定资产结构及折旧参数!O44</f>
        <v>0.56862545738326276</v>
      </c>
      <c r="T41" s="1889">
        <f ca="1">T8-固定资产结构及折旧参数!P44</f>
        <v>0</v>
      </c>
      <c r="U41" s="1889"/>
      <c r="V41" s="1889"/>
    </row>
    <row r="42" spans="2:22">
      <c r="B42" t="s">
        <v>2286</v>
      </c>
      <c r="C42">
        <v>63.982228000000006</v>
      </c>
      <c r="D42" s="679">
        <f>C42-实际收入!G35</f>
        <v>0</v>
      </c>
      <c r="G42" s="1889">
        <f>G9-固定资产结构及折旧参数!C45</f>
        <v>0</v>
      </c>
      <c r="H42" s="1889">
        <f>H9-固定资产结构及折旧参数!D45</f>
        <v>0</v>
      </c>
      <c r="I42" s="1889">
        <f>I9-固定资产结构及折旧参数!E45</f>
        <v>0</v>
      </c>
      <c r="J42" s="1889">
        <f>J9-固定资产结构及折旧参数!F45</f>
        <v>1.9171542617592503</v>
      </c>
      <c r="K42" s="1889">
        <f ca="1">K9-固定资产结构及折旧参数!G45</f>
        <v>0</v>
      </c>
      <c r="L42" s="1889">
        <f ca="1">L9-固定资产结构及折旧参数!H45</f>
        <v>1.9171542617592507</v>
      </c>
      <c r="M42" s="1889">
        <f>M9-固定资产结构及折旧参数!I45</f>
        <v>0</v>
      </c>
      <c r="N42" s="1889">
        <f ca="1">N9-固定资产结构及折旧参数!J45</f>
        <v>1.917154261759265</v>
      </c>
      <c r="O42" s="1889">
        <f ca="1">O9-固定资产结构及折旧参数!K45</f>
        <v>0.38953414046797263</v>
      </c>
      <c r="P42" s="1889">
        <f ca="1">P9-固定资产结构及折旧参数!L45</f>
        <v>4.5138305026037884E-2</v>
      </c>
      <c r="Q42" s="1889">
        <f ca="1">Q9-固定资产结构及折旧参数!M45</f>
        <v>4.5138305026029002E-2</v>
      </c>
      <c r="R42" s="1889">
        <f>R9-固定资产结构及折旧参数!N45</f>
        <v>0</v>
      </c>
      <c r="S42" s="1889">
        <f ca="1">S9-固定资产结构及折旧参数!O45</f>
        <v>1.872015956733236</v>
      </c>
      <c r="T42" s="1889">
        <f ca="1">T9-固定资产结构及折旧参数!P45</f>
        <v>0</v>
      </c>
      <c r="U42" s="1889"/>
      <c r="V42" s="1889"/>
    </row>
    <row r="43" spans="2:22">
      <c r="B43" t="s">
        <v>2287</v>
      </c>
      <c r="C43">
        <v>22.473800000000001</v>
      </c>
      <c r="D43" s="679">
        <f>C43-实际收入!G36</f>
        <v>0</v>
      </c>
      <c r="G43" s="1889">
        <f>G10-固定资产结构及折旧参数!C46</f>
        <v>0</v>
      </c>
      <c r="H43" s="1889">
        <f>H10-固定资产结构及折旧参数!D46</f>
        <v>0</v>
      </c>
      <c r="I43" s="1889">
        <f>I10-固定资产结构及折旧参数!E46</f>
        <v>0</v>
      </c>
      <c r="J43" s="1889">
        <f>J10-固定资产结构及折旧参数!F46</f>
        <v>0</v>
      </c>
      <c r="K43" s="1889">
        <f ca="1">K10-固定资产结构及折旧参数!G46</f>
        <v>0</v>
      </c>
      <c r="L43" s="1889">
        <f ca="1">L10-固定资产结构及折旧参数!H46</f>
        <v>0</v>
      </c>
      <c r="M43" s="1889">
        <f>M10-固定资产结构及折旧参数!I46</f>
        <v>0</v>
      </c>
      <c r="N43" s="1889">
        <f ca="1">N10-固定资产结构及折旧参数!J46</f>
        <v>0</v>
      </c>
      <c r="O43" s="1889">
        <f ca="1">O10-固定资产结构及折旧参数!K46</f>
        <v>0</v>
      </c>
      <c r="P43" s="1889">
        <f ca="1">P10-固定资产结构及折旧参数!L46</f>
        <v>0</v>
      </c>
      <c r="Q43" s="1889">
        <f ca="1">Q10-固定资产结构及折旧参数!M46</f>
        <v>0</v>
      </c>
      <c r="R43" s="1889">
        <f>R10-固定资产结构及折旧参数!N46</f>
        <v>0</v>
      </c>
      <c r="S43" s="1889">
        <f ca="1">S10-固定资产结构及折旧参数!O46</f>
        <v>0</v>
      </c>
      <c r="T43" s="1889">
        <f ca="1">T10-固定资产结构及折旧参数!P46</f>
        <v>0</v>
      </c>
      <c r="U43" s="1889"/>
      <c r="V43" s="1889"/>
    </row>
    <row r="44" spans="2:22">
      <c r="B44" t="s">
        <v>57</v>
      </c>
      <c r="C44">
        <v>1.9468000000000001</v>
      </c>
      <c r="D44" s="679">
        <f>C44-实际收入!G37</f>
        <v>0</v>
      </c>
      <c r="G44" s="1889">
        <f>G11-固定资产结构及折旧参数!C47</f>
        <v>0</v>
      </c>
      <c r="H44" s="1889">
        <f>H11-固定资产结构及折旧参数!D47</f>
        <v>0</v>
      </c>
      <c r="I44" s="1889">
        <f>I11-固定资产结构及折旧参数!E47</f>
        <v>0</v>
      </c>
      <c r="J44" s="1889">
        <f>J11-固定资产结构及折旧参数!F47</f>
        <v>5.7885191821838711E-3</v>
      </c>
      <c r="K44" s="1889">
        <f ca="1">K11-固定资产结构及折旧参数!G47</f>
        <v>0</v>
      </c>
      <c r="L44" s="1889">
        <f ca="1">L11-固定资产结构及折旧参数!H47</f>
        <v>5.7885191821838711E-3</v>
      </c>
      <c r="M44" s="1889">
        <f>M11-固定资产结构及折旧参数!I47</f>
        <v>0</v>
      </c>
      <c r="N44" s="1889">
        <f ca="1">N11-固定资产结构及折旧参数!J47</f>
        <v>5.788519182186036E-3</v>
      </c>
      <c r="O44" s="1889">
        <f ca="1">O11-固定资产结构及折旧参数!K47</f>
        <v>1.0797491465535103E-3</v>
      </c>
      <c r="P44" s="1889">
        <f ca="1">P11-固定资产结构及折旧参数!L47</f>
        <v>1.4149853957046155E-4</v>
      </c>
      <c r="Q44" s="1889">
        <f ca="1">Q11-固定资产结构及折旧参数!M47</f>
        <v>1.4149853957334813E-4</v>
      </c>
      <c r="R44" s="1889">
        <f>R11-固定资产结构及折旧参数!N47</f>
        <v>0</v>
      </c>
      <c r="S44" s="1889">
        <f ca="1">S11-固定资产结构及折旧参数!O47</f>
        <v>5.6470206426126879E-3</v>
      </c>
      <c r="T44" s="1889">
        <f ca="1">T11-固定资产结构及折旧参数!P47</f>
        <v>0</v>
      </c>
      <c r="U44" s="1889"/>
      <c r="V44" s="1889"/>
    </row>
    <row r="45" spans="2:22">
      <c r="G45" s="1889">
        <f>G12-固定资产结构及折旧参数!C48</f>
        <v>0</v>
      </c>
      <c r="H45" s="1889">
        <f>H12-固定资产结构及折旧参数!D48</f>
        <v>0</v>
      </c>
      <c r="I45" s="1889">
        <f>I12-固定资产结构及折旧参数!E48</f>
        <v>0</v>
      </c>
      <c r="J45" s="1889">
        <f>J12-固定资产结构及折旧参数!F48</f>
        <v>0.8250200338020417</v>
      </c>
      <c r="K45" s="1889">
        <f ca="1">K12-固定资产结构及折旧参数!G48</f>
        <v>0</v>
      </c>
      <c r="L45" s="1889">
        <f ca="1">L12-固定资产结构及折旧参数!H48</f>
        <v>0.82502003380204236</v>
      </c>
      <c r="M45" s="1889">
        <f>M12-固定资产结构及折旧参数!I48</f>
        <v>0</v>
      </c>
      <c r="N45" s="1889">
        <f ca="1">N12-固定资产结构及折旧参数!J48</f>
        <v>0.82502003380204769</v>
      </c>
      <c r="O45" s="1889">
        <f ca="1">O12-固定资产结构及折旧参数!K48</f>
        <v>0.17271496137429665</v>
      </c>
      <c r="P45" s="1889">
        <f ca="1">P12-固定资产结构及折旧参数!L48</f>
        <v>1.9079923368511054E-2</v>
      </c>
      <c r="Q45" s="1889">
        <f ca="1">Q12-固定资产结构及折旧参数!M48</f>
        <v>1.90799233685226E-2</v>
      </c>
      <c r="R45" s="1889">
        <f>R12-固定资产结构及折旧参数!N48</f>
        <v>0</v>
      </c>
      <c r="S45" s="1889">
        <f ca="1">S12-固定资产结构及折旧参数!O48</f>
        <v>0.80594011043352509</v>
      </c>
      <c r="T45" s="1889">
        <f ca="1">T12-固定资产结构及折旧参数!P48</f>
        <v>0</v>
      </c>
      <c r="U45" s="1889"/>
      <c r="V45" s="1889"/>
    </row>
    <row r="46" spans="2:22">
      <c r="C46">
        <v>37.559031691867403</v>
      </c>
      <c r="G46" s="1889">
        <f>G13-固定资产结构及折旧参数!C49</f>
        <v>0</v>
      </c>
      <c r="H46" s="1889">
        <f>H13-固定资产结构及折旧参数!D49</f>
        <v>0</v>
      </c>
      <c r="I46" s="1889">
        <f>I13-固定资产结构及折旧参数!E49</f>
        <v>0</v>
      </c>
      <c r="J46" s="1889">
        <f>J13-固定资产结构及折旧参数!F49</f>
        <v>0.70852817371830268</v>
      </c>
      <c r="K46" s="1889">
        <f ca="1">K13-固定资产结构及折旧参数!G49</f>
        <v>0</v>
      </c>
      <c r="L46" s="1889">
        <f ca="1">L13-固定资产结构及折旧参数!H49</f>
        <v>0.70852817371830223</v>
      </c>
      <c r="M46" s="1889">
        <f>M13-固定资产结构及折旧参数!I49</f>
        <v>0</v>
      </c>
      <c r="N46" s="1889">
        <f ca="1">N13-固定资产结构及折旧参数!J49</f>
        <v>0.70852817371829957</v>
      </c>
      <c r="O46" s="1889">
        <f ca="1">O13-固定资产结构及折旧参数!K49</f>
        <v>0.11760351545804681</v>
      </c>
      <c r="P46" s="1889">
        <f ca="1">P13-固定资产结构及折旧参数!L49</f>
        <v>1.7964109611110946E-2</v>
      </c>
      <c r="Q46" s="1889">
        <f ca="1">Q13-固定资产结构及折旧参数!M49</f>
        <v>1.7964109611110501E-2</v>
      </c>
      <c r="R46" s="1889">
        <f>R13-固定资产结构及折旧参数!N49</f>
        <v>0</v>
      </c>
      <c r="S46" s="1889">
        <f ca="1">S13-固定资产结构及折旧参数!O49</f>
        <v>0.69056406410718907</v>
      </c>
      <c r="T46" s="1889">
        <f ca="1">T13-固定资产结构及折旧参数!P49</f>
        <v>0</v>
      </c>
      <c r="U46" s="1889"/>
      <c r="V46" s="1889"/>
    </row>
    <row r="47" spans="2:22">
      <c r="G47" s="1889">
        <f>G14-固定资产结构及折旧参数!C50</f>
        <v>0</v>
      </c>
      <c r="H47" s="1889">
        <f>H14-固定资产结构及折旧参数!D50</f>
        <v>0</v>
      </c>
      <c r="I47" s="1889">
        <f>I14-固定资产结构及折旧参数!E50</f>
        <v>0</v>
      </c>
      <c r="J47" s="1889">
        <f>J14-固定资产结构及折旧参数!F50</f>
        <v>0.37781753505672183</v>
      </c>
      <c r="K47" s="1889">
        <f ca="1">K14-固定资产结构及折旧参数!G50</f>
        <v>0</v>
      </c>
      <c r="L47" s="1889">
        <f ca="1">L14-固定资产结构及折旧参数!H50</f>
        <v>0.377817535056721</v>
      </c>
      <c r="M47" s="1889">
        <f>M14-固定资产结构及折旧参数!I50</f>
        <v>0</v>
      </c>
      <c r="N47" s="1889">
        <f ca="1">N14-固定资产结构及折旧参数!J50</f>
        <v>0.377817535056721</v>
      </c>
      <c r="O47" s="1889">
        <f ca="1">O14-固定资产结构及折旧参数!K50</f>
        <v>0.11404395274007584</v>
      </c>
      <c r="P47" s="1889">
        <f ca="1">P14-固定资产结构及折旧参数!L50</f>
        <v>7.9527735068460892E-3</v>
      </c>
      <c r="Q47" s="1889">
        <f ca="1">Q14-固定资产结构及折旧参数!M50</f>
        <v>7.9527735068509742E-3</v>
      </c>
      <c r="R47" s="1889">
        <f>R14-固定资产结构及折旧参数!N50</f>
        <v>0</v>
      </c>
      <c r="S47" s="1889">
        <f ca="1">S14-固定资产结构及折旧参数!O50</f>
        <v>0.36986476154987002</v>
      </c>
      <c r="T47" s="1889">
        <f ca="1">T14-固定资产结构及折旧参数!P50</f>
        <v>0</v>
      </c>
      <c r="U47" s="1889"/>
      <c r="V47" s="1889"/>
    </row>
    <row r="48" spans="2:22">
      <c r="G48" s="1889">
        <f>G15-固定资产结构及折旧参数!C51</f>
        <v>0</v>
      </c>
      <c r="H48" s="1889">
        <f>H15-固定资产结构及折旧参数!D51</f>
        <v>0</v>
      </c>
      <c r="I48" s="1889">
        <f>I15-固定资产结构及折旧参数!E51</f>
        <v>0</v>
      </c>
      <c r="J48" s="1889">
        <f>J15-固定资产结构及折旧参数!F51</f>
        <v>9.3975595148048008</v>
      </c>
      <c r="K48" s="1889">
        <f ca="1">K15-固定资产结构及折旧参数!G51</f>
        <v>0</v>
      </c>
      <c r="L48" s="1889">
        <f ca="1">L15-固定资产结构及折旧参数!H51</f>
        <v>9.3975595148047972</v>
      </c>
      <c r="M48" s="1889">
        <f>M15-固定资产结构及折旧参数!I51</f>
        <v>0</v>
      </c>
      <c r="N48" s="1889">
        <f ca="1">N15-固定资产结构及折旧参数!J51</f>
        <v>9.3975595148046978</v>
      </c>
      <c r="O48" s="1889">
        <f ca="1">O15-固定资产结构及折旧参数!K51</f>
        <v>1.8660653221608072</v>
      </c>
      <c r="P48" s="1889">
        <f ca="1">P15-固定资产结构及折旧参数!L51</f>
        <v>0.24773064887837393</v>
      </c>
      <c r="Q48" s="1889">
        <f ca="1">Q15-固定资产结构及折旧参数!M51</f>
        <v>0.24773064887835972</v>
      </c>
      <c r="R48" s="1889">
        <f>R15-固定资产结构及折旧参数!N51</f>
        <v>0</v>
      </c>
      <c r="S48" s="1889">
        <f ca="1">S15-固定资产结构及折旧参数!O51</f>
        <v>9.149828865926338</v>
      </c>
      <c r="T48" s="1889">
        <f ca="1">T15-固定资产结构及折旧参数!P51</f>
        <v>0</v>
      </c>
      <c r="U48" s="1889"/>
      <c r="V48" s="1889"/>
    </row>
    <row r="49" spans="7:22">
      <c r="G49" s="1889">
        <f>G16-固定资产结构及折旧参数!C52</f>
        <v>0</v>
      </c>
      <c r="H49" s="1889">
        <f>H16-固定资产结构及折旧参数!D52</f>
        <v>0</v>
      </c>
      <c r="I49" s="1889">
        <f>I16-固定资产结构及折旧参数!E52</f>
        <v>0</v>
      </c>
      <c r="J49" s="1889">
        <f>J16-固定资产结构及折旧参数!F52</f>
        <v>8.4991355850438453</v>
      </c>
      <c r="K49" s="1889">
        <f ca="1">K16-固定资产结构及折旧参数!G52</f>
        <v>0</v>
      </c>
      <c r="L49" s="1889">
        <f ca="1">L16-固定资产结构及折旧参数!H52</f>
        <v>8.4991355850438453</v>
      </c>
      <c r="M49" s="1889">
        <f>M16-固定资产结构及折旧参数!I52</f>
        <v>0</v>
      </c>
      <c r="N49" s="1889">
        <f ca="1">N16-固定资产结构及折旧参数!J52</f>
        <v>8.4991355850438595</v>
      </c>
      <c r="O49" s="1889">
        <f ca="1">O16-固定资产结构及折旧参数!K52</f>
        <v>1.3783220724420175</v>
      </c>
      <c r="P49" s="1889">
        <f ca="1">P16-固定资产结构及折旧参数!L52</f>
        <v>0.22640774398668384</v>
      </c>
      <c r="Q49" s="1889">
        <f ca="1">Q16-固定资产结构及折旧参数!M52</f>
        <v>0.22640774398666963</v>
      </c>
      <c r="R49" s="1889">
        <f>R16-固定资产结构及折旧参数!N52</f>
        <v>0</v>
      </c>
      <c r="S49" s="1889">
        <f ca="1">S16-固定资产结构及折旧参数!O52</f>
        <v>8.2727278410571898</v>
      </c>
      <c r="T49" s="1889">
        <f ca="1">T16-固定资产结构及折旧参数!P52</f>
        <v>0</v>
      </c>
      <c r="U49" s="1889"/>
      <c r="V49" s="1889"/>
    </row>
    <row r="50" spans="7:22">
      <c r="G50" s="1889">
        <f>G17-固定资产结构及折旧参数!C53</f>
        <v>0</v>
      </c>
      <c r="H50" s="1889">
        <f>H17-固定资产结构及折旧参数!D53</f>
        <v>0</v>
      </c>
      <c r="I50" s="1889">
        <f>I17-固定资产结构及折旧参数!E53</f>
        <v>0</v>
      </c>
      <c r="J50" s="1889">
        <f>J17-固定资产结构及折旧参数!F53</f>
        <v>6.5418822225410054</v>
      </c>
      <c r="K50" s="1889">
        <f ca="1">K17-固定资产结构及折旧参数!G53</f>
        <v>0</v>
      </c>
      <c r="L50" s="1889">
        <f ca="1">L17-固定资产结构及折旧参数!H53</f>
        <v>6.5418822225410054</v>
      </c>
      <c r="M50" s="1889">
        <f>M17-固定资产结构及折旧参数!I53</f>
        <v>0</v>
      </c>
      <c r="N50" s="1889">
        <f ca="1">N17-固定资产结构及折旧参数!J53</f>
        <v>6.5418822225409485</v>
      </c>
      <c r="O50" s="1889">
        <f ca="1">O17-固定资产结构及折旧参数!K53</f>
        <v>0.78291913264622792</v>
      </c>
      <c r="P50" s="1889">
        <f ca="1">P17-固定资产结构及折旧参数!L53</f>
        <v>0.17939170025022477</v>
      </c>
      <c r="Q50" s="1889">
        <f ca="1">Q17-固定资产结构及折旧参数!M53</f>
        <v>0.17939170025022122</v>
      </c>
      <c r="R50" s="1889">
        <f>R17-固定资产结构及折旧参数!N53</f>
        <v>0</v>
      </c>
      <c r="S50" s="1889">
        <f ca="1">S17-固定资产结构及折旧参数!O53</f>
        <v>6.3624905222907273</v>
      </c>
      <c r="T50" s="1889">
        <f ca="1">T17-固定资产结构及折旧参数!P53</f>
        <v>0</v>
      </c>
      <c r="U50" s="1889"/>
      <c r="V50" s="1889"/>
    </row>
    <row r="51" spans="7:22">
      <c r="G51" s="1889">
        <f>G18-固定资产结构及折旧参数!C54</f>
        <v>0</v>
      </c>
      <c r="H51" s="1889">
        <f>H18-固定资产结构及折旧参数!D54</f>
        <v>0</v>
      </c>
      <c r="I51" s="1889">
        <f>I18-固定资产结构及折旧参数!E54</f>
        <v>0</v>
      </c>
      <c r="J51" s="1889">
        <f>J18-固定资产结构及折旧参数!F54</f>
        <v>1.9572533625028403</v>
      </c>
      <c r="K51" s="1889">
        <f ca="1">K18-固定资产结构及折旧参数!G54</f>
        <v>0</v>
      </c>
      <c r="L51" s="1889">
        <f ca="1">L18-固定资产结构及折旧参数!H54</f>
        <v>1.9572533625028399</v>
      </c>
      <c r="M51" s="1889">
        <f>M18-固定资产结构及折旧参数!I54</f>
        <v>0</v>
      </c>
      <c r="N51" s="1889">
        <f ca="1">N18-固定资产结构及折旧参数!J54</f>
        <v>1.9572533625027972</v>
      </c>
      <c r="O51" s="1889">
        <f ca="1">O18-固定资产结构及折旧参数!K54</f>
        <v>0.440606790359098</v>
      </c>
      <c r="P51" s="1889">
        <f ca="1">P18-固定资产结构及折旧参数!L54</f>
        <v>4.7016043736451962E-2</v>
      </c>
      <c r="Q51" s="1889">
        <f ca="1">Q18-固定资产结构及折旧参数!M54</f>
        <v>4.701604373644841E-2</v>
      </c>
      <c r="R51" s="1889">
        <f>R18-固定资产结构及折旧参数!N54</f>
        <v>0</v>
      </c>
      <c r="S51" s="1889">
        <f ca="1">S18-固定资产结构及折旧参数!O54</f>
        <v>1.9102373187663488</v>
      </c>
      <c r="T51" s="1889">
        <f ca="1">T18-固定资产结构及折旧参数!P54</f>
        <v>0</v>
      </c>
      <c r="U51" s="1889"/>
      <c r="V51" s="1889"/>
    </row>
    <row r="52" spans="7:22">
      <c r="G52" s="1889">
        <f>G19-固定资产结构及折旧参数!C55</f>
        <v>0</v>
      </c>
      <c r="H52" s="1889">
        <f>H19-固定资产结构及折旧参数!D55</f>
        <v>0</v>
      </c>
      <c r="I52" s="1889">
        <f>I19-固定资产结构及折旧参数!E55</f>
        <v>0</v>
      </c>
      <c r="J52" s="1889">
        <f>J19-固定资产结构及折旧参数!F55</f>
        <v>0.89842392976095486</v>
      </c>
      <c r="K52" s="1889">
        <f ca="1">K19-固定资产结构及折旧参数!G55</f>
        <v>0</v>
      </c>
      <c r="L52" s="1889">
        <f ca="1">L19-固定资产结构及折旧参数!H55</f>
        <v>0.89842392976095553</v>
      </c>
      <c r="M52" s="1889">
        <f>M19-固定资产结构及折旧参数!I55</f>
        <v>0</v>
      </c>
      <c r="N52" s="1889">
        <f ca="1">N19-固定资产结构及折旧参数!J55</f>
        <v>0.89842392976095198</v>
      </c>
      <c r="O52" s="1889">
        <f ca="1">O19-固定资产结构及折旧参数!K55</f>
        <v>0.23781849332226557</v>
      </c>
      <c r="P52" s="1889">
        <f ca="1">P19-固定资产结构及折旧参数!L55</f>
        <v>2.1322904891682981E-2</v>
      </c>
      <c r="Q52" s="1889">
        <f ca="1">Q19-固定资产结构及折旧参数!M55</f>
        <v>2.1322904891633243E-2</v>
      </c>
      <c r="R52" s="1889">
        <f>R19-固定资产结构及折旧参数!N55</f>
        <v>0</v>
      </c>
      <c r="S52" s="1889">
        <f ca="1">S19-固定资产结构及折旧参数!O55</f>
        <v>0.87710102486931873</v>
      </c>
      <c r="T52" s="1889">
        <f ca="1">T19-固定资产结构及折旧参数!P55</f>
        <v>0</v>
      </c>
      <c r="U52" s="1889"/>
      <c r="V52" s="1889"/>
    </row>
    <row r="53" spans="7:22">
      <c r="G53" s="1889">
        <f>G20-固定资产结构及折旧参数!C56</f>
        <v>0</v>
      </c>
      <c r="H53" s="1889">
        <f>H20-固定资产结构及折旧参数!D56</f>
        <v>0</v>
      </c>
      <c r="I53" s="1889">
        <f>I20-固定资产结构及折旧参数!E56</f>
        <v>0</v>
      </c>
      <c r="J53" s="1889">
        <f>J20-固定资产结构及折旧参数!F56</f>
        <v>0.64154513486541265</v>
      </c>
      <c r="K53" s="1889">
        <f ca="1">K20-固定资产结构及折旧参数!G56</f>
        <v>0</v>
      </c>
      <c r="L53" s="1889">
        <f ca="1">L20-固定资产结构及折旧参数!H56</f>
        <v>0.64154513486541287</v>
      </c>
      <c r="M53" s="1889">
        <f>M20-固定资产结构及折旧参数!I56</f>
        <v>0</v>
      </c>
      <c r="N53" s="1889">
        <f ca="1">N20-固定资产结构及折旧参数!J56</f>
        <v>0.64154513486539599</v>
      </c>
      <c r="O53" s="1889">
        <f ca="1">O20-固定资产结构及折旧参数!K56</f>
        <v>0.17035780943774625</v>
      </c>
      <c r="P53" s="1889">
        <f ca="1">P20-固定资产结构及折旧参数!L56</f>
        <v>1.4913078849783545E-2</v>
      </c>
      <c r="Q53" s="1889">
        <f ca="1">Q20-固定资产结构及折旧参数!M56</f>
        <v>1.4913078849758676E-2</v>
      </c>
      <c r="R53" s="1889">
        <f>R20-固定资产结构及折旧参数!N56</f>
        <v>0</v>
      </c>
      <c r="S53" s="1889">
        <f ca="1">S20-固定资产结构及折旧参数!O56</f>
        <v>0.62663205601563732</v>
      </c>
      <c r="T53" s="1889">
        <f ca="1">T20-固定资产结构及折旧参数!P56</f>
        <v>0</v>
      </c>
      <c r="U53" s="1889"/>
      <c r="V53" s="1889"/>
    </row>
    <row r="54" spans="7:22">
      <c r="G54" s="1889">
        <f>G21-固定资产结构及折旧参数!C57</f>
        <v>0</v>
      </c>
      <c r="H54" s="1889">
        <f>H21-固定资产结构及折旧参数!D57</f>
        <v>0</v>
      </c>
      <c r="I54" s="1889">
        <f>I21-固定资产结构及折旧参数!E57</f>
        <v>0</v>
      </c>
      <c r="J54" s="1889">
        <f>J21-固定资产结构及折旧参数!F57</f>
        <v>0.25687879489554222</v>
      </c>
      <c r="K54" s="1889">
        <f ca="1">K21-固定资产结构及折旧参数!G57</f>
        <v>0</v>
      </c>
      <c r="L54" s="1889">
        <f ca="1">L21-固定资产结构及折旧参数!H57</f>
        <v>0.25687879489554222</v>
      </c>
      <c r="M54" s="1889">
        <f>M21-固定资产结构及折旧参数!I57</f>
        <v>0</v>
      </c>
      <c r="N54" s="1889">
        <f ca="1">N21-固定资产结构及折旧参数!J57</f>
        <v>0.25687879489554177</v>
      </c>
      <c r="O54" s="1889">
        <f ca="1">O21-固定资产结构及折旧参数!K57</f>
        <v>6.5540704092500235E-2</v>
      </c>
      <c r="P54" s="1889">
        <f ca="1">P21-固定资产结构及折旧参数!L57</f>
        <v>6.4098260419021003E-3</v>
      </c>
      <c r="Q54" s="1889">
        <f ca="1">Q21-固定资产结构及折旧参数!M57</f>
        <v>6.4098260419029884E-3</v>
      </c>
      <c r="R54" s="1889">
        <f>R21-固定资产结构及折旧参数!N57</f>
        <v>0</v>
      </c>
      <c r="S54" s="1889">
        <f ca="1">S21-固定资产结构及折旧参数!O57</f>
        <v>0.25046896885363878</v>
      </c>
      <c r="T54" s="1889">
        <f ca="1">T21-固定资产结构及折旧参数!P57</f>
        <v>0</v>
      </c>
      <c r="U54" s="1889"/>
      <c r="V54" s="1889"/>
    </row>
    <row r="55" spans="7:22">
      <c r="G55" s="1889">
        <f>G22-固定资产结构及折旧参数!C58</f>
        <v>0</v>
      </c>
      <c r="H55" s="1889">
        <f>H22-固定资产结构及折旧参数!D58</f>
        <v>0</v>
      </c>
      <c r="I55" s="1889">
        <f>I22-固定资产结构及折旧参数!E58</f>
        <v>0</v>
      </c>
      <c r="J55" s="1889">
        <f>J22-固定资产结构及折旧参数!F58</f>
        <v>0.44431812499930412</v>
      </c>
      <c r="K55" s="1889">
        <f ca="1">K22-固定资产结构及折旧参数!G58</f>
        <v>0</v>
      </c>
      <c r="L55" s="1889">
        <f ca="1">L22-固定资产结构及折旧参数!H58</f>
        <v>0.44431812499930423</v>
      </c>
      <c r="M55" s="1889">
        <f>M22-固定资产结构及折旧参数!I58</f>
        <v>0</v>
      </c>
      <c r="N55" s="1889">
        <f ca="1">N22-固定资产结构及折旧参数!J58</f>
        <v>0.44431812499931311</v>
      </c>
      <c r="O55" s="1889">
        <f ca="1">O22-固定资产结构及折旧参数!K58</f>
        <v>0.10818940688066192</v>
      </c>
      <c r="P55" s="1889">
        <f ca="1">P22-固定资产结构及折旧参数!L58</f>
        <v>1.2823310596226101E-2</v>
      </c>
      <c r="Q55" s="1889">
        <f ca="1">Q22-固定资产结构及折旧参数!M58</f>
        <v>1.2823310596225213E-2</v>
      </c>
      <c r="R55" s="1889">
        <f>R22-固定资产结构及折旧参数!N58</f>
        <v>0</v>
      </c>
      <c r="S55" s="1889">
        <f ca="1">S22-固定资产结构及折旧参数!O58</f>
        <v>0.4314948144030879</v>
      </c>
      <c r="T55" s="1889">
        <f ca="1">T22-固定资产结构及折旧参数!P58</f>
        <v>0</v>
      </c>
      <c r="U55" s="1889"/>
      <c r="V55" s="1889"/>
    </row>
    <row r="56" spans="7:22">
      <c r="G56" s="1889">
        <f>G23-固定资产结构及折旧参数!C59</f>
        <v>0</v>
      </c>
      <c r="H56" s="1889">
        <f>H23-固定资产结构及折旧参数!D59</f>
        <v>0</v>
      </c>
      <c r="I56" s="1889">
        <f>I23-固定资产结构及折旧参数!E59</f>
        <v>0</v>
      </c>
      <c r="J56" s="1889">
        <f>J23-固定资产结构及折旧参数!F59</f>
        <v>0.58916430966242095</v>
      </c>
      <c r="K56" s="1889">
        <f ca="1">K23-固定资产结构及折旧参数!G59</f>
        <v>0</v>
      </c>
      <c r="L56" s="1889">
        <f ca="1">L23-固定资产结构及折旧参数!H59</f>
        <v>0.58916430966242128</v>
      </c>
      <c r="M56" s="1889">
        <f>M23-固定资产结构及折旧参数!I59</f>
        <v>0</v>
      </c>
      <c r="N56" s="1889">
        <f ca="1">N23-固定资产结构及折旧参数!J59</f>
        <v>0.58916430966242217</v>
      </c>
      <c r="O56" s="1889">
        <f ca="1">O23-固定资产结构及折旧参数!K59</f>
        <v>0.15299788878645337</v>
      </c>
      <c r="P56" s="1889">
        <f ca="1">P23-固定资产结构及折旧参数!L59</f>
        <v>2.1241304696659746E-2</v>
      </c>
      <c r="Q56" s="1889">
        <f ca="1">Q23-固定资产结构及折旧参数!M59</f>
        <v>2.1241304696662411E-2</v>
      </c>
      <c r="R56" s="1889">
        <f>R23-固定资产结构及折旧参数!N59</f>
        <v>0</v>
      </c>
      <c r="S56" s="1889">
        <f ca="1">S23-固定资产结构及折旧参数!O59</f>
        <v>0.56792300496575976</v>
      </c>
      <c r="T56" s="1889">
        <f ca="1">T23-固定资产结构及折旧参数!P59</f>
        <v>0</v>
      </c>
      <c r="U56" s="1889"/>
      <c r="V56" s="1889"/>
    </row>
    <row r="57" spans="7:22">
      <c r="G57" s="1889">
        <f>G24-固定资产结构及折旧参数!C60</f>
        <v>0</v>
      </c>
      <c r="H57" s="1889">
        <f>H24-固定资产结构及折旧参数!D60</f>
        <v>0</v>
      </c>
      <c r="I57" s="1889">
        <f>I24-固定资产结构及折旧参数!E60</f>
        <v>0</v>
      </c>
      <c r="J57" s="1889">
        <f>J24-固定资产结构及折旧参数!F60</f>
        <v>1.7446908600168409</v>
      </c>
      <c r="K57" s="1889">
        <f ca="1">K24-固定资产结构及折旧参数!G60</f>
        <v>0</v>
      </c>
      <c r="L57" s="1889">
        <f ca="1">L24-固定资产结构及折旧参数!H60</f>
        <v>1.744690860016842</v>
      </c>
      <c r="M57" s="1889">
        <f>M24-固定资产结构及折旧参数!I60</f>
        <v>0</v>
      </c>
      <c r="N57" s="1889">
        <f ca="1">N24-固定资产结构及折旧参数!J60</f>
        <v>1.7446908600168456</v>
      </c>
      <c r="O57" s="1889">
        <f ca="1">O24-固定资产结构及折旧参数!K60</f>
        <v>0.73830946431121447</v>
      </c>
      <c r="P57" s="1889">
        <f ca="1">P24-固定资产结构及折旧参数!L60</f>
        <v>4.1110680014573298E-2</v>
      </c>
      <c r="Q57" s="1889">
        <f ca="1">Q24-固定资产结构及折旧参数!M60</f>
        <v>4.1110680014568857E-2</v>
      </c>
      <c r="R57" s="1889">
        <f>R24-固定资产结构及折旧参数!N60</f>
        <v>0</v>
      </c>
      <c r="S57" s="1889">
        <f ca="1">S24-固定资产结构及折旧参数!O60</f>
        <v>1.7035801800022767</v>
      </c>
      <c r="T57" s="1889">
        <f ca="1">T24-固定资产结构及折旧参数!P60</f>
        <v>0</v>
      </c>
      <c r="U57" s="1889"/>
      <c r="V57" s="1889"/>
    </row>
    <row r="58" spans="7:22">
      <c r="G58" s="1889">
        <f>G25-固定资产结构及折旧参数!C61</f>
        <v>0</v>
      </c>
      <c r="H58" s="1889">
        <f>H25-固定资产结构及折旧参数!D61</f>
        <v>0</v>
      </c>
      <c r="I58" s="1889">
        <f>I25-固定资产结构及折旧参数!E61</f>
        <v>0</v>
      </c>
      <c r="J58" s="1889">
        <f>J25-固定资产结构及折旧参数!F61</f>
        <v>0.14097490761630316</v>
      </c>
      <c r="K58" s="1889">
        <f ca="1">K25-固定资产结构及折旧参数!G61</f>
        <v>0</v>
      </c>
      <c r="L58" s="1889">
        <f ca="1">L25-固定资产结构及折旧参数!H61</f>
        <v>0.14097490761630316</v>
      </c>
      <c r="M58" s="1889">
        <f>M25-固定资产结构及折旧参数!I61</f>
        <v>0</v>
      </c>
      <c r="N58" s="1889">
        <f ca="1">N25-固定资产结构及折旧参数!J61</f>
        <v>0.14097490761630027</v>
      </c>
      <c r="O58" s="1889">
        <f ca="1">O25-固定资产结构及折旧参数!K61</f>
        <v>8.7475106134863978E-2</v>
      </c>
      <c r="P58" s="1889">
        <f ca="1">P25-固定资产结构及折旧参数!L61</f>
        <v>2.1373170691835197E-3</v>
      </c>
      <c r="Q58" s="1889">
        <f ca="1">Q25-固定资产结构及折旧参数!M61</f>
        <v>2.1373170691845189E-3</v>
      </c>
      <c r="R58" s="1889">
        <f>R25-固定资产结构及折旧参数!N61</f>
        <v>0</v>
      </c>
      <c r="S58" s="1889">
        <f ca="1">S25-固定资产结构及折旧参数!O61</f>
        <v>0.13883759054711575</v>
      </c>
      <c r="T58" s="1889">
        <f ca="1">T25-固定资产结构及折旧参数!P61</f>
        <v>0</v>
      </c>
      <c r="U58" s="1889"/>
      <c r="V58" s="1889"/>
    </row>
    <row r="59" spans="7:22">
      <c r="G59" s="1889">
        <f>G26-固定资产结构及折旧参数!C62</f>
        <v>0</v>
      </c>
      <c r="H59" s="1889">
        <f>H26-固定资产结构及折旧参数!D62</f>
        <v>0</v>
      </c>
      <c r="I59" s="1889">
        <f>I26-固定资产结构及折旧参数!E62</f>
        <v>0</v>
      </c>
      <c r="J59" s="1889">
        <f>J26-固定资产结构及折旧参数!F62</f>
        <v>0</v>
      </c>
      <c r="K59" s="1889">
        <f ca="1">K26-固定资产结构及折旧参数!G62</f>
        <v>0</v>
      </c>
      <c r="L59" s="1889">
        <f ca="1">L26-固定资产结构及折旧参数!H62</f>
        <v>0</v>
      </c>
      <c r="M59" s="1889">
        <f>M26-固定资产结构及折旧参数!I62</f>
        <v>0</v>
      </c>
      <c r="N59" s="1889">
        <f ca="1">N26-固定资产结构及折旧参数!J62</f>
        <v>0</v>
      </c>
      <c r="O59" s="1889">
        <f ca="1">O26-固定资产结构及折旧参数!K62</f>
        <v>0</v>
      </c>
      <c r="P59" s="1889">
        <f ca="1">P26-固定资产结构及折旧参数!L62</f>
        <v>0</v>
      </c>
      <c r="Q59" s="1889">
        <f ca="1">Q26-固定资产结构及折旧参数!M62</f>
        <v>0</v>
      </c>
      <c r="R59" s="1889">
        <f>R26-固定资产结构及折旧参数!N62</f>
        <v>0</v>
      </c>
      <c r="S59" s="1889">
        <f ca="1">S26-固定资产结构及折旧参数!O62</f>
        <v>0</v>
      </c>
      <c r="T59" s="1889">
        <f ca="1">T26-固定资产结构及折旧参数!P62</f>
        <v>0</v>
      </c>
      <c r="U59" s="1889"/>
      <c r="V59" s="1889"/>
    </row>
    <row r="60" spans="7:22">
      <c r="G60" s="1889">
        <f>G27-固定资产结构及折旧参数!C63</f>
        <v>0</v>
      </c>
      <c r="H60" s="1889">
        <f>H27-固定资产结构及折旧参数!D63</f>
        <v>0</v>
      </c>
      <c r="I60" s="1889">
        <f>I27-固定资产结构及折旧参数!E63</f>
        <v>0</v>
      </c>
      <c r="J60" s="1889">
        <f>J27-固定资产结构及折旧参数!F63</f>
        <v>3.445073528604771E-2</v>
      </c>
      <c r="K60" s="1889">
        <f ca="1">K27-固定资产结构及折旧参数!G63</f>
        <v>0</v>
      </c>
      <c r="L60" s="1889">
        <f ca="1">L27-固定资产结构及折旧参数!H63</f>
        <v>3.4450735286047696E-2</v>
      </c>
      <c r="M60" s="1889">
        <f>M27-固定资产结构及折旧参数!I63</f>
        <v>0</v>
      </c>
      <c r="N60" s="1889">
        <f ca="1">N27-固定资产结构及折旧参数!J63</f>
        <v>3.4450735286047696E-2</v>
      </c>
      <c r="O60" s="1889">
        <f ca="1">O27-固定资产结构及折旧参数!K63</f>
        <v>9.486368686531188E-3</v>
      </c>
      <c r="P60" s="1889">
        <f ca="1">P27-固定资产结构及折旧参数!L63</f>
        <v>9.8359604402098455E-4</v>
      </c>
      <c r="Q60" s="1889">
        <f ca="1">Q27-固定资产结构及折旧参数!M63</f>
        <v>9.8359604402098455E-4</v>
      </c>
      <c r="R60" s="1889">
        <f>R27-固定资产结构及折旧参数!N63</f>
        <v>0</v>
      </c>
      <c r="S60" s="1889">
        <f ca="1">S27-固定资产结构及折旧参数!O63</f>
        <v>3.3467139242026711E-2</v>
      </c>
      <c r="T60" s="1889">
        <f ca="1">T27-固定资产结构及折旧参数!P63</f>
        <v>0</v>
      </c>
      <c r="U60" s="1889"/>
      <c r="V60" s="1889"/>
    </row>
    <row r="61" spans="7:22">
      <c r="G61" s="1889">
        <f>G28-固定资产结构及折旧参数!C64</f>
        <v>0</v>
      </c>
      <c r="H61" s="1889">
        <f>H28-固定资产结构及折旧参数!D64</f>
        <v>0</v>
      </c>
      <c r="I61" s="1889">
        <f>I28-固定资产结构及折旧参数!E64</f>
        <v>0</v>
      </c>
      <c r="J61" s="1889">
        <f>J28-固定资产结构及折旧参数!F64</f>
        <v>0.18082419301154695</v>
      </c>
      <c r="K61" s="1889">
        <f ca="1">K28-固定资产结构及折旧参数!G64</f>
        <v>0</v>
      </c>
      <c r="L61" s="1889">
        <f ca="1">L28-固定资产结构及折旧参数!H64</f>
        <v>0.18082419301154706</v>
      </c>
      <c r="M61" s="1889">
        <f>M28-固定资产结构及折旧参数!I64</f>
        <v>0</v>
      </c>
      <c r="N61" s="1889">
        <f ca="1">N28-固定资产结构及折旧参数!J64</f>
        <v>0.18082419301154928</v>
      </c>
      <c r="O61" s="1889">
        <f ca="1">O28-固定资产结构及折旧参数!K64</f>
        <v>7.4590982217321411E-2</v>
      </c>
      <c r="P61" s="1889">
        <f ca="1">P28-固定资产结构及折旧参数!L64</f>
        <v>4.6477029722472585E-3</v>
      </c>
      <c r="Q61" s="1889">
        <f ca="1">Q28-固定资产结构及折旧参数!M64</f>
        <v>4.6477029722478136E-3</v>
      </c>
      <c r="R61" s="1889">
        <f>R28-固定资产结构及折旧参数!N64</f>
        <v>0</v>
      </c>
      <c r="S61" s="1889">
        <f ca="1">S28-固定资产结构及折旧参数!O64</f>
        <v>0.17617649003930147</v>
      </c>
      <c r="T61" s="1889">
        <f ca="1">T28-固定资产结构及折旧参数!P64</f>
        <v>0</v>
      </c>
      <c r="U61" s="1889"/>
      <c r="V61" s="1889"/>
    </row>
    <row r="62" spans="7:22">
      <c r="G62" s="1889">
        <f>G29-固定资产结构及折旧参数!C65</f>
        <v>0</v>
      </c>
      <c r="H62" s="1889">
        <f>H29-固定资产结构及折旧参数!D65</f>
        <v>0</v>
      </c>
      <c r="I62" s="1889">
        <f>I29-固定资产结构及折旧参数!E65</f>
        <v>0</v>
      </c>
      <c r="J62" s="1889">
        <f>J29-固定资产结构及折旧参数!F65</f>
        <v>0.14863531033758459</v>
      </c>
      <c r="K62" s="1889">
        <f ca="1">K29-固定资产结构及折旧参数!G65</f>
        <v>0</v>
      </c>
      <c r="L62" s="1889">
        <f ca="1">L29-固定资产结构及折旧参数!H65</f>
        <v>0.14863531033758459</v>
      </c>
      <c r="M62" s="1889">
        <f>M29-固定资产结构及折旧参数!I65</f>
        <v>0</v>
      </c>
      <c r="N62" s="1889">
        <f ca="1">N29-固定资产结构及折旧参数!J65</f>
        <v>0.1486353103375837</v>
      </c>
      <c r="O62" s="1889">
        <f ca="1">O29-固定资产结构及折旧参数!K65</f>
        <v>6.3145558635200771E-2</v>
      </c>
      <c r="P62" s="1889">
        <f ca="1">P29-固定资产结构及折旧参数!L65</f>
        <v>3.5392757204785741E-3</v>
      </c>
      <c r="Q62" s="1889">
        <f ca="1">Q29-固定资产结构及折旧参数!M65</f>
        <v>3.5392757204792957E-3</v>
      </c>
      <c r="R62" s="1889">
        <f>R29-固定资产结构及折旧参数!N65</f>
        <v>0</v>
      </c>
      <c r="S62" s="1889">
        <f ca="1">S29-固定资产结构及折旧参数!O65</f>
        <v>0.14509603461710441</v>
      </c>
      <c r="T62" s="1889">
        <f ca="1">T29-固定资产结构及折旧参数!P65</f>
        <v>0</v>
      </c>
      <c r="U62" s="1889"/>
      <c r="V62" s="1889"/>
    </row>
    <row r="63" spans="7:22">
      <c r="G63" s="1889">
        <f>G30-固定资产结构及折旧参数!C66</f>
        <v>0</v>
      </c>
      <c r="H63" s="1889">
        <f>H30-固定资产结构及折旧参数!D66</f>
        <v>0</v>
      </c>
      <c r="I63" s="1889">
        <f>I30-固定资产结构及折旧参数!E66</f>
        <v>0</v>
      </c>
      <c r="J63" s="1889">
        <f>J30-固定资产结构及折旧参数!F66</f>
        <v>1.9976211805571242E-2</v>
      </c>
      <c r="K63" s="1889">
        <f ca="1">K30-固定资产结构及折旧参数!G66</f>
        <v>0</v>
      </c>
      <c r="L63" s="1889">
        <f ca="1">L30-固定资产结构及折旧参数!H66</f>
        <v>1.9976211805571242E-2</v>
      </c>
      <c r="M63" s="1889">
        <f>M30-固定资产结构及折旧参数!I66</f>
        <v>0</v>
      </c>
      <c r="N63" s="1889">
        <f ca="1">N30-固定资产结构及折旧参数!J66</f>
        <v>1.9976211805571076E-2</v>
      </c>
      <c r="O63" s="1889">
        <f ca="1">O30-固定资产结构及折旧参数!K66</f>
        <v>6.0467931580807655E-3</v>
      </c>
      <c r="P63" s="1889">
        <f ca="1">P30-固定资产结构及折旧参数!L66</f>
        <v>5.1608496088947908E-4</v>
      </c>
      <c r="Q63" s="1889">
        <f ca="1">Q30-固定资产结构及折旧参数!M66</f>
        <v>5.1608496088961786E-4</v>
      </c>
      <c r="R63" s="1889">
        <f>R30-固定资产结构及折旧参数!N66</f>
        <v>0</v>
      </c>
      <c r="S63" s="1889">
        <f ca="1">S30-固定资产结构及折旧参数!O66</f>
        <v>1.9460126844681458E-2</v>
      </c>
      <c r="T63" s="1889">
        <f ca="1">T30-固定资产结构及折旧参数!P66</f>
        <v>0</v>
      </c>
      <c r="U63" s="1889"/>
      <c r="V63" s="1889"/>
    </row>
    <row r="64" spans="7:22">
      <c r="G64" s="1889">
        <f>G31-固定资产结构及折旧参数!C67</f>
        <v>0</v>
      </c>
      <c r="H64" s="1889">
        <f>H31-固定资产结构及折旧参数!D67</f>
        <v>0</v>
      </c>
      <c r="I64" s="1889">
        <f>I31-固定资产结构及折旧参数!E67</f>
        <v>0</v>
      </c>
      <c r="J64" s="1889">
        <f>J31-固定资产结构及折旧参数!F67</f>
        <v>2.1261705770302082</v>
      </c>
      <c r="K64" s="1889">
        <f ca="1">K31-固定资产结构及折旧参数!G67</f>
        <v>0</v>
      </c>
      <c r="L64" s="1889">
        <f ca="1">L31-固定资产结构及折旧参数!H67</f>
        <v>2.1261705770302086</v>
      </c>
      <c r="M64" s="1889">
        <f>M31-固定资产结构及折旧参数!I67</f>
        <v>0</v>
      </c>
      <c r="N64" s="1889">
        <f ca="1">N31-固定资产结构及折旧参数!J67</f>
        <v>2.1261705770302228</v>
      </c>
      <c r="O64" s="1889">
        <f ca="1">O31-固定资产结构及折旧参数!K67</f>
        <v>0.10803915733761116</v>
      </c>
      <c r="P64" s="1889">
        <f ca="1">P31-固定资产结构及折旧参数!L67</f>
        <v>4.8334247501637506E-2</v>
      </c>
      <c r="Q64" s="1889">
        <f ca="1">Q31-固定资产结构及折旧参数!M67</f>
        <v>4.8334247501642835E-2</v>
      </c>
      <c r="R64" s="1889">
        <f>R31-固定资产结构及折旧参数!N67</f>
        <v>0</v>
      </c>
      <c r="S64" s="1889">
        <f ca="1">S31-固定资产结构及折旧参数!O67</f>
        <v>2.07783632952858</v>
      </c>
      <c r="T64" s="1889">
        <f ca="1">T31-固定资产结构及折旧参数!P67</f>
        <v>0</v>
      </c>
      <c r="U64" s="1889"/>
      <c r="V64" s="1889"/>
    </row>
    <row r="65" spans="7:22">
      <c r="G65" s="1889">
        <f>G32-固定资产结构及折旧参数!C68</f>
        <v>0</v>
      </c>
      <c r="H65" s="1889">
        <f>H32-固定资产结构及折旧参数!D68</f>
        <v>0</v>
      </c>
      <c r="I65" s="1889">
        <f>I32-固定资产结构及折旧参数!E68</f>
        <v>0</v>
      </c>
      <c r="J65" s="1889">
        <f>J32-固定资产结构及折旧参数!F68</f>
        <v>2.8663642176227597</v>
      </c>
      <c r="K65" s="1889">
        <f ca="1">K32-固定资产结构及折旧参数!G68</f>
        <v>0</v>
      </c>
      <c r="L65" s="1889">
        <f ca="1">L32-固定资产结构及折旧参数!H68</f>
        <v>2.8663642176227597</v>
      </c>
      <c r="M65" s="1889">
        <f>M32-固定资产结构及折旧参数!I68</f>
        <v>-4.3155237524998835E-3</v>
      </c>
      <c r="N65" s="1889">
        <f ca="1">N32-固定资产结构及折旧参数!J68</f>
        <v>2.0075749908752982</v>
      </c>
      <c r="O65" s="1889">
        <f ca="1">O32-固定资产结构及折旧参数!K68</f>
        <v>0.73134604266546432</v>
      </c>
      <c r="P65" s="1889">
        <f ca="1">P32-固定资产结构及折旧参数!L68</f>
        <v>1.6421686858969053E-2</v>
      </c>
      <c r="Q65" s="1889">
        <f ca="1">Q32-固定资产结构及折旧参数!M68</f>
        <v>2.0521434423841356E-2</v>
      </c>
      <c r="R65" s="1889">
        <f>R32-固定资产结构及折旧参数!N68</f>
        <v>0</v>
      </c>
      <c r="S65" s="1889">
        <f ca="1">S32-固定资产结构及折旧参数!O68</f>
        <v>1.9870535564514569</v>
      </c>
      <c r="T65" s="1889">
        <f ca="1">T32-固定资产结构及折旧参数!P68</f>
        <v>0</v>
      </c>
      <c r="U65" s="1889"/>
      <c r="V65" s="1889"/>
    </row>
    <row r="66" spans="7:22">
      <c r="G66" s="1889">
        <f>G33-固定资产结构及折旧参数!C69</f>
        <v>0</v>
      </c>
      <c r="H66" s="1889">
        <f>H33-固定资产结构及折旧参数!D69</f>
        <v>0</v>
      </c>
      <c r="I66" s="1889">
        <f>I33-固定资产结构及折旧参数!E69</f>
        <v>0</v>
      </c>
      <c r="J66" s="1889">
        <f>J33-固定资产结构及折旧参数!F69</f>
        <v>0</v>
      </c>
      <c r="K66" s="1889">
        <f ca="1">K33-固定资产结构及折旧参数!G69</f>
        <v>0</v>
      </c>
      <c r="L66" s="1889">
        <f ca="1">L33-固定资产结构及折旧参数!H69</f>
        <v>0</v>
      </c>
      <c r="M66" s="1889">
        <f>M33-固定资产结构及折旧参数!I69</f>
        <v>4.3155237525000006E-3</v>
      </c>
      <c r="N66" s="1889">
        <f ca="1">N33-固定资产结构及折旧参数!J69</f>
        <v>0.85878922674750002</v>
      </c>
      <c r="O66" s="1889">
        <f ca="1">O33-固定资产结构及折旧参数!K69</f>
        <v>0</v>
      </c>
      <c r="P66" s="1889">
        <f ca="1">P33-固定资产结构及折旧参数!L69</f>
        <v>0</v>
      </c>
      <c r="Q66" s="1889">
        <f ca="1">Q33-固定资产结构及折旧参数!M69</f>
        <v>-4.099747564875E-3</v>
      </c>
      <c r="R66" s="1889">
        <f>R33-固定资产结构及折旧参数!N69</f>
        <v>0</v>
      </c>
      <c r="S66" s="1889">
        <f ca="1">S33-固定资产结构及折旧参数!O69</f>
        <v>0.86288897431237499</v>
      </c>
      <c r="T66" s="1889">
        <f ca="1">T33-固定资产结构及折旧参数!P69</f>
        <v>0</v>
      </c>
      <c r="U66" s="1889"/>
      <c r="V66" s="1889"/>
    </row>
    <row r="67" spans="7:22">
      <c r="G67" s="1889">
        <f>G34-固定资产结构及折旧参数!C70</f>
        <v>0</v>
      </c>
      <c r="H67" s="1889">
        <f>H34-固定资产结构及折旧参数!D70</f>
        <v>0</v>
      </c>
      <c r="I67" s="1889">
        <f>I34-固定资产结构及折旧参数!E70</f>
        <v>0</v>
      </c>
      <c r="J67" s="1889">
        <f>J34-固定资产结构及折旧参数!F70</f>
        <v>22</v>
      </c>
      <c r="K67" s="1889">
        <f ca="1">K34-固定资产结构及折旧参数!G70</f>
        <v>0</v>
      </c>
      <c r="L67" s="1889">
        <f ca="1">L34-固定资产结构及折旧参数!H70</f>
        <v>21.999999999999972</v>
      </c>
      <c r="M67" s="1889">
        <f>M34-固定资产结构及折旧参数!I70</f>
        <v>0</v>
      </c>
      <c r="N67" s="1889">
        <f ca="1">N34-固定资产结构及折旧参数!J70</f>
        <v>21.999999999999545</v>
      </c>
      <c r="O67" s="1889">
        <f ca="1">O34-固定资产结构及折旧参数!K70</f>
        <v>4.3874088383422531</v>
      </c>
      <c r="P67" s="1889">
        <f ca="1">P34-固定资产结构及折旧参数!L70</f>
        <v>0.49389870416183612</v>
      </c>
      <c r="Q67" s="1889">
        <f ca="1">Q34-固定资产结构及折旧参数!M70</f>
        <v>0.49389870416189297</v>
      </c>
      <c r="R67" s="1889">
        <f>R34-固定资产结构及折旧参数!N70</f>
        <v>0</v>
      </c>
      <c r="S67" s="1889">
        <f ca="1">S34-固定资产结构及折旧参数!O70</f>
        <v>21.506101295838562</v>
      </c>
      <c r="T67" s="1889">
        <f ca="1">T34-固定资产结构及折旧参数!P70</f>
        <v>0</v>
      </c>
      <c r="U67" s="1889"/>
      <c r="V67" s="1889"/>
    </row>
    <row r="68" spans="7:22">
      <c r="G68" s="1889"/>
    </row>
    <row r="69" spans="7:22">
      <c r="G69" s="1889"/>
    </row>
    <row r="70" spans="7:22">
      <c r="G70" s="1889"/>
    </row>
    <row r="71" spans="7:22">
      <c r="G71" s="1889"/>
    </row>
    <row r="72" spans="7:22">
      <c r="G72" s="1889"/>
    </row>
    <row r="73" spans="7:22">
      <c r="G73" s="1889"/>
    </row>
    <row r="74" spans="7:22">
      <c r="G74" s="1889"/>
    </row>
    <row r="75" spans="7:22">
      <c r="G75" s="1889"/>
    </row>
    <row r="76" spans="7:22">
      <c r="G76" s="1889"/>
    </row>
    <row r="77" spans="7:22">
      <c r="G77" s="1889"/>
    </row>
    <row r="78" spans="7:22">
      <c r="G78" s="1889"/>
    </row>
    <row r="79" spans="7:22">
      <c r="G79" s="1889"/>
    </row>
    <row r="80" spans="7:22">
      <c r="G80" s="1889"/>
    </row>
    <row r="81" spans="7:7">
      <c r="G81" s="1889"/>
    </row>
    <row r="82" spans="7:7">
      <c r="G82" s="1889"/>
    </row>
    <row r="83" spans="7:7">
      <c r="G83" s="1889"/>
    </row>
    <row r="84" spans="7:7">
      <c r="G84" s="1889"/>
    </row>
    <row r="85" spans="7:7">
      <c r="G85" s="1889"/>
    </row>
    <row r="86" spans="7:7">
      <c r="G86" s="1889"/>
    </row>
    <row r="87" spans="7:7">
      <c r="G87" s="1889"/>
    </row>
    <row r="88" spans="7:7">
      <c r="G88" s="1889"/>
    </row>
    <row r="89" spans="7:7">
      <c r="G89" s="1889"/>
    </row>
    <row r="90" spans="7:7">
      <c r="G90" s="1889"/>
    </row>
    <row r="91" spans="7:7">
      <c r="G91" s="1889"/>
    </row>
    <row r="92" spans="7:7">
      <c r="G92" s="1889"/>
    </row>
    <row r="93" spans="7:7">
      <c r="G93" s="1889"/>
    </row>
    <row r="94" spans="7:7">
      <c r="G94" s="1889"/>
    </row>
    <row r="95" spans="7:7">
      <c r="G95" s="1889"/>
    </row>
    <row r="96" spans="7:7">
      <c r="G96" s="1889"/>
    </row>
    <row r="97" spans="7:7">
      <c r="G97" s="1889"/>
    </row>
    <row r="98" spans="7:7">
      <c r="G98" s="1889">
        <f>G65-固定资产结构及折旧参数!C101</f>
        <v>-0.14446307637034395</v>
      </c>
    </row>
    <row r="99" spans="7:7">
      <c r="G99" s="1889">
        <f>G66-固定资产结构及折旧参数!C102</f>
        <v>-15.375945421254999</v>
      </c>
    </row>
    <row r="100" spans="7:7">
      <c r="G100" s="1889">
        <f>G67-固定资产结构及折旧参数!C103</f>
        <v>-20.728844733222765</v>
      </c>
    </row>
    <row r="101" spans="7:7">
      <c r="G101" s="1889">
        <f>G68-固定资产结构及折旧参数!C104</f>
        <v>0</v>
      </c>
    </row>
    <row r="102" spans="7:7">
      <c r="G102" s="1889">
        <f>G69-固定资产结构及折旧参数!C105</f>
        <v>-159.09861744964024</v>
      </c>
    </row>
    <row r="103" spans="7:7">
      <c r="G103" s="1889">
        <f>G70-固定资产结构及折旧参数!C106</f>
        <v>0</v>
      </c>
    </row>
    <row r="104" spans="7:7">
      <c r="G104" s="1889">
        <f>G71-固定资产结构及折旧参数!C107</f>
        <v>0</v>
      </c>
    </row>
    <row r="105" spans="7:7">
      <c r="G105" s="1889" t="e">
        <f>G72-固定资产结构及折旧参数!C108</f>
        <v>#VALUE!</v>
      </c>
    </row>
    <row r="106" spans="7:7">
      <c r="G106" s="1889">
        <f>G73-固定资产结构及折旧参数!C109</f>
        <v>-18.318757876148535</v>
      </c>
    </row>
    <row r="107" spans="7:7">
      <c r="G107" s="1889">
        <f>G74-固定资产结构及折旧参数!C110</f>
        <v>0</v>
      </c>
    </row>
    <row r="108" spans="7:7">
      <c r="G108" s="1889">
        <f>G75-固定资产结构及折旧参数!C111</f>
        <v>-4.349191046454874</v>
      </c>
    </row>
    <row r="109" spans="7:7">
      <c r="G109" s="1889">
        <f>G76-固定资产结构及折旧参数!C112</f>
        <v>-4.289945953215609</v>
      </c>
    </row>
    <row r="110" spans="7:7">
      <c r="G110" s="1889">
        <f>G77-固定资产结构及折旧参数!C113</f>
        <v>-5.2275223036942826</v>
      </c>
    </row>
    <row r="111" spans="7:7">
      <c r="G111" s="1889">
        <f>G78-固定资产结构及折旧参数!C114</f>
        <v>-4.4520985727837674</v>
      </c>
    </row>
    <row r="112" spans="7:7">
      <c r="G112" s="1889">
        <f>G79-固定资产结构及折旧参数!C115</f>
        <v>-14.696254001481698</v>
      </c>
    </row>
    <row r="113" spans="7:7">
      <c r="G113" s="1889">
        <f>G80-固定资产结构及折旧参数!C116</f>
        <v>0</v>
      </c>
    </row>
    <row r="114" spans="7:7">
      <c r="G114" s="1889">
        <f>G81-固定资产结构及折旧参数!C117</f>
        <v>-4.4372823768370304E-2</v>
      </c>
    </row>
    <row r="115" spans="7:7">
      <c r="G115" s="1889">
        <f>G82-固定资产结构及折旧参数!C118</f>
        <v>-6.3243236159513598</v>
      </c>
    </row>
    <row r="116" spans="7:7">
      <c r="G116" s="1889">
        <f>G83-固定资产结构及折旧参数!C119</f>
        <v>-5.431336547021024</v>
      </c>
    </row>
    <row r="117" spans="7:7">
      <c r="G117" s="1889">
        <f>G84-固定资产结构及折旧参数!C120</f>
        <v>-2.8962210147409437</v>
      </c>
    </row>
    <row r="118" spans="7:7">
      <c r="G118" s="1889">
        <f>G85-固定资产结构及折旧参数!C121</f>
        <v>-72.038502262660231</v>
      </c>
    </row>
    <row r="119" spans="7:7">
      <c r="G119" s="1889">
        <f>G86-固定资产结构及折旧参数!C122</f>
        <v>-65.151489289243912</v>
      </c>
    </row>
    <row r="120" spans="7:7">
      <c r="G120" s="1889">
        <f>G87-固定资产结构及折旧参数!C123</f>
        <v>-50.147849188733318</v>
      </c>
    </row>
    <row r="121" spans="7:7">
      <c r="G121" s="1889">
        <f>G88-固定资产结构及折旧参数!C124</f>
        <v>-15.003640100510596</v>
      </c>
    </row>
    <row r="122" spans="7:7">
      <c r="G122" s="1889">
        <f>G89-固定资产结构及折旧参数!C125</f>
        <v>-6.8870129734163212</v>
      </c>
    </row>
    <row r="123" spans="7:7">
      <c r="G123" s="1889">
        <f>G90-固定资产结构及折旧参数!C126</f>
        <v>-4.9178673012703618</v>
      </c>
    </row>
    <row r="124" spans="7:7">
      <c r="G124" s="1889">
        <f>G91-固定资产结构及折旧参数!C127</f>
        <v>-1.9691456721459593</v>
      </c>
    </row>
    <row r="125" spans="7:7">
      <c r="G125" s="1889">
        <f>G92-固定资产结构及折旧参数!C128</f>
        <v>-3.4059919708599118</v>
      </c>
    </row>
    <row r="126" spans="7:7">
      <c r="G126" s="1889">
        <f>G93-固定资产结构及折旧参数!C129</f>
        <v>-4.5163336702291215</v>
      </c>
    </row>
    <row r="127" spans="7:7">
      <c r="G127" s="1889">
        <f>G94-固定资产结构及折旧参数!C130</f>
        <v>-13.374208087638428</v>
      </c>
    </row>
    <row r="128" spans="7:7">
      <c r="G128" s="1889">
        <f>G95-固定资产结构及折旧参数!C131</f>
        <v>-1.080665803211603</v>
      </c>
    </row>
    <row r="129" spans="7:7">
      <c r="G129" s="1889">
        <f>G96-固定资产结构及折旧参数!C132</f>
        <v>0</v>
      </c>
    </row>
    <row r="130" spans="7:7">
      <c r="G130" s="1889">
        <f>G97-固定资产结构及折旧参数!C133</f>
        <v>-0.26408764615371594</v>
      </c>
    </row>
    <row r="131" spans="7:7">
      <c r="G131" s="1889">
        <f>G98-固定资产结构及折旧参数!C134</f>
        <v>-1.5305999789230285</v>
      </c>
    </row>
    <row r="132" spans="7:7">
      <c r="G132" s="1889">
        <f>G99-固定资产结构及折旧参数!C135</f>
        <v>-16.515333272238745</v>
      </c>
    </row>
    <row r="133" spans="7:7">
      <c r="G133" s="1889">
        <f>G100-固定资产结构及折旧参数!C136</f>
        <v>-20.88197559417533</v>
      </c>
    </row>
    <row r="134" spans="7:7">
      <c r="G134" s="1889">
        <f>G101-固定资产结构及折旧参数!C137</f>
        <v>-16.2985021465303</v>
      </c>
    </row>
    <row r="135" spans="7:7">
      <c r="G135" s="1889">
        <f>G102-固定资产结构及折旧参数!C138</f>
        <v>-181.07119286685636</v>
      </c>
    </row>
    <row r="136" spans="7:7">
      <c r="G136" s="1889">
        <f>G103-固定资产结构及折旧参数!C139</f>
        <v>0</v>
      </c>
    </row>
    <row r="137" spans="7:7">
      <c r="G137" s="1889">
        <f>G104-固定资产结构及折旧参数!C140</f>
        <v>-168.64453449661866</v>
      </c>
    </row>
    <row r="138" spans="7:7">
      <c r="G138" s="1889" t="e">
        <f>G105-固定资产结构及折旧参数!C141</f>
        <v>#VALUE!</v>
      </c>
    </row>
    <row r="139" spans="7:7">
      <c r="G139" s="1889">
        <f>G106-固定资产结构及折旧参数!C142</f>
        <v>-18.318757876148535</v>
      </c>
    </row>
    <row r="140" spans="7:7">
      <c r="G140" s="1889" t="e">
        <f>G107-固定资产结构及折旧参数!C143</f>
        <v>#VALUE!</v>
      </c>
    </row>
    <row r="141" spans="7:7">
      <c r="G141" s="1889">
        <f>G108-固定资产结构及折旧参数!C144</f>
        <v>-23.767074395172319</v>
      </c>
    </row>
    <row r="142" spans="7:7">
      <c r="G142" s="1889">
        <f>G109-固定资产结构及折旧参数!C145</f>
        <v>-4.289945953215609</v>
      </c>
    </row>
    <row r="143" spans="7:7">
      <c r="G143" s="1889">
        <f>G110-固定资产结构及折旧参数!C146</f>
        <v>-9.837664812936449</v>
      </c>
    </row>
    <row r="144" spans="7:7">
      <c r="G144" s="1889">
        <f>G111-固定资产结构及折旧参数!C147</f>
        <v>-8.9994412831923132</v>
      </c>
    </row>
    <row r="145" spans="7:7">
      <c r="G145" s="1889">
        <f>G112-固定资产结构及折旧参数!C148</f>
        <v>-20.237427643397638</v>
      </c>
    </row>
    <row r="146" spans="7:7">
      <c r="G146" s="1889">
        <f>G113-固定资产结构及折旧参数!C149</f>
        <v>-4.719224487150794</v>
      </c>
    </row>
    <row r="147" spans="7:7">
      <c r="G147" s="1889">
        <f>G114-固定资产结构及折旧参数!C150</f>
        <v>-15.622402065338971</v>
      </c>
    </row>
    <row r="148" spans="7:7">
      <c r="G148" s="1889">
        <f>G115-固定资产结构及折旧参数!C151</f>
        <v>-6.3243236159513598</v>
      </c>
    </row>
    <row r="149" spans="7:7">
      <c r="G149" s="1889">
        <f>G116-固定资产结构及折旧参数!C152</f>
        <v>-5.4783717402154961</v>
      </c>
    </row>
    <row r="150" spans="7:7">
      <c r="G150" s="1889">
        <f>G117-固定资产结构及折旧参数!C153</f>
        <v>-9.6000040476493851</v>
      </c>
    </row>
    <row r="151" spans="7:7">
      <c r="G151" s="1889">
        <f>G118-固定资产结构及折旧参数!C154</f>
        <v>-77.795719002502523</v>
      </c>
    </row>
  </sheetData>
  <phoneticPr fontId="20"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7">
    <tabColor theme="5" tint="0.59999389629810485"/>
  </sheetPr>
  <dimension ref="A1:O21"/>
  <sheetViews>
    <sheetView showGridLines="0" zoomScale="80" zoomScaleNormal="80" workbookViewId="0">
      <selection activeCell="B12" sqref="B12"/>
    </sheetView>
  </sheetViews>
  <sheetFormatPr defaultRowHeight="14.4"/>
  <cols>
    <col min="2" max="2" width="24" customWidth="1"/>
    <col min="3" max="3" width="16.33203125" customWidth="1"/>
    <col min="4" max="4" width="16.44140625" customWidth="1"/>
    <col min="5" max="5" width="15.109375" customWidth="1"/>
    <col min="6" max="6" width="14.109375" customWidth="1"/>
    <col min="7" max="7" width="13" customWidth="1"/>
    <col min="8" max="8" width="15" customWidth="1"/>
    <col min="9" max="10" width="12.77734375" customWidth="1"/>
    <col min="11" max="11" width="14.6640625" customWidth="1"/>
    <col min="12" max="15" width="15.33203125" customWidth="1"/>
  </cols>
  <sheetData>
    <row r="1" spans="1:15" ht="15" thickBot="1"/>
    <row r="2" spans="1:15">
      <c r="B2" s="2341" t="s">
        <v>2392</v>
      </c>
      <c r="C2" s="2339" t="s">
        <v>1607</v>
      </c>
      <c r="D2" s="2339" t="s">
        <v>2380</v>
      </c>
      <c r="E2" s="2339" t="s">
        <v>2381</v>
      </c>
      <c r="F2" s="2339" t="s">
        <v>2377</v>
      </c>
      <c r="G2" s="2340"/>
    </row>
    <row r="3" spans="1:15" ht="16.2">
      <c r="B3" s="534" t="s">
        <v>1205</v>
      </c>
      <c r="C3" s="537">
        <f>H10</f>
        <v>0</v>
      </c>
      <c r="D3" s="2168">
        <f ca="1">国资委考核指标!G9</f>
        <v>31.379227543914535</v>
      </c>
      <c r="E3" s="915">
        <f>国资委考核指标!G8</f>
        <v>30.636240490199999</v>
      </c>
      <c r="F3" s="915">
        <f ca="1">D3-C3</f>
        <v>31.379227543914535</v>
      </c>
      <c r="G3" s="570"/>
    </row>
    <row r="4" spans="1:15" ht="16.2">
      <c r="B4" s="534" t="s">
        <v>1438</v>
      </c>
      <c r="C4" s="2026">
        <f>I10</f>
        <v>0</v>
      </c>
      <c r="D4" s="2027">
        <f ca="1">国资委考核指标!G5</f>
        <v>0.30373616747300303</v>
      </c>
      <c r="E4" s="369">
        <f>国资委考核指标!G4</f>
        <v>0.28243178002711705</v>
      </c>
      <c r="F4" s="915">
        <f ca="1">D4-C4</f>
        <v>0.30373616747300303</v>
      </c>
      <c r="G4" s="570"/>
      <c r="J4" s="2368" t="s">
        <v>2407</v>
      </c>
    </row>
    <row r="5" spans="1:15" ht="16.2">
      <c r="B5" s="534" t="s">
        <v>1420</v>
      </c>
      <c r="C5" s="2365">
        <f>J10</f>
        <v>0</v>
      </c>
      <c r="D5" s="849">
        <f ca="1">国资委考核指标!G23</f>
        <v>-24.199425139865632</v>
      </c>
      <c r="E5" s="915">
        <f>国资委考核指标!G22</f>
        <v>-4.5323132180055232</v>
      </c>
      <c r="F5" s="915">
        <f ca="1">D5-C5</f>
        <v>-24.199425139865632</v>
      </c>
      <c r="G5" s="570"/>
    </row>
    <row r="6" spans="1:15" ht="16.8" thickBot="1">
      <c r="B6" s="1980" t="s">
        <v>2322</v>
      </c>
      <c r="C6" s="2366">
        <f>K10</f>
        <v>0</v>
      </c>
      <c r="D6" s="2338">
        <f ca="1">主要评级指标表!G6</f>
        <v>1.763944534300349E-2</v>
      </c>
      <c r="E6" s="908"/>
      <c r="F6" s="908">
        <f t="shared" ref="F6" ca="1" si="0">D6-C6</f>
        <v>1.763944534300349E-2</v>
      </c>
      <c r="G6" s="2157"/>
    </row>
    <row r="7" spans="1:15">
      <c r="D7" s="847" t="s">
        <v>2406</v>
      </c>
    </row>
    <row r="8" spans="1:15" ht="15" thickBot="1"/>
    <row r="9" spans="1:15" ht="31.8" customHeight="1">
      <c r="A9" s="2357" t="s">
        <v>2384</v>
      </c>
      <c r="B9" s="2358" t="s">
        <v>2383</v>
      </c>
      <c r="C9" s="2342" t="s">
        <v>2390</v>
      </c>
      <c r="D9" s="2342" t="s">
        <v>2390</v>
      </c>
      <c r="E9" s="2342" t="s">
        <v>2396</v>
      </c>
      <c r="F9" s="2362" t="s">
        <v>2405</v>
      </c>
      <c r="G9" s="2342" t="s">
        <v>2391</v>
      </c>
      <c r="H9" s="2342" t="s">
        <v>2397</v>
      </c>
      <c r="I9" s="2342" t="s">
        <v>2398</v>
      </c>
      <c r="J9" s="2342" t="s">
        <v>2399</v>
      </c>
      <c r="K9" s="2342" t="s">
        <v>2400</v>
      </c>
      <c r="L9" s="2342" t="s">
        <v>2401</v>
      </c>
      <c r="M9" s="2342" t="s">
        <v>2402</v>
      </c>
      <c r="N9" s="2342" t="s">
        <v>2403</v>
      </c>
      <c r="O9" s="2359" t="s">
        <v>2404</v>
      </c>
    </row>
    <row r="10" spans="1:15" ht="30.6" customHeight="1">
      <c r="A10" s="2343">
        <v>1</v>
      </c>
      <c r="B10" s="883" t="s">
        <v>2382</v>
      </c>
      <c r="C10" s="883" t="s">
        <v>2393</v>
      </c>
      <c r="D10" s="884" t="s">
        <v>1469</v>
      </c>
      <c r="E10" s="2360">
        <v>100</v>
      </c>
      <c r="F10" s="2363" t="b">
        <v>0</v>
      </c>
      <c r="G10" s="887">
        <v>65.677093414952878</v>
      </c>
      <c r="H10" s="2350"/>
      <c r="I10" s="2347"/>
      <c r="J10" s="2348"/>
      <c r="K10" s="2347"/>
      <c r="L10" s="2350"/>
      <c r="M10" s="2347"/>
      <c r="N10" s="2348"/>
      <c r="O10" s="2349"/>
    </row>
    <row r="11" spans="1:15" ht="30.6" customHeight="1">
      <c r="A11" s="2343">
        <v>2</v>
      </c>
      <c r="B11" s="883" t="s">
        <v>2385</v>
      </c>
      <c r="C11" s="883" t="s">
        <v>2219</v>
      </c>
      <c r="D11" s="884" t="s">
        <v>1469</v>
      </c>
      <c r="E11" s="2360">
        <v>-2</v>
      </c>
      <c r="F11" s="2363" t="b">
        <v>0</v>
      </c>
      <c r="G11" s="887">
        <v>1.2982627813001955</v>
      </c>
      <c r="H11" s="2351">
        <f>H10</f>
        <v>0</v>
      </c>
      <c r="I11" s="2351">
        <f t="shared" ref="I11:K13" si="1">I10</f>
        <v>0</v>
      </c>
      <c r="J11" s="2351">
        <f t="shared" si="1"/>
        <v>0</v>
      </c>
      <c r="K11" s="2351">
        <f t="shared" si="1"/>
        <v>0</v>
      </c>
      <c r="L11" s="2350"/>
      <c r="M11" s="2347"/>
      <c r="N11" s="2348"/>
      <c r="O11" s="2349"/>
    </row>
    <row r="12" spans="1:15" ht="30.6" customHeight="1">
      <c r="A12" s="2343">
        <v>3</v>
      </c>
      <c r="B12" s="883" t="s">
        <v>2386</v>
      </c>
      <c r="C12" s="883" t="s">
        <v>2394</v>
      </c>
      <c r="D12" s="884" t="s">
        <v>2388</v>
      </c>
      <c r="E12" s="2360">
        <v>100</v>
      </c>
      <c r="F12" s="2363" t="b">
        <v>0</v>
      </c>
      <c r="G12" s="887">
        <v>-101.93216944397602</v>
      </c>
      <c r="H12" s="2351">
        <f t="shared" ref="H12:H13" si="2">H11</f>
        <v>0</v>
      </c>
      <c r="I12" s="2351">
        <f t="shared" si="1"/>
        <v>0</v>
      </c>
      <c r="J12" s="2351">
        <f t="shared" si="1"/>
        <v>0</v>
      </c>
      <c r="K12" s="2351">
        <f t="shared" si="1"/>
        <v>0</v>
      </c>
      <c r="L12" s="2350"/>
      <c r="M12" s="2347"/>
      <c r="N12" s="2348"/>
      <c r="O12" s="2349"/>
    </row>
    <row r="13" spans="1:15" ht="30.6" customHeight="1" thickBot="1">
      <c r="A13" s="2344">
        <v>4</v>
      </c>
      <c r="B13" s="2345" t="s">
        <v>2387</v>
      </c>
      <c r="C13" s="2345" t="s">
        <v>2395</v>
      </c>
      <c r="D13" s="2042" t="s">
        <v>2389</v>
      </c>
      <c r="E13" s="2361">
        <v>-0.01</v>
      </c>
      <c r="F13" s="2364" t="b">
        <v>0</v>
      </c>
      <c r="G13" s="2346">
        <v>9.4081271823907855</v>
      </c>
      <c r="H13" s="2352">
        <f t="shared" si="2"/>
        <v>0</v>
      </c>
      <c r="I13" s="2352">
        <f t="shared" si="1"/>
        <v>0</v>
      </c>
      <c r="J13" s="2352">
        <f t="shared" si="1"/>
        <v>0</v>
      </c>
      <c r="K13" s="2352">
        <f t="shared" si="1"/>
        <v>0</v>
      </c>
      <c r="L13" s="2353"/>
      <c r="M13" s="2354"/>
      <c r="N13" s="2355"/>
      <c r="O13" s="2356"/>
    </row>
    <row r="14" spans="1:15" ht="19.8" customHeight="1">
      <c r="B14" s="884"/>
      <c r="C14" s="883"/>
      <c r="D14" s="883"/>
      <c r="E14" s="883"/>
      <c r="G14" s="883"/>
      <c r="H14" s="883"/>
      <c r="I14" s="883"/>
      <c r="J14" s="883"/>
      <c r="K14" s="883"/>
      <c r="L14" s="883"/>
    </row>
    <row r="15" spans="1:15" ht="19.8" customHeight="1">
      <c r="B15" s="883"/>
      <c r="C15" s="883"/>
      <c r="D15" s="883"/>
      <c r="E15" s="883"/>
      <c r="F15" s="883"/>
      <c r="G15" s="883"/>
      <c r="H15" s="883"/>
      <c r="I15" s="883"/>
      <c r="J15" s="883"/>
      <c r="K15" s="883"/>
      <c r="L15" s="883"/>
    </row>
    <row r="16" spans="1:15" ht="19.8" customHeight="1">
      <c r="B16" s="883"/>
      <c r="C16" s="883"/>
      <c r="D16" s="883"/>
      <c r="E16" s="883"/>
      <c r="F16" s="883"/>
      <c r="G16" s="883"/>
      <c r="H16" s="883"/>
      <c r="I16" s="883"/>
      <c r="J16" s="883"/>
      <c r="K16" s="883"/>
      <c r="L16" s="883"/>
    </row>
    <row r="17" spans="2:12" ht="15.6">
      <c r="B17" s="883"/>
      <c r="C17" s="883"/>
      <c r="D17" s="883"/>
      <c r="E17" s="883"/>
      <c r="F17" s="883"/>
      <c r="G17" s="883"/>
      <c r="H17" s="883"/>
      <c r="I17" s="883"/>
      <c r="J17" s="883"/>
      <c r="K17" s="883"/>
      <c r="L17" s="883"/>
    </row>
    <row r="18" spans="2:12" ht="15.6">
      <c r="B18" s="883"/>
      <c r="C18" s="883"/>
      <c r="D18" s="883"/>
      <c r="E18" s="883"/>
      <c r="F18" s="883"/>
      <c r="G18" s="883"/>
      <c r="H18" s="883"/>
      <c r="I18" s="883"/>
      <c r="J18" s="883"/>
      <c r="K18" s="883"/>
      <c r="L18" s="883"/>
    </row>
    <row r="19" spans="2:12" ht="15.6">
      <c r="B19" s="883"/>
      <c r="C19" s="883"/>
      <c r="D19" s="883"/>
      <c r="E19" s="883"/>
      <c r="F19" s="883"/>
      <c r="G19" s="883"/>
      <c r="H19" s="883"/>
      <c r="I19" s="883"/>
      <c r="J19" s="883"/>
      <c r="K19" s="883"/>
      <c r="L19" s="883"/>
    </row>
    <row r="20" spans="2:12" ht="15.6">
      <c r="B20" s="883"/>
      <c r="C20" s="883"/>
      <c r="D20" s="883"/>
      <c r="E20" s="883"/>
      <c r="F20" s="883"/>
      <c r="G20" s="883"/>
      <c r="H20" s="883"/>
      <c r="I20" s="883"/>
      <c r="J20" s="883"/>
      <c r="K20" s="883"/>
      <c r="L20" s="883"/>
    </row>
    <row r="21" spans="2:12" ht="15.6">
      <c r="B21" s="883"/>
      <c r="C21" s="883"/>
      <c r="D21" s="883"/>
      <c r="E21" s="883"/>
      <c r="F21" s="883"/>
      <c r="G21" s="883"/>
      <c r="H21" s="883"/>
      <c r="I21" s="883"/>
      <c r="J21" s="883"/>
      <c r="K21" s="883"/>
      <c r="L21" s="883"/>
    </row>
  </sheetData>
  <phoneticPr fontId="20" type="noConversion"/>
  <dataValidations count="2">
    <dataValidation type="list" allowBlank="1" showInputMessage="1" showErrorMessage="1" sqref="D10:D13" xr:uid="{00000000-0002-0000-0600-000000000000}">
      <formula1>"收入,成本,税金"</formula1>
    </dataValidation>
    <dataValidation type="list" allowBlank="1" showInputMessage="1" showErrorMessage="1" sqref="C10:C13" xr:uid="{00000000-0002-0000-0600-000001000000}">
      <formula1>"售电量,输配电价,营业成本,税率"</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5221" r:id="rId3" name="Button 5">
              <controlPr defaultSize="0" print="0" autoFill="0" autoPict="0" macro="[0]!经济活动分析表取原值">
                <anchor moveWithCells="1" sizeWithCells="1">
                  <from>
                    <xdr:col>8</xdr:col>
                    <xdr:colOff>38100</xdr:colOff>
                    <xdr:row>1</xdr:row>
                    <xdr:rowOff>83820</xdr:rowOff>
                  </from>
                  <to>
                    <xdr:col>8</xdr:col>
                    <xdr:colOff>868680</xdr:colOff>
                    <xdr:row>2</xdr:row>
                    <xdr:rowOff>160020</xdr:rowOff>
                  </to>
                </anchor>
              </controlPr>
            </control>
          </mc:Choice>
        </mc:AlternateContent>
        <mc:AlternateContent xmlns:mc="http://schemas.openxmlformats.org/markup-compatibility/2006">
          <mc:Choice Requires="x14">
            <control shapeId="265224" r:id="rId4" name="Check Box 8">
              <controlPr defaultSize="0" autoPict="0">
                <anchor moveWithCells="1">
                  <from>
                    <xdr:col>5</xdr:col>
                    <xdr:colOff>198120</xdr:colOff>
                    <xdr:row>8</xdr:row>
                    <xdr:rowOff>281940</xdr:rowOff>
                  </from>
                  <to>
                    <xdr:col>5</xdr:col>
                    <xdr:colOff>716280</xdr:colOff>
                    <xdr:row>10</xdr:row>
                    <xdr:rowOff>7620</xdr:rowOff>
                  </to>
                </anchor>
              </controlPr>
            </control>
          </mc:Choice>
        </mc:AlternateContent>
        <mc:AlternateContent xmlns:mc="http://schemas.openxmlformats.org/markup-compatibility/2006">
          <mc:Choice Requires="x14">
            <control shapeId="265225" r:id="rId5" name="Check Box 9">
              <controlPr defaultSize="0" autoPict="0">
                <anchor moveWithCells="1">
                  <from>
                    <xdr:col>5</xdr:col>
                    <xdr:colOff>190500</xdr:colOff>
                    <xdr:row>9</xdr:row>
                    <xdr:rowOff>327660</xdr:rowOff>
                  </from>
                  <to>
                    <xdr:col>5</xdr:col>
                    <xdr:colOff>708660</xdr:colOff>
                    <xdr:row>11</xdr:row>
                    <xdr:rowOff>60960</xdr:rowOff>
                  </to>
                </anchor>
              </controlPr>
            </control>
          </mc:Choice>
        </mc:AlternateContent>
        <mc:AlternateContent xmlns:mc="http://schemas.openxmlformats.org/markup-compatibility/2006">
          <mc:Choice Requires="x14">
            <control shapeId="265226" r:id="rId6" name="Check Box 10">
              <controlPr defaultSize="0" autoPict="0">
                <anchor moveWithCells="1">
                  <from>
                    <xdr:col>5</xdr:col>
                    <xdr:colOff>190500</xdr:colOff>
                    <xdr:row>10</xdr:row>
                    <xdr:rowOff>342900</xdr:rowOff>
                  </from>
                  <to>
                    <xdr:col>5</xdr:col>
                    <xdr:colOff>708660</xdr:colOff>
                    <xdr:row>12</xdr:row>
                    <xdr:rowOff>60960</xdr:rowOff>
                  </to>
                </anchor>
              </controlPr>
            </control>
          </mc:Choice>
        </mc:AlternateContent>
        <mc:AlternateContent xmlns:mc="http://schemas.openxmlformats.org/markup-compatibility/2006">
          <mc:Choice Requires="x14">
            <control shapeId="265227" r:id="rId7" name="Check Box 11">
              <controlPr defaultSize="0" autoPict="0">
                <anchor moveWithCells="1">
                  <from>
                    <xdr:col>5</xdr:col>
                    <xdr:colOff>190500</xdr:colOff>
                    <xdr:row>11</xdr:row>
                    <xdr:rowOff>274320</xdr:rowOff>
                  </from>
                  <to>
                    <xdr:col>5</xdr:col>
                    <xdr:colOff>708660</xdr:colOff>
                    <xdr:row>13</xdr:row>
                    <xdr:rowOff>0</xdr:rowOff>
                  </to>
                </anchor>
              </controlPr>
            </control>
          </mc:Choice>
        </mc:AlternateContent>
        <mc:AlternateContent xmlns:mc="http://schemas.openxmlformats.org/markup-compatibility/2006">
          <mc:Choice Requires="x14">
            <control shapeId="265228" r:id="rId8" name="Button 12">
              <controlPr defaultSize="0" print="0" autoFill="0" autoPict="0" macro="[0]!经济活动分析表清空">
                <anchor moveWithCells="1" sizeWithCells="1">
                  <from>
                    <xdr:col>8</xdr:col>
                    <xdr:colOff>38100</xdr:colOff>
                    <xdr:row>5</xdr:row>
                    <xdr:rowOff>22860</xdr:rowOff>
                  </from>
                  <to>
                    <xdr:col>8</xdr:col>
                    <xdr:colOff>868680</xdr:colOff>
                    <xdr:row>6</xdr:row>
                    <xdr:rowOff>83820</xdr:rowOff>
                  </to>
                </anchor>
              </controlPr>
            </control>
          </mc:Choice>
        </mc:AlternateContent>
        <mc:AlternateContent xmlns:mc="http://schemas.openxmlformats.org/markup-compatibility/2006">
          <mc:Choice Requires="x14">
            <control shapeId="265229" r:id="rId9" name="Button 13">
              <controlPr defaultSize="0" print="0" autoFill="0" autoPict="0" macro="[0]!经济活动分析表变动测算">
                <anchor moveWithCells="1" sizeWithCells="1">
                  <from>
                    <xdr:col>8</xdr:col>
                    <xdr:colOff>38100</xdr:colOff>
                    <xdr:row>3</xdr:row>
                    <xdr:rowOff>68580</xdr:rowOff>
                  </from>
                  <to>
                    <xdr:col>8</xdr:col>
                    <xdr:colOff>868680</xdr:colOff>
                    <xdr:row>4</xdr:row>
                    <xdr:rowOff>129540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0">
    <tabColor theme="5" tint="0.59999389629810485"/>
  </sheetPr>
  <dimension ref="A1:AB23"/>
  <sheetViews>
    <sheetView showGridLines="0" zoomScale="85" zoomScaleNormal="85" workbookViewId="0">
      <selection activeCell="G16" sqref="G16"/>
    </sheetView>
  </sheetViews>
  <sheetFormatPr defaultRowHeight="14.4"/>
  <cols>
    <col min="1" max="1" width="2.77734375" customWidth="1"/>
    <col min="2" max="2" width="10.77734375" customWidth="1"/>
    <col min="3" max="3" width="14.44140625" customWidth="1"/>
    <col min="4" max="4" width="23.77734375" customWidth="1"/>
    <col min="5" max="5" width="14.88671875" customWidth="1"/>
    <col min="6" max="6" width="12.33203125" customWidth="1"/>
    <col min="7" max="8" width="13.44140625" customWidth="1"/>
    <col min="9" max="10" width="12.88671875" customWidth="1"/>
    <col min="11" max="11" width="12.44140625" customWidth="1"/>
    <col min="12" max="12" width="12.44140625" style="828" customWidth="1"/>
    <col min="13" max="15" width="12.44140625" customWidth="1"/>
    <col min="16" max="16" width="12.44140625" style="828" customWidth="1"/>
    <col min="17" max="18" width="13.21875" customWidth="1"/>
    <col min="19" max="19" width="10.44140625" customWidth="1"/>
    <col min="20" max="20" width="10.44140625" style="828" customWidth="1"/>
    <col min="21" max="23" width="15" customWidth="1"/>
    <col min="24" max="24" width="15" style="828" customWidth="1"/>
    <col min="25" max="27" width="15" customWidth="1"/>
    <col min="28" max="28" width="16.88671875" customWidth="1"/>
  </cols>
  <sheetData>
    <row r="1" spans="1:28" ht="12" customHeight="1"/>
    <row r="2" spans="1:28" ht="68.400000000000006" customHeight="1">
      <c r="H2" s="716">
        <f>COUNTA(M14:M22)+1</f>
        <v>1</v>
      </c>
      <c r="I2" s="686"/>
      <c r="J2" s="2426" t="s">
        <v>1642</v>
      </c>
      <c r="K2" s="2426"/>
      <c r="L2" s="2427"/>
      <c r="M2" s="2426"/>
      <c r="N2" s="2426"/>
      <c r="O2" s="2426"/>
      <c r="P2" s="2427"/>
      <c r="Q2" s="2426"/>
      <c r="R2" s="2426"/>
      <c r="S2" s="2426"/>
      <c r="T2" s="2427"/>
      <c r="U2" s="2426"/>
      <c r="V2" s="2426"/>
      <c r="W2" s="2426"/>
      <c r="X2" s="2427"/>
      <c r="Y2" s="2428"/>
      <c r="Z2" s="2428"/>
      <c r="AA2" s="2428"/>
    </row>
    <row r="3" spans="1:28">
      <c r="B3" s="2437" t="s">
        <v>1617</v>
      </c>
      <c r="C3" s="2437" t="s">
        <v>1616</v>
      </c>
      <c r="D3" s="2437" t="s">
        <v>1615</v>
      </c>
      <c r="E3" s="2437" t="s">
        <v>1611</v>
      </c>
      <c r="F3" s="2438" t="s">
        <v>1630</v>
      </c>
      <c r="G3" s="2429" t="s">
        <v>1694</v>
      </c>
      <c r="H3" s="2425" t="s">
        <v>1610</v>
      </c>
      <c r="I3" s="2431" t="s">
        <v>1607</v>
      </c>
      <c r="J3" s="2432"/>
      <c r="K3" s="2432"/>
      <c r="L3" s="2433"/>
      <c r="M3" s="2431" t="s">
        <v>1608</v>
      </c>
      <c r="N3" s="2432"/>
      <c r="O3" s="2432"/>
      <c r="P3" s="2433"/>
      <c r="Q3" s="2431" t="s">
        <v>1609</v>
      </c>
      <c r="R3" s="2432"/>
      <c r="S3" s="2432"/>
      <c r="T3" s="2433"/>
      <c r="U3" s="2431" t="s">
        <v>1631</v>
      </c>
      <c r="V3" s="2432"/>
      <c r="W3" s="2432"/>
      <c r="X3" s="2433"/>
      <c r="Y3" s="2431" t="s">
        <v>1687</v>
      </c>
      <c r="Z3" s="2432"/>
      <c r="AA3" s="2432"/>
      <c r="AB3" s="2433"/>
    </row>
    <row r="4" spans="1:28">
      <c r="B4" s="2437"/>
      <c r="C4" s="2437"/>
      <c r="D4" s="2437"/>
      <c r="E4" s="2437"/>
      <c r="F4" s="2439"/>
      <c r="G4" s="2430"/>
      <c r="H4" s="2425"/>
      <c r="I4" s="683" t="s">
        <v>420</v>
      </c>
      <c r="J4" s="683" t="s">
        <v>426</v>
      </c>
      <c r="K4" s="683" t="s">
        <v>1420</v>
      </c>
      <c r="L4" s="2320" t="s">
        <v>2379</v>
      </c>
      <c r="M4" s="683" t="s">
        <v>420</v>
      </c>
      <c r="N4" s="683" t="s">
        <v>426</v>
      </c>
      <c r="O4" s="683" t="s">
        <v>1420</v>
      </c>
      <c r="P4" s="2320" t="s">
        <v>2379</v>
      </c>
      <c r="Q4" s="683" t="s">
        <v>420</v>
      </c>
      <c r="R4" s="683" t="s">
        <v>426</v>
      </c>
      <c r="S4" s="683" t="s">
        <v>1420</v>
      </c>
      <c r="T4" s="2320" t="s">
        <v>2379</v>
      </c>
      <c r="U4" s="734" t="s">
        <v>420</v>
      </c>
      <c r="V4" s="734" t="s">
        <v>426</v>
      </c>
      <c r="W4" s="734" t="s">
        <v>1420</v>
      </c>
      <c r="X4" s="2320" t="s">
        <v>2379</v>
      </c>
      <c r="Y4" s="734" t="s">
        <v>420</v>
      </c>
      <c r="Z4" s="734" t="s">
        <v>426</v>
      </c>
      <c r="AA4" s="734" t="s">
        <v>1420</v>
      </c>
      <c r="AB4" s="2320" t="s">
        <v>2379</v>
      </c>
    </row>
    <row r="5" spans="1:28" ht="25.2" customHeight="1">
      <c r="A5" s="679"/>
      <c r="B5" s="2434" t="s">
        <v>1618</v>
      </c>
      <c r="C5" s="754" t="s">
        <v>376</v>
      </c>
      <c r="D5" s="770" t="b">
        <v>0</v>
      </c>
      <c r="E5" s="755">
        <v>376.58</v>
      </c>
      <c r="F5" s="756">
        <v>100</v>
      </c>
      <c r="G5" s="756" t="s">
        <v>1695</v>
      </c>
      <c r="H5" s="757" t="s">
        <v>1614</v>
      </c>
      <c r="I5" s="758"/>
      <c r="J5" s="759"/>
      <c r="K5" s="760"/>
      <c r="L5" s="2324"/>
      <c r="M5" s="760"/>
      <c r="N5" s="759"/>
      <c r="O5" s="760"/>
      <c r="P5" s="2321"/>
      <c r="Q5" s="760" t="str">
        <f>IF(M5="","",M5-I5)</f>
        <v/>
      </c>
      <c r="R5" s="681" t="str">
        <f>IF(N5="","",N5-J5)</f>
        <v/>
      </c>
      <c r="S5" s="681" t="str">
        <f>IF(O5="","",O5-K5)</f>
        <v/>
      </c>
      <c r="T5" s="1954" t="str">
        <f>IF(P5="","",P5-L5)</f>
        <v/>
      </c>
      <c r="U5" s="681" t="str">
        <f>IFERROR(Q5/I5,"")</f>
        <v/>
      </c>
      <c r="V5" s="681" t="str">
        <f>IFERROR(R5/J5,"")</f>
        <v/>
      </c>
      <c r="W5" s="681" t="str">
        <f>IFERROR(S5/K5,"")</f>
        <v/>
      </c>
      <c r="X5" s="1954" t="str">
        <f>IFERROR(T5/L5,"")</f>
        <v/>
      </c>
      <c r="Y5" s="681" t="str">
        <f>IFERROR(U5/($F5/$E5),"")</f>
        <v/>
      </c>
      <c r="Z5" s="681" t="str">
        <f t="shared" ref="Z5" si="0">IFERROR(V5/($F5/$E5),"")</f>
        <v/>
      </c>
      <c r="AA5" s="681" t="str">
        <f>IFERROR(W5/($F5/$E5),"")</f>
        <v/>
      </c>
      <c r="AB5" s="1954" t="str">
        <f>IFERROR(X5/($F5/$E5),"")</f>
        <v/>
      </c>
    </row>
    <row r="6" spans="1:28" ht="25.2" customHeight="1">
      <c r="A6" s="679"/>
      <c r="B6" s="2435"/>
      <c r="C6" s="754" t="s">
        <v>1612</v>
      </c>
      <c r="D6" s="770" t="b">
        <v>0</v>
      </c>
      <c r="E6" s="761">
        <v>2.0185330343061469E-2</v>
      </c>
      <c r="F6" s="757">
        <v>0.01</v>
      </c>
      <c r="G6" s="757"/>
      <c r="H6" s="757" t="s">
        <v>1614</v>
      </c>
      <c r="I6" s="758">
        <f>I5</f>
        <v>0</v>
      </c>
      <c r="J6" s="762">
        <f t="shared" ref="J6:K6" si="1">J5</f>
        <v>0</v>
      </c>
      <c r="K6" s="758">
        <f t="shared" si="1"/>
        <v>0</v>
      </c>
      <c r="L6" s="762">
        <f>L5</f>
        <v>0</v>
      </c>
      <c r="M6" s="760"/>
      <c r="N6" s="759"/>
      <c r="O6" s="760"/>
      <c r="P6" s="2321"/>
      <c r="Q6" s="760" t="str">
        <f t="shared" ref="Q6:Q22" si="2">IF(M6="","",M6-I6)</f>
        <v/>
      </c>
      <c r="R6" s="681" t="str">
        <f t="shared" ref="R6:R22" si="3">IF(N6="","",N6-J6)</f>
        <v/>
      </c>
      <c r="S6" s="681" t="str">
        <f t="shared" ref="S6:T22" si="4">IF(O6="","",O6-K6)</f>
        <v/>
      </c>
      <c r="T6" s="2323"/>
      <c r="U6" s="681" t="str">
        <f t="shared" ref="U6:U22" si="5">IFERROR(Q6/I6,"")</f>
        <v/>
      </c>
      <c r="V6" s="681" t="str">
        <f t="shared" ref="V6:V22" si="6">IFERROR(R6/J6,"")</f>
        <v/>
      </c>
      <c r="W6" s="681" t="str">
        <f t="shared" ref="W6:X22" si="7">IFERROR(S6/K6,"")</f>
        <v/>
      </c>
      <c r="X6" s="1954" t="str">
        <f t="shared" si="7"/>
        <v/>
      </c>
      <c r="Y6" s="681" t="str">
        <f>IFERROR(U6/$F6,"")</f>
        <v/>
      </c>
      <c r="Z6" s="681" t="str">
        <f t="shared" ref="Z6:AB6" si="8">IFERROR(V6/$F6,"")</f>
        <v/>
      </c>
      <c r="AA6" s="681" t="str">
        <f t="shared" si="8"/>
        <v/>
      </c>
      <c r="AB6" s="1954" t="str">
        <f t="shared" si="8"/>
        <v/>
      </c>
    </row>
    <row r="7" spans="1:28" ht="25.2" customHeight="1">
      <c r="A7" s="679"/>
      <c r="B7" s="2435"/>
      <c r="C7" s="754" t="s">
        <v>1188</v>
      </c>
      <c r="D7" s="770" t="b">
        <v>0</v>
      </c>
      <c r="E7" s="755">
        <v>219.21399682449601</v>
      </c>
      <c r="F7" s="756">
        <v>10</v>
      </c>
      <c r="G7" s="763" t="s">
        <v>1696</v>
      </c>
      <c r="H7" s="757" t="s">
        <v>1614</v>
      </c>
      <c r="I7" s="758">
        <f t="shared" ref="I7:I13" si="9">I6</f>
        <v>0</v>
      </c>
      <c r="J7" s="762">
        <f t="shared" ref="J7:J13" si="10">J6</f>
        <v>0</v>
      </c>
      <c r="K7" s="758">
        <f t="shared" ref="K7:K13" si="11">K6</f>
        <v>0</v>
      </c>
      <c r="L7" s="762">
        <f t="shared" ref="L7" si="12">L6</f>
        <v>0</v>
      </c>
      <c r="M7" s="760"/>
      <c r="N7" s="759"/>
      <c r="O7" s="760"/>
      <c r="P7" s="2321"/>
      <c r="Q7" s="760" t="str">
        <f t="shared" si="2"/>
        <v/>
      </c>
      <c r="R7" s="681" t="str">
        <f t="shared" si="3"/>
        <v/>
      </c>
      <c r="S7" s="681" t="str">
        <f t="shared" si="4"/>
        <v/>
      </c>
      <c r="T7" s="2323"/>
      <c r="U7" s="681" t="str">
        <f t="shared" si="5"/>
        <v/>
      </c>
      <c r="V7" s="681" t="str">
        <f t="shared" si="6"/>
        <v/>
      </c>
      <c r="W7" s="681" t="str">
        <f t="shared" si="7"/>
        <v/>
      </c>
      <c r="X7" s="1954" t="str">
        <f t="shared" si="7"/>
        <v/>
      </c>
      <c r="Y7" s="681" t="str">
        <f t="shared" ref="Y7:Y10" si="13">IFERROR(U7/($F7/$E7),"")</f>
        <v/>
      </c>
      <c r="Z7" s="681" t="str">
        <f t="shared" ref="Z7:Z10" si="14">IFERROR(V7/($F7/$E7),"")</f>
        <v/>
      </c>
      <c r="AA7" s="681" t="str">
        <f t="shared" ref="AA7:AB10" si="15">IFERROR(W7/($F7/$E7),"")</f>
        <v/>
      </c>
      <c r="AB7" s="1954" t="str">
        <f t="shared" si="15"/>
        <v/>
      </c>
    </row>
    <row r="8" spans="1:28" ht="25.2" customHeight="1">
      <c r="A8" s="679"/>
      <c r="B8" s="2435"/>
      <c r="C8" s="754" t="s">
        <v>1602</v>
      </c>
      <c r="D8" s="770" t="b">
        <v>0</v>
      </c>
      <c r="E8" s="755">
        <v>22</v>
      </c>
      <c r="F8" s="756">
        <v>10</v>
      </c>
      <c r="G8" s="757" t="s">
        <v>1695</v>
      </c>
      <c r="H8" s="757" t="s">
        <v>1614</v>
      </c>
      <c r="I8" s="758">
        <f t="shared" si="9"/>
        <v>0</v>
      </c>
      <c r="J8" s="762">
        <f t="shared" si="10"/>
        <v>0</v>
      </c>
      <c r="K8" s="758">
        <f t="shared" si="11"/>
        <v>0</v>
      </c>
      <c r="L8" s="762">
        <f t="shared" ref="L8" si="16">L7</f>
        <v>0</v>
      </c>
      <c r="M8" s="760"/>
      <c r="N8" s="759"/>
      <c r="O8" s="760"/>
      <c r="P8" s="2321"/>
      <c r="Q8" s="760" t="str">
        <f t="shared" si="2"/>
        <v/>
      </c>
      <c r="R8" s="681" t="str">
        <f t="shared" si="3"/>
        <v/>
      </c>
      <c r="S8" s="681" t="str">
        <f t="shared" si="4"/>
        <v/>
      </c>
      <c r="T8" s="2323"/>
      <c r="U8" s="681" t="str">
        <f t="shared" si="5"/>
        <v/>
      </c>
      <c r="V8" s="681" t="str">
        <f t="shared" si="6"/>
        <v/>
      </c>
      <c r="W8" s="681" t="str">
        <f t="shared" si="7"/>
        <v/>
      </c>
      <c r="X8" s="1954" t="str">
        <f t="shared" si="7"/>
        <v/>
      </c>
      <c r="Y8" s="681" t="str">
        <f t="shared" si="13"/>
        <v/>
      </c>
      <c r="Z8" s="681" t="str">
        <f t="shared" si="14"/>
        <v/>
      </c>
      <c r="AA8" s="681" t="str">
        <f t="shared" si="15"/>
        <v/>
      </c>
      <c r="AB8" s="1954" t="str">
        <f t="shared" si="15"/>
        <v/>
      </c>
    </row>
    <row r="9" spans="1:28" ht="25.2" customHeight="1">
      <c r="A9" s="679"/>
      <c r="B9" s="2435"/>
      <c r="C9" s="754" t="s">
        <v>1207</v>
      </c>
      <c r="D9" s="770" t="b">
        <v>0</v>
      </c>
      <c r="E9" s="755">
        <v>229.4862029567262</v>
      </c>
      <c r="F9" s="756">
        <v>10</v>
      </c>
      <c r="G9" s="757" t="s">
        <v>1695</v>
      </c>
      <c r="H9" s="757" t="s">
        <v>1614</v>
      </c>
      <c r="I9" s="758">
        <f t="shared" si="9"/>
        <v>0</v>
      </c>
      <c r="J9" s="762">
        <f t="shared" si="10"/>
        <v>0</v>
      </c>
      <c r="K9" s="758">
        <f t="shared" si="11"/>
        <v>0</v>
      </c>
      <c r="L9" s="762">
        <f t="shared" ref="L9" si="17">L8</f>
        <v>0</v>
      </c>
      <c r="M9" s="760">
        <f>债务!E61</f>
        <v>31.162083300173006</v>
      </c>
      <c r="N9" s="760">
        <f>债务!F61</f>
        <v>0.30889269711869566</v>
      </c>
      <c r="O9" s="760">
        <f>债务!G61</f>
        <v>-24.14085051017328</v>
      </c>
      <c r="P9" s="760">
        <f>债务!H61</f>
        <v>1.7518449870883104E-2</v>
      </c>
      <c r="Q9" s="760">
        <f>IF(M9="","",M9-I9)</f>
        <v>31.162083300173006</v>
      </c>
      <c r="R9" s="681">
        <f t="shared" si="3"/>
        <v>0.30889269711869566</v>
      </c>
      <c r="S9" s="681">
        <f t="shared" si="4"/>
        <v>-24.14085051017328</v>
      </c>
      <c r="T9" s="1954">
        <f t="shared" si="4"/>
        <v>1.7518449870883104E-2</v>
      </c>
      <c r="U9" s="681" t="str">
        <f t="shared" si="5"/>
        <v/>
      </c>
      <c r="V9" s="681" t="str">
        <f t="shared" si="6"/>
        <v/>
      </c>
      <c r="W9" s="681" t="str">
        <f t="shared" si="7"/>
        <v/>
      </c>
      <c r="X9" s="1954" t="str">
        <f t="shared" si="7"/>
        <v/>
      </c>
      <c r="Y9" s="681" t="str">
        <f t="shared" si="13"/>
        <v/>
      </c>
      <c r="Z9" s="681" t="str">
        <f t="shared" si="14"/>
        <v/>
      </c>
      <c r="AA9" s="681" t="str">
        <f t="shared" si="15"/>
        <v/>
      </c>
      <c r="AB9" s="1954" t="str">
        <f t="shared" si="15"/>
        <v/>
      </c>
    </row>
    <row r="10" spans="1:28" ht="25.2" customHeight="1">
      <c r="A10" s="679"/>
      <c r="B10" s="2435"/>
      <c r="C10" s="754" t="s">
        <v>1603</v>
      </c>
      <c r="D10" s="770" t="b">
        <v>0</v>
      </c>
      <c r="E10" s="755">
        <v>3.59</v>
      </c>
      <c r="F10" s="756">
        <v>10</v>
      </c>
      <c r="G10" s="757" t="s">
        <v>1695</v>
      </c>
      <c r="H10" s="757" t="s">
        <v>1614</v>
      </c>
      <c r="I10" s="758">
        <f t="shared" si="9"/>
        <v>0</v>
      </c>
      <c r="J10" s="762">
        <f t="shared" si="10"/>
        <v>0</v>
      </c>
      <c r="K10" s="758">
        <f t="shared" si="11"/>
        <v>0</v>
      </c>
      <c r="L10" s="762">
        <f t="shared" ref="L10" si="18">L9</f>
        <v>0</v>
      </c>
      <c r="M10" s="760"/>
      <c r="N10" s="759"/>
      <c r="O10" s="760"/>
      <c r="P10" s="2321"/>
      <c r="Q10" s="760" t="str">
        <f t="shared" si="2"/>
        <v/>
      </c>
      <c r="R10" s="681" t="str">
        <f t="shared" si="3"/>
        <v/>
      </c>
      <c r="S10" s="681" t="str">
        <f t="shared" si="4"/>
        <v/>
      </c>
      <c r="T10" s="2323"/>
      <c r="U10" s="681" t="str">
        <f t="shared" si="5"/>
        <v/>
      </c>
      <c r="V10" s="681" t="str">
        <f t="shared" si="6"/>
        <v/>
      </c>
      <c r="W10" s="681" t="str">
        <f t="shared" si="7"/>
        <v/>
      </c>
      <c r="X10" s="1954" t="str">
        <f t="shared" si="7"/>
        <v/>
      </c>
      <c r="Y10" s="681" t="str">
        <f t="shared" si="13"/>
        <v/>
      </c>
      <c r="Z10" s="681" t="str">
        <f t="shared" si="14"/>
        <v/>
      </c>
      <c r="AA10" s="681" t="str">
        <f t="shared" si="15"/>
        <v/>
      </c>
      <c r="AB10" s="1954" t="str">
        <f t="shared" si="15"/>
        <v/>
      </c>
    </row>
    <row r="11" spans="1:28" ht="24" customHeight="1">
      <c r="B11" s="2435"/>
      <c r="C11" s="764" t="s">
        <v>177</v>
      </c>
      <c r="D11" s="771" t="b">
        <v>0</v>
      </c>
      <c r="E11" s="765">
        <v>5.3653166271017752E-3</v>
      </c>
      <c r="F11" s="766">
        <v>0.01</v>
      </c>
      <c r="G11" s="767"/>
      <c r="H11" s="757" t="s">
        <v>1614</v>
      </c>
      <c r="I11" s="758">
        <f t="shared" si="9"/>
        <v>0</v>
      </c>
      <c r="J11" s="762">
        <f t="shared" si="10"/>
        <v>0</v>
      </c>
      <c r="K11" s="758">
        <f t="shared" si="11"/>
        <v>0</v>
      </c>
      <c r="L11" s="762">
        <f t="shared" ref="L11" si="19">L10</f>
        <v>0</v>
      </c>
      <c r="M11" s="760"/>
      <c r="N11" s="759"/>
      <c r="O11" s="760"/>
      <c r="P11" s="2321"/>
      <c r="Q11" s="760" t="str">
        <f t="shared" si="2"/>
        <v/>
      </c>
      <c r="R11" s="681" t="str">
        <f t="shared" si="3"/>
        <v/>
      </c>
      <c r="S11" s="681" t="str">
        <f t="shared" si="4"/>
        <v/>
      </c>
      <c r="T11" s="2323"/>
      <c r="U11" s="681" t="str">
        <f t="shared" si="5"/>
        <v/>
      </c>
      <c r="V11" s="681" t="str">
        <f t="shared" si="6"/>
        <v/>
      </c>
      <c r="W11" s="681" t="str">
        <f t="shared" si="7"/>
        <v/>
      </c>
      <c r="X11" s="1954" t="str">
        <f t="shared" si="7"/>
        <v/>
      </c>
      <c r="Y11" s="681" t="str">
        <f t="shared" ref="Y11:Y12" si="20">IFERROR(U11/$F11,"")</f>
        <v/>
      </c>
      <c r="Z11" s="681" t="str">
        <f t="shared" ref="Z11:Z12" si="21">IFERROR(V11/$F11,"")</f>
        <v/>
      </c>
      <c r="AA11" s="681" t="str">
        <f t="shared" ref="AA11:AB12" si="22">IFERROR(W11/$F11,"")</f>
        <v/>
      </c>
      <c r="AB11" s="1954" t="str">
        <f t="shared" si="22"/>
        <v/>
      </c>
    </row>
    <row r="12" spans="1:28" ht="24" customHeight="1">
      <c r="B12" s="2435"/>
      <c r="C12" s="764" t="s">
        <v>1700</v>
      </c>
      <c r="D12" s="771" t="b">
        <v>0</v>
      </c>
      <c r="E12" s="765">
        <v>0.21546160984964752</v>
      </c>
      <c r="F12" s="766">
        <v>0.01</v>
      </c>
      <c r="G12" s="767"/>
      <c r="H12" s="757" t="s">
        <v>1614</v>
      </c>
      <c r="I12" s="758">
        <f t="shared" si="9"/>
        <v>0</v>
      </c>
      <c r="J12" s="762">
        <f t="shared" si="10"/>
        <v>0</v>
      </c>
      <c r="K12" s="758">
        <f t="shared" si="11"/>
        <v>0</v>
      </c>
      <c r="L12" s="762">
        <f t="shared" ref="L12" si="23">L11</f>
        <v>0</v>
      </c>
      <c r="M12" s="760"/>
      <c r="N12" s="759"/>
      <c r="O12" s="760"/>
      <c r="P12" s="2321"/>
      <c r="Q12" s="760" t="str">
        <f t="shared" si="2"/>
        <v/>
      </c>
      <c r="R12" s="681" t="str">
        <f t="shared" si="3"/>
        <v/>
      </c>
      <c r="S12" s="681" t="str">
        <f t="shared" si="4"/>
        <v/>
      </c>
      <c r="T12" s="2323"/>
      <c r="U12" s="681" t="str">
        <f t="shared" si="5"/>
        <v/>
      </c>
      <c r="V12" s="681" t="str">
        <f t="shared" si="6"/>
        <v/>
      </c>
      <c r="W12" s="681" t="str">
        <f t="shared" si="7"/>
        <v/>
      </c>
      <c r="X12" s="1954" t="str">
        <f t="shared" si="7"/>
        <v/>
      </c>
      <c r="Y12" s="681" t="str">
        <f t="shared" si="20"/>
        <v/>
      </c>
      <c r="Z12" s="681" t="str">
        <f t="shared" si="21"/>
        <v/>
      </c>
      <c r="AA12" s="681" t="str">
        <f t="shared" si="22"/>
        <v/>
      </c>
      <c r="AB12" s="1954" t="str">
        <f t="shared" si="22"/>
        <v/>
      </c>
    </row>
    <row r="13" spans="1:28" ht="24" customHeight="1">
      <c r="B13" s="2436"/>
      <c r="C13" s="764"/>
      <c r="D13" s="771" t="b">
        <v>0</v>
      </c>
      <c r="E13" s="768"/>
      <c r="F13" s="769"/>
      <c r="G13" s="767"/>
      <c r="H13" s="757" t="s">
        <v>1614</v>
      </c>
      <c r="I13" s="758">
        <f t="shared" si="9"/>
        <v>0</v>
      </c>
      <c r="J13" s="762">
        <f t="shared" si="10"/>
        <v>0</v>
      </c>
      <c r="K13" s="758">
        <f t="shared" si="11"/>
        <v>0</v>
      </c>
      <c r="L13" s="762">
        <f t="shared" ref="L13" si="24">L12</f>
        <v>0</v>
      </c>
      <c r="M13" s="760"/>
      <c r="N13" s="759"/>
      <c r="O13" s="760"/>
      <c r="P13" s="2321"/>
      <c r="Q13" s="760" t="str">
        <f t="shared" si="2"/>
        <v/>
      </c>
      <c r="R13" s="681" t="str">
        <f t="shared" si="3"/>
        <v/>
      </c>
      <c r="S13" s="681" t="str">
        <f t="shared" si="4"/>
        <v/>
      </c>
      <c r="T13" s="2323"/>
      <c r="U13" s="681" t="str">
        <f t="shared" si="5"/>
        <v/>
      </c>
      <c r="V13" s="681" t="str">
        <f t="shared" si="6"/>
        <v/>
      </c>
      <c r="W13" s="681" t="str">
        <f t="shared" si="7"/>
        <v/>
      </c>
      <c r="X13" s="2323"/>
      <c r="Y13" s="681"/>
      <c r="Z13" s="681"/>
      <c r="AA13" s="681"/>
      <c r="AB13" s="1954"/>
    </row>
    <row r="14" spans="1:28" ht="24" customHeight="1">
      <c r="B14" s="2434" t="s">
        <v>1619</v>
      </c>
      <c r="C14" s="676" t="s">
        <v>1620</v>
      </c>
      <c r="D14" s="676" t="s">
        <v>1620</v>
      </c>
      <c r="E14" s="676" t="s">
        <v>1620</v>
      </c>
      <c r="F14" s="676" t="s">
        <v>1620</v>
      </c>
      <c r="G14" s="676"/>
      <c r="H14" s="682"/>
      <c r="I14" s="680"/>
      <c r="J14" s="691"/>
      <c r="K14" s="680"/>
      <c r="L14" s="2325"/>
      <c r="M14" s="718"/>
      <c r="N14" s="717"/>
      <c r="O14" s="718"/>
      <c r="P14" s="2322"/>
      <c r="Q14" s="681" t="str">
        <f t="shared" si="2"/>
        <v/>
      </c>
      <c r="R14" s="681" t="str">
        <f t="shared" si="3"/>
        <v/>
      </c>
      <c r="S14" s="681" t="str">
        <f t="shared" si="4"/>
        <v/>
      </c>
      <c r="T14" s="2323"/>
      <c r="U14" s="681" t="str">
        <f t="shared" si="5"/>
        <v/>
      </c>
      <c r="V14" s="681" t="str">
        <f t="shared" si="6"/>
        <v/>
      </c>
      <c r="W14" s="681" t="str">
        <f t="shared" si="7"/>
        <v/>
      </c>
      <c r="X14" s="2323"/>
      <c r="Y14" s="676" t="s">
        <v>1217</v>
      </c>
      <c r="Z14" s="676" t="s">
        <v>1217</v>
      </c>
      <c r="AA14" s="676" t="s">
        <v>1217</v>
      </c>
      <c r="AB14" s="2233" t="s">
        <v>1217</v>
      </c>
    </row>
    <row r="15" spans="1:28" ht="24" customHeight="1">
      <c r="B15" s="2435"/>
      <c r="C15" s="676" t="s">
        <v>1620</v>
      </c>
      <c r="D15" s="676" t="s">
        <v>1620</v>
      </c>
      <c r="E15" s="676" t="s">
        <v>1620</v>
      </c>
      <c r="F15" s="676" t="s">
        <v>1620</v>
      </c>
      <c r="G15" s="676"/>
      <c r="H15" s="711"/>
      <c r="I15" s="680"/>
      <c r="J15" s="691"/>
      <c r="K15" s="680"/>
      <c r="L15" s="2325"/>
      <c r="M15" s="718"/>
      <c r="N15" s="717"/>
      <c r="O15" s="718"/>
      <c r="P15" s="2322"/>
      <c r="Q15" s="681" t="str">
        <f t="shared" si="2"/>
        <v/>
      </c>
      <c r="R15" s="681" t="str">
        <f t="shared" si="3"/>
        <v/>
      </c>
      <c r="S15" s="681" t="str">
        <f t="shared" si="4"/>
        <v/>
      </c>
      <c r="T15" s="2323"/>
      <c r="U15" s="681" t="str">
        <f t="shared" si="5"/>
        <v/>
      </c>
      <c r="V15" s="681" t="str">
        <f t="shared" si="6"/>
        <v/>
      </c>
      <c r="W15" s="681" t="str">
        <f t="shared" si="7"/>
        <v/>
      </c>
      <c r="X15" s="2323"/>
      <c r="Y15" s="676" t="s">
        <v>1217</v>
      </c>
      <c r="Z15" s="676" t="s">
        <v>1217</v>
      </c>
      <c r="AA15" s="676" t="s">
        <v>1217</v>
      </c>
      <c r="AB15" s="2233" t="s">
        <v>1217</v>
      </c>
    </row>
    <row r="16" spans="1:28" ht="24" customHeight="1">
      <c r="B16" s="2435"/>
      <c r="C16" s="676" t="s">
        <v>1620</v>
      </c>
      <c r="D16" s="676" t="s">
        <v>1620</v>
      </c>
      <c r="E16" s="676" t="s">
        <v>1620</v>
      </c>
      <c r="F16" s="676" t="s">
        <v>1620</v>
      </c>
      <c r="G16" s="676"/>
      <c r="H16" s="711"/>
      <c r="I16" s="680"/>
      <c r="J16" s="691"/>
      <c r="K16" s="680"/>
      <c r="L16" s="2325"/>
      <c r="M16" s="718"/>
      <c r="N16" s="717"/>
      <c r="O16" s="718"/>
      <c r="P16" s="2322"/>
      <c r="Q16" s="681" t="str">
        <f t="shared" si="2"/>
        <v/>
      </c>
      <c r="R16" s="681" t="str">
        <f t="shared" si="3"/>
        <v/>
      </c>
      <c r="S16" s="681" t="str">
        <f t="shared" si="4"/>
        <v/>
      </c>
      <c r="T16" s="2323"/>
      <c r="U16" s="681" t="str">
        <f t="shared" si="5"/>
        <v/>
      </c>
      <c r="V16" s="681" t="str">
        <f t="shared" si="6"/>
        <v/>
      </c>
      <c r="W16" s="681" t="str">
        <f t="shared" si="7"/>
        <v/>
      </c>
      <c r="X16" s="2323"/>
      <c r="Y16" s="676" t="s">
        <v>1217</v>
      </c>
      <c r="Z16" s="676" t="s">
        <v>1217</v>
      </c>
      <c r="AA16" s="676" t="s">
        <v>1217</v>
      </c>
      <c r="AB16" s="2233" t="s">
        <v>1217</v>
      </c>
    </row>
    <row r="17" spans="2:28" ht="24" customHeight="1">
      <c r="B17" s="2435"/>
      <c r="C17" s="676" t="s">
        <v>1620</v>
      </c>
      <c r="D17" s="676" t="s">
        <v>1620</v>
      </c>
      <c r="E17" s="676" t="s">
        <v>1620</v>
      </c>
      <c r="F17" s="676" t="s">
        <v>1620</v>
      </c>
      <c r="G17" s="676"/>
      <c r="H17" s="711"/>
      <c r="I17" s="680"/>
      <c r="J17" s="691"/>
      <c r="K17" s="680"/>
      <c r="L17" s="2325"/>
      <c r="M17" s="718"/>
      <c r="N17" s="717"/>
      <c r="O17" s="718"/>
      <c r="P17" s="2322"/>
      <c r="Q17" s="681" t="str">
        <f t="shared" si="2"/>
        <v/>
      </c>
      <c r="R17" s="681" t="str">
        <f t="shared" si="3"/>
        <v/>
      </c>
      <c r="S17" s="681" t="str">
        <f t="shared" si="4"/>
        <v/>
      </c>
      <c r="T17" s="2323"/>
      <c r="U17" s="681" t="str">
        <f t="shared" si="5"/>
        <v/>
      </c>
      <c r="V17" s="681" t="str">
        <f t="shared" si="6"/>
        <v/>
      </c>
      <c r="W17" s="681" t="str">
        <f t="shared" si="7"/>
        <v/>
      </c>
      <c r="X17" s="2323"/>
      <c r="Y17" s="676" t="s">
        <v>1217</v>
      </c>
      <c r="Z17" s="676" t="s">
        <v>1217</v>
      </c>
      <c r="AA17" s="676" t="s">
        <v>1217</v>
      </c>
      <c r="AB17" s="2233" t="s">
        <v>1217</v>
      </c>
    </row>
    <row r="18" spans="2:28" ht="24" customHeight="1">
      <c r="B18" s="2435"/>
      <c r="C18" s="676" t="s">
        <v>1620</v>
      </c>
      <c r="D18" s="676" t="s">
        <v>1620</v>
      </c>
      <c r="E18" s="676" t="s">
        <v>1620</v>
      </c>
      <c r="F18" s="676" t="s">
        <v>1620</v>
      </c>
      <c r="G18" s="676"/>
      <c r="H18" s="712"/>
      <c r="I18" s="680"/>
      <c r="J18" s="691"/>
      <c r="K18" s="680"/>
      <c r="L18" s="2325"/>
      <c r="M18" s="718"/>
      <c r="N18" s="717"/>
      <c r="O18" s="718"/>
      <c r="P18" s="2322"/>
      <c r="Q18" s="681" t="str">
        <f t="shared" si="2"/>
        <v/>
      </c>
      <c r="R18" s="681" t="str">
        <f t="shared" si="3"/>
        <v/>
      </c>
      <c r="S18" s="681" t="str">
        <f t="shared" si="4"/>
        <v/>
      </c>
      <c r="T18" s="2323"/>
      <c r="U18" s="681" t="str">
        <f t="shared" si="5"/>
        <v/>
      </c>
      <c r="V18" s="681" t="str">
        <f t="shared" si="6"/>
        <v/>
      </c>
      <c r="W18" s="681" t="str">
        <f t="shared" si="7"/>
        <v/>
      </c>
      <c r="X18" s="2323"/>
      <c r="Y18" s="676" t="s">
        <v>1217</v>
      </c>
      <c r="Z18" s="676" t="s">
        <v>1217</v>
      </c>
      <c r="AA18" s="676" t="s">
        <v>1217</v>
      </c>
      <c r="AB18" s="2233" t="s">
        <v>1217</v>
      </c>
    </row>
    <row r="19" spans="2:28" ht="24" customHeight="1">
      <c r="B19" s="2435"/>
      <c r="C19" s="676" t="s">
        <v>1620</v>
      </c>
      <c r="D19" s="676" t="s">
        <v>1620</v>
      </c>
      <c r="E19" s="676" t="s">
        <v>1620</v>
      </c>
      <c r="F19" s="676" t="s">
        <v>1620</v>
      </c>
      <c r="G19" s="676"/>
      <c r="H19" s="712"/>
      <c r="I19" s="680"/>
      <c r="J19" s="691"/>
      <c r="K19" s="680"/>
      <c r="L19" s="2325"/>
      <c r="M19" s="718"/>
      <c r="N19" s="717"/>
      <c r="O19" s="718"/>
      <c r="P19" s="2322"/>
      <c r="Q19" s="681" t="str">
        <f t="shared" si="2"/>
        <v/>
      </c>
      <c r="R19" s="681" t="str">
        <f t="shared" si="3"/>
        <v/>
      </c>
      <c r="S19" s="681" t="str">
        <f t="shared" si="4"/>
        <v/>
      </c>
      <c r="T19" s="2323"/>
      <c r="U19" s="681" t="str">
        <f t="shared" si="5"/>
        <v/>
      </c>
      <c r="V19" s="681" t="str">
        <f t="shared" si="6"/>
        <v/>
      </c>
      <c r="W19" s="681" t="str">
        <f t="shared" si="7"/>
        <v/>
      </c>
      <c r="X19" s="2323"/>
      <c r="Y19" s="676" t="s">
        <v>1217</v>
      </c>
      <c r="Z19" s="676" t="s">
        <v>1217</v>
      </c>
      <c r="AA19" s="676" t="s">
        <v>1217</v>
      </c>
      <c r="AB19" s="2233" t="s">
        <v>1217</v>
      </c>
    </row>
    <row r="20" spans="2:28" ht="22.2" customHeight="1">
      <c r="B20" s="2435"/>
      <c r="C20" s="676" t="s">
        <v>1620</v>
      </c>
      <c r="D20" s="676" t="s">
        <v>1620</v>
      </c>
      <c r="E20" s="676" t="s">
        <v>1620</v>
      </c>
      <c r="F20" s="676" t="s">
        <v>1620</v>
      </c>
      <c r="G20" s="676"/>
      <c r="H20" s="713"/>
      <c r="I20" s="680"/>
      <c r="J20" s="691"/>
      <c r="K20" s="680"/>
      <c r="L20" s="2325"/>
      <c r="M20" s="718"/>
      <c r="N20" s="717"/>
      <c r="O20" s="718"/>
      <c r="P20" s="2322"/>
      <c r="Q20" s="681" t="str">
        <f t="shared" si="2"/>
        <v/>
      </c>
      <c r="R20" s="681" t="str">
        <f t="shared" si="3"/>
        <v/>
      </c>
      <c r="S20" s="681" t="str">
        <f t="shared" si="4"/>
        <v/>
      </c>
      <c r="T20" s="2323"/>
      <c r="U20" s="681" t="str">
        <f t="shared" si="5"/>
        <v/>
      </c>
      <c r="V20" s="681" t="str">
        <f t="shared" si="6"/>
        <v/>
      </c>
      <c r="W20" s="681" t="str">
        <f t="shared" si="7"/>
        <v/>
      </c>
      <c r="X20" s="2323"/>
      <c r="Y20" s="676" t="s">
        <v>1217</v>
      </c>
      <c r="Z20" s="676" t="s">
        <v>1217</v>
      </c>
      <c r="AA20" s="676" t="s">
        <v>1217</v>
      </c>
      <c r="AB20" s="2233" t="s">
        <v>1217</v>
      </c>
    </row>
    <row r="21" spans="2:28" ht="22.2" customHeight="1">
      <c r="B21" s="2435"/>
      <c r="C21" s="676" t="s">
        <v>1620</v>
      </c>
      <c r="D21" s="676" t="s">
        <v>1620</v>
      </c>
      <c r="E21" s="676" t="s">
        <v>1620</v>
      </c>
      <c r="F21" s="676" t="s">
        <v>1620</v>
      </c>
      <c r="G21" s="676"/>
      <c r="H21" s="714"/>
      <c r="I21" s="680"/>
      <c r="J21" s="691"/>
      <c r="K21" s="680"/>
      <c r="L21" s="2325"/>
      <c r="M21" s="718"/>
      <c r="N21" s="717"/>
      <c r="O21" s="718"/>
      <c r="P21" s="2322"/>
      <c r="Q21" s="681" t="str">
        <f t="shared" si="2"/>
        <v/>
      </c>
      <c r="R21" s="681" t="str">
        <f t="shared" si="3"/>
        <v/>
      </c>
      <c r="S21" s="681" t="str">
        <f t="shared" si="4"/>
        <v/>
      </c>
      <c r="T21" s="2323"/>
      <c r="U21" s="681" t="str">
        <f t="shared" si="5"/>
        <v/>
      </c>
      <c r="V21" s="681" t="str">
        <f t="shared" si="6"/>
        <v/>
      </c>
      <c r="W21" s="681" t="str">
        <f t="shared" si="7"/>
        <v/>
      </c>
      <c r="X21" s="2323"/>
      <c r="Y21" s="676" t="s">
        <v>1217</v>
      </c>
      <c r="Z21" s="676" t="s">
        <v>1217</v>
      </c>
      <c r="AA21" s="676" t="s">
        <v>1217</v>
      </c>
      <c r="AB21" s="2233" t="s">
        <v>1217</v>
      </c>
    </row>
    <row r="22" spans="2:28" ht="22.2" customHeight="1">
      <c r="B22" s="2436"/>
      <c r="C22" s="676" t="s">
        <v>1620</v>
      </c>
      <c r="D22" s="676" t="s">
        <v>1620</v>
      </c>
      <c r="E22" s="676" t="s">
        <v>1620</v>
      </c>
      <c r="F22" s="676" t="s">
        <v>1620</v>
      </c>
      <c r="G22" s="676"/>
      <c r="H22" s="714"/>
      <c r="I22" s="680"/>
      <c r="J22" s="691"/>
      <c r="K22" s="680"/>
      <c r="L22" s="2325"/>
      <c r="M22" s="718"/>
      <c r="N22" s="717"/>
      <c r="O22" s="718"/>
      <c r="P22" s="2322"/>
      <c r="Q22" s="681" t="str">
        <f t="shared" si="2"/>
        <v/>
      </c>
      <c r="R22" s="681" t="str">
        <f t="shared" si="3"/>
        <v/>
      </c>
      <c r="S22" s="681" t="str">
        <f t="shared" si="4"/>
        <v/>
      </c>
      <c r="T22" s="2323"/>
      <c r="U22" s="681" t="str">
        <f t="shared" si="5"/>
        <v/>
      </c>
      <c r="V22" s="681" t="str">
        <f t="shared" si="6"/>
        <v/>
      </c>
      <c r="W22" s="681" t="str">
        <f t="shared" si="7"/>
        <v/>
      </c>
      <c r="X22" s="2323"/>
      <c r="Y22" s="676" t="s">
        <v>1217</v>
      </c>
      <c r="Z22" s="676" t="s">
        <v>1217</v>
      </c>
      <c r="AA22" s="676" t="s">
        <v>1217</v>
      </c>
      <c r="AB22" s="2233" t="s">
        <v>1217</v>
      </c>
    </row>
    <row r="23" spans="2:28">
      <c r="H23" s="715"/>
    </row>
  </sheetData>
  <mergeCells count="15">
    <mergeCell ref="B14:B22"/>
    <mergeCell ref="D3:D4"/>
    <mergeCell ref="F3:F4"/>
    <mergeCell ref="E3:E4"/>
    <mergeCell ref="B3:B4"/>
    <mergeCell ref="B5:B13"/>
    <mergeCell ref="C3:C4"/>
    <mergeCell ref="H3:H4"/>
    <mergeCell ref="J2:AA2"/>
    <mergeCell ref="G3:G4"/>
    <mergeCell ref="Y3:AB3"/>
    <mergeCell ref="U3:X3"/>
    <mergeCell ref="Q3:T3"/>
    <mergeCell ref="M3:P3"/>
    <mergeCell ref="I3:L3"/>
  </mergeCells>
  <phoneticPr fontId="2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Check Box 1">
              <controlPr defaultSize="0" autoPict="0">
                <anchor moveWithCells="1">
                  <from>
                    <xdr:col>3</xdr:col>
                    <xdr:colOff>228600</xdr:colOff>
                    <xdr:row>4</xdr:row>
                    <xdr:rowOff>60960</xdr:rowOff>
                  </from>
                  <to>
                    <xdr:col>3</xdr:col>
                    <xdr:colOff>1531620</xdr:colOff>
                    <xdr:row>5</xdr:row>
                    <xdr:rowOff>0</xdr:rowOff>
                  </to>
                </anchor>
              </controlPr>
            </control>
          </mc:Choice>
        </mc:AlternateContent>
        <mc:AlternateContent xmlns:mc="http://schemas.openxmlformats.org/markup-compatibility/2006">
          <mc:Choice Requires="x14">
            <control shapeId="115714" r:id="rId4" name="Check Box 2">
              <controlPr defaultSize="0" autoPict="0">
                <anchor moveWithCells="1">
                  <from>
                    <xdr:col>3</xdr:col>
                    <xdr:colOff>251460</xdr:colOff>
                    <xdr:row>5</xdr:row>
                    <xdr:rowOff>76200</xdr:rowOff>
                  </from>
                  <to>
                    <xdr:col>3</xdr:col>
                    <xdr:colOff>1760220</xdr:colOff>
                    <xdr:row>5</xdr:row>
                    <xdr:rowOff>266700</xdr:rowOff>
                  </to>
                </anchor>
              </controlPr>
            </control>
          </mc:Choice>
        </mc:AlternateContent>
        <mc:AlternateContent xmlns:mc="http://schemas.openxmlformats.org/markup-compatibility/2006">
          <mc:Choice Requires="x14">
            <control shapeId="115716" r:id="rId5" name="Check Box 4">
              <controlPr defaultSize="0" autoPict="0">
                <anchor moveWithCells="1">
                  <from>
                    <xdr:col>3</xdr:col>
                    <xdr:colOff>220980</xdr:colOff>
                    <xdr:row>6</xdr:row>
                    <xdr:rowOff>45720</xdr:rowOff>
                  </from>
                  <to>
                    <xdr:col>3</xdr:col>
                    <xdr:colOff>1661160</xdr:colOff>
                    <xdr:row>6</xdr:row>
                    <xdr:rowOff>251460</xdr:rowOff>
                  </to>
                </anchor>
              </controlPr>
            </control>
          </mc:Choice>
        </mc:AlternateContent>
        <mc:AlternateContent xmlns:mc="http://schemas.openxmlformats.org/markup-compatibility/2006">
          <mc:Choice Requires="x14">
            <control shapeId="115717" r:id="rId6" name="Check Box 5">
              <controlPr defaultSize="0" autoPict="0">
                <anchor moveWithCells="1">
                  <from>
                    <xdr:col>3</xdr:col>
                    <xdr:colOff>228600</xdr:colOff>
                    <xdr:row>7</xdr:row>
                    <xdr:rowOff>30480</xdr:rowOff>
                  </from>
                  <to>
                    <xdr:col>3</xdr:col>
                    <xdr:colOff>1623060</xdr:colOff>
                    <xdr:row>7</xdr:row>
                    <xdr:rowOff>220980</xdr:rowOff>
                  </to>
                </anchor>
              </controlPr>
            </control>
          </mc:Choice>
        </mc:AlternateContent>
        <mc:AlternateContent xmlns:mc="http://schemas.openxmlformats.org/markup-compatibility/2006">
          <mc:Choice Requires="x14">
            <control shapeId="115718" r:id="rId7" name="Check Box 6">
              <controlPr defaultSize="0" autoPict="0">
                <anchor moveWithCells="1">
                  <from>
                    <xdr:col>3</xdr:col>
                    <xdr:colOff>251460</xdr:colOff>
                    <xdr:row>8</xdr:row>
                    <xdr:rowOff>60960</xdr:rowOff>
                  </from>
                  <to>
                    <xdr:col>3</xdr:col>
                    <xdr:colOff>1546860</xdr:colOff>
                    <xdr:row>8</xdr:row>
                    <xdr:rowOff>251460</xdr:rowOff>
                  </to>
                </anchor>
              </controlPr>
            </control>
          </mc:Choice>
        </mc:AlternateContent>
        <mc:AlternateContent xmlns:mc="http://schemas.openxmlformats.org/markup-compatibility/2006">
          <mc:Choice Requires="x14">
            <control shapeId="115719" r:id="rId8" name="Check Box 7">
              <controlPr defaultSize="0" autoPict="0">
                <anchor moveWithCells="1">
                  <from>
                    <xdr:col>3</xdr:col>
                    <xdr:colOff>228600</xdr:colOff>
                    <xdr:row>9</xdr:row>
                    <xdr:rowOff>68580</xdr:rowOff>
                  </from>
                  <to>
                    <xdr:col>3</xdr:col>
                    <xdr:colOff>1623060</xdr:colOff>
                    <xdr:row>9</xdr:row>
                    <xdr:rowOff>259080</xdr:rowOff>
                  </to>
                </anchor>
              </controlPr>
            </control>
          </mc:Choice>
        </mc:AlternateContent>
        <mc:AlternateContent xmlns:mc="http://schemas.openxmlformats.org/markup-compatibility/2006">
          <mc:Choice Requires="x14">
            <control shapeId="115727" r:id="rId9" name="Check Box 15">
              <controlPr defaultSize="0" autoPict="0">
                <anchor moveWithCells="1">
                  <from>
                    <xdr:col>3</xdr:col>
                    <xdr:colOff>213360</xdr:colOff>
                    <xdr:row>10</xdr:row>
                    <xdr:rowOff>68580</xdr:rowOff>
                  </from>
                  <to>
                    <xdr:col>3</xdr:col>
                    <xdr:colOff>1623060</xdr:colOff>
                    <xdr:row>10</xdr:row>
                    <xdr:rowOff>259080</xdr:rowOff>
                  </to>
                </anchor>
              </controlPr>
            </control>
          </mc:Choice>
        </mc:AlternateContent>
        <mc:AlternateContent xmlns:mc="http://schemas.openxmlformats.org/markup-compatibility/2006">
          <mc:Choice Requires="x14">
            <control shapeId="115728" r:id="rId10" name="Check Box 16">
              <controlPr defaultSize="0" autoPict="0">
                <anchor moveWithCells="1">
                  <from>
                    <xdr:col>3</xdr:col>
                    <xdr:colOff>213360</xdr:colOff>
                    <xdr:row>11</xdr:row>
                    <xdr:rowOff>60960</xdr:rowOff>
                  </from>
                  <to>
                    <xdr:col>3</xdr:col>
                    <xdr:colOff>1623060</xdr:colOff>
                    <xdr:row>11</xdr:row>
                    <xdr:rowOff>251460</xdr:rowOff>
                  </to>
                </anchor>
              </controlPr>
            </control>
          </mc:Choice>
        </mc:AlternateContent>
        <mc:AlternateContent xmlns:mc="http://schemas.openxmlformats.org/markup-compatibility/2006">
          <mc:Choice Requires="x14">
            <control shapeId="115729" r:id="rId11" name="Check Box 17">
              <controlPr defaultSize="0" autoPict="0">
                <anchor moveWithCells="1">
                  <from>
                    <xdr:col>3</xdr:col>
                    <xdr:colOff>213360</xdr:colOff>
                    <xdr:row>12</xdr:row>
                    <xdr:rowOff>45720</xdr:rowOff>
                  </from>
                  <to>
                    <xdr:col>3</xdr:col>
                    <xdr:colOff>1623060</xdr:colOff>
                    <xdr:row>12</xdr:row>
                    <xdr:rowOff>236220</xdr:rowOff>
                  </to>
                </anchor>
              </controlPr>
            </control>
          </mc:Choice>
        </mc:AlternateContent>
        <mc:AlternateContent xmlns:mc="http://schemas.openxmlformats.org/markup-compatibility/2006">
          <mc:Choice Requires="x14">
            <control shapeId="115730" r:id="rId12" name="Button 18">
              <controlPr defaultSize="0" print="0" autoFill="0" autoPict="0" macro="[0]!取原值">
                <anchor moveWithCells="1" sizeWithCells="1">
                  <from>
                    <xdr:col>2</xdr:col>
                    <xdr:colOff>152400</xdr:colOff>
                    <xdr:row>1</xdr:row>
                    <xdr:rowOff>99060</xdr:rowOff>
                  </from>
                  <to>
                    <xdr:col>2</xdr:col>
                    <xdr:colOff>731520</xdr:colOff>
                    <xdr:row>1</xdr:row>
                    <xdr:rowOff>350520</xdr:rowOff>
                  </to>
                </anchor>
              </controlPr>
            </control>
          </mc:Choice>
        </mc:AlternateContent>
        <mc:AlternateContent xmlns:mc="http://schemas.openxmlformats.org/markup-compatibility/2006">
          <mc:Choice Requires="x14">
            <control shapeId="115735" r:id="rId13" name="Button 23">
              <controlPr defaultSize="0" print="0" autoFill="0" autoPict="0" macro="[0]!单变量分析结果存档">
                <anchor moveWithCells="1" sizeWithCells="1">
                  <from>
                    <xdr:col>3</xdr:col>
                    <xdr:colOff>60960</xdr:colOff>
                    <xdr:row>1</xdr:row>
                    <xdr:rowOff>68580</xdr:rowOff>
                  </from>
                  <to>
                    <xdr:col>3</xdr:col>
                    <xdr:colOff>1295400</xdr:colOff>
                    <xdr:row>1</xdr:row>
                    <xdr:rowOff>350520</xdr:rowOff>
                  </to>
                </anchor>
              </controlPr>
            </control>
          </mc:Choice>
        </mc:AlternateContent>
        <mc:AlternateContent xmlns:mc="http://schemas.openxmlformats.org/markup-compatibility/2006">
          <mc:Choice Requires="x14">
            <control shapeId="115736" r:id="rId14" name="Button 24">
              <controlPr defaultSize="0" print="0" autoFill="0" autoPict="0" macro="[0]!多变量分析结果存档">
                <anchor moveWithCells="1" sizeWithCells="1">
                  <from>
                    <xdr:col>4</xdr:col>
                    <xdr:colOff>60960</xdr:colOff>
                    <xdr:row>1</xdr:row>
                    <xdr:rowOff>60960</xdr:rowOff>
                  </from>
                  <to>
                    <xdr:col>5</xdr:col>
                    <xdr:colOff>617220</xdr:colOff>
                    <xdr:row>1</xdr:row>
                    <xdr:rowOff>327660</xdr:rowOff>
                  </to>
                </anchor>
              </controlPr>
            </control>
          </mc:Choice>
        </mc:AlternateContent>
        <mc:AlternateContent xmlns:mc="http://schemas.openxmlformats.org/markup-compatibility/2006">
          <mc:Choice Requires="x14">
            <control shapeId="115737" r:id="rId15" name="Button 25">
              <controlPr defaultSize="0" print="0" autoFill="0" autoPict="0" macro="[0]!清空">
                <anchor moveWithCells="1" sizeWithCells="1">
                  <from>
                    <xdr:col>8</xdr:col>
                    <xdr:colOff>160020</xdr:colOff>
                    <xdr:row>1</xdr:row>
                    <xdr:rowOff>99060</xdr:rowOff>
                  </from>
                  <to>
                    <xdr:col>8</xdr:col>
                    <xdr:colOff>746760</xdr:colOff>
                    <xdr:row>1</xdr:row>
                    <xdr:rowOff>342900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8">
    <tabColor theme="5" tint="0.59999389629810485"/>
  </sheetPr>
  <dimension ref="A2:AC18"/>
  <sheetViews>
    <sheetView showGridLines="0" tabSelected="1" workbookViewId="0">
      <selection activeCell="C3" sqref="C3"/>
    </sheetView>
  </sheetViews>
  <sheetFormatPr defaultRowHeight="14.4"/>
  <cols>
    <col min="1" max="1" width="10.33203125" style="828" bestFit="1" customWidth="1"/>
    <col min="2" max="3" width="8.77734375" style="828"/>
    <col min="4" max="4" width="3.109375" customWidth="1"/>
    <col min="5" max="8" width="13.6640625" customWidth="1"/>
    <col min="9" max="9" width="2.21875" style="828" customWidth="1"/>
    <col min="10" max="10" width="2.21875" customWidth="1"/>
    <col min="11" max="11" width="25.77734375" style="828" customWidth="1"/>
    <col min="12" max="12" width="25.77734375" customWidth="1"/>
    <col min="13" max="13" width="25.77734375" style="828" customWidth="1"/>
    <col min="14" max="14" width="24.21875" customWidth="1"/>
    <col min="15" max="16" width="3.88671875" style="828" customWidth="1"/>
    <col min="17" max="29" width="12.88671875" customWidth="1"/>
  </cols>
  <sheetData>
    <row r="2" spans="1:29" ht="15.6">
      <c r="A2" s="2094" t="s">
        <v>2438</v>
      </c>
      <c r="B2" s="2094" t="s">
        <v>2441</v>
      </c>
      <c r="C2" s="984" t="s">
        <v>2421</v>
      </c>
      <c r="E2" s="2402" t="s">
        <v>2244</v>
      </c>
      <c r="F2" s="2369" t="s">
        <v>2303</v>
      </c>
      <c r="G2" s="2369" t="s">
        <v>32</v>
      </c>
      <c r="H2" s="2369" t="s">
        <v>2304</v>
      </c>
      <c r="I2" s="2404"/>
      <c r="K2" s="2398" t="s">
        <v>2439</v>
      </c>
      <c r="L2" s="2369" t="s">
        <v>2303</v>
      </c>
      <c r="M2" s="2369" t="s">
        <v>32</v>
      </c>
      <c r="N2" s="2369" t="s">
        <v>2304</v>
      </c>
      <c r="Q2" s="2390">
        <v>2018</v>
      </c>
      <c r="R2" s="2387" t="s">
        <v>1851</v>
      </c>
      <c r="S2" s="2387" t="s">
        <v>1852</v>
      </c>
      <c r="T2" s="2387" t="s">
        <v>1853</v>
      </c>
      <c r="U2" s="2387" t="s">
        <v>1854</v>
      </c>
      <c r="V2" s="2387" t="s">
        <v>1855</v>
      </c>
      <c r="W2" s="2387" t="s">
        <v>1856</v>
      </c>
      <c r="X2" s="2387" t="s">
        <v>1857</v>
      </c>
      <c r="Y2" s="2387" t="s">
        <v>1858</v>
      </c>
      <c r="Z2" s="2387" t="s">
        <v>1859</v>
      </c>
      <c r="AA2" s="2387" t="s">
        <v>1860</v>
      </c>
      <c r="AB2" s="2387" t="s">
        <v>1861</v>
      </c>
      <c r="AC2" s="2387" t="s">
        <v>1862</v>
      </c>
    </row>
    <row r="3" spans="1:29" ht="15.6">
      <c r="A3" s="2377" t="s">
        <v>2428</v>
      </c>
      <c r="B3" s="2389">
        <f>关键业绩指标滚动预判!O25+关键业绩指标滚动预判!O26</f>
        <v>1350.1200000000001</v>
      </c>
      <c r="C3" s="1634"/>
      <c r="E3" s="2089" t="s">
        <v>2243</v>
      </c>
      <c r="F3" s="2405">
        <f>国资委考核指标!G22</f>
        <v>-4.5323132180055232</v>
      </c>
      <c r="G3" s="2405">
        <f ca="1">国资委考核指标!G23</f>
        <v>-24.199425139865632</v>
      </c>
      <c r="H3" s="2405">
        <f t="shared" ref="H3:H6" ca="1" si="0">F3-G3</f>
        <v>19.667111921860108</v>
      </c>
      <c r="I3" s="2092"/>
      <c r="K3" s="2382" t="s">
        <v>1965</v>
      </c>
      <c r="L3" s="2378">
        <f>损益预算完成情况!E5</f>
        <v>896.77070800000001</v>
      </c>
      <c r="M3" s="2378">
        <f>损益表!G4</f>
        <v>890.25524394621448</v>
      </c>
      <c r="N3" s="2380">
        <f>L3-M3</f>
        <v>6.5154640537855357</v>
      </c>
      <c r="Q3" s="2382" t="s">
        <v>1965</v>
      </c>
      <c r="R3" s="2382">
        <f>损益预算完成情况!M5</f>
        <v>83.492232803600004</v>
      </c>
      <c r="S3" s="2382">
        <f>损益预算完成情况!N5</f>
        <v>63.925429839899998</v>
      </c>
      <c r="T3" s="2382">
        <f>损益预算完成情况!O5</f>
        <v>70.746372467100002</v>
      </c>
      <c r="U3" s="2382">
        <f>损益预算完成情况!P5</f>
        <v>63.150898991000005</v>
      </c>
      <c r="V3" s="2382">
        <f>损益预算完成情况!Q5</f>
        <v>69.794146742500004</v>
      </c>
      <c r="W3" s="2382">
        <f>损益预算完成情况!R5</f>
        <v>0</v>
      </c>
      <c r="X3" s="2382">
        <f>损益预算完成情况!S5</f>
        <v>0</v>
      </c>
      <c r="Y3" s="2382">
        <f>损益预算完成情况!T5</f>
        <v>0</v>
      </c>
      <c r="Z3" s="2382">
        <f>损益预算完成情况!U5</f>
        <v>0</v>
      </c>
      <c r="AA3" s="2382">
        <f>损益预算完成情况!V5</f>
        <v>0</v>
      </c>
      <c r="AB3" s="2382">
        <f>损益预算完成情况!W5</f>
        <v>0</v>
      </c>
      <c r="AC3" s="2382">
        <f>损益预算完成情况!X5</f>
        <v>0</v>
      </c>
    </row>
    <row r="4" spans="1:29" ht="15">
      <c r="A4" s="2377" t="s">
        <v>1999</v>
      </c>
      <c r="B4" s="2389">
        <f>假设!G14</f>
        <v>639.78462534290338</v>
      </c>
      <c r="C4" s="1634"/>
      <c r="E4" s="2089" t="s">
        <v>1205</v>
      </c>
      <c r="F4" s="2405">
        <f>损益预算完成情况!E4</f>
        <v>31.466924319999851</v>
      </c>
      <c r="G4" s="2405">
        <f ca="1">国资委考核指标!G9</f>
        <v>31.379227543914535</v>
      </c>
      <c r="H4" s="2405">
        <f t="shared" ca="1" si="0"/>
        <v>8.769677608531623E-2</v>
      </c>
      <c r="I4" s="2092"/>
      <c r="K4" s="2381" t="s">
        <v>2423</v>
      </c>
      <c r="L4" s="2378">
        <f>损益预算完成情况!E7</f>
        <v>856.22417199999984</v>
      </c>
      <c r="M4" s="2378">
        <f>实际收入!G7+实际收入!G8</f>
        <v>849.70870794621453</v>
      </c>
      <c r="N4" s="2380">
        <f t="shared" ref="N4:N9" si="1">L4-M4</f>
        <v>6.5154640537853084</v>
      </c>
      <c r="Q4" s="2381" t="s">
        <v>2423</v>
      </c>
      <c r="R4" s="2381">
        <f>损益预算完成情况!M7</f>
        <v>79.133822112100006</v>
      </c>
      <c r="S4" s="2381">
        <f>损益预算完成情况!N7</f>
        <v>60.4464905305</v>
      </c>
      <c r="T4" s="2381">
        <f>损益预算完成情况!O7</f>
        <v>67.365827622899999</v>
      </c>
      <c r="U4" s="2381">
        <f>损益预算完成情况!P7</f>
        <v>59.811432584999999</v>
      </c>
      <c r="V4" s="2381">
        <f>损益预算完成情况!Q7</f>
        <v>66.076378647399991</v>
      </c>
      <c r="W4" s="2381">
        <f>损益预算完成情况!R7</f>
        <v>0</v>
      </c>
      <c r="X4" s="2381">
        <f>损益预算完成情况!S7</f>
        <v>0</v>
      </c>
      <c r="Y4" s="2381">
        <f>损益预算完成情况!T7</f>
        <v>0</v>
      </c>
      <c r="Z4" s="2381">
        <f>损益预算完成情况!U7</f>
        <v>0</v>
      </c>
      <c r="AA4" s="2381">
        <f>损益预算完成情况!V7</f>
        <v>0</v>
      </c>
      <c r="AB4" s="2381">
        <f>损益预算完成情况!W7</f>
        <v>0</v>
      </c>
      <c r="AC4" s="2381">
        <f>损益预算完成情况!X7</f>
        <v>0</v>
      </c>
    </row>
    <row r="5" spans="1:29" ht="15.6">
      <c r="A5" s="2377" t="s">
        <v>2429</v>
      </c>
      <c r="B5" s="2379">
        <f>假设!G11</f>
        <v>1431.1214755140977</v>
      </c>
      <c r="C5" s="1634"/>
      <c r="E5" s="2089" t="s">
        <v>607</v>
      </c>
      <c r="F5" s="2406">
        <f>资产负债预算完成情况!C81/资产负债预算完成情况!C50</f>
        <v>0.30499881098344089</v>
      </c>
      <c r="G5" s="2406">
        <f ca="1">国资委考核指标!G5</f>
        <v>0.30373616747300303</v>
      </c>
      <c r="H5" s="2406">
        <f t="shared" ca="1" si="0"/>
        <v>1.2626435104378664E-3</v>
      </c>
      <c r="I5" s="2403"/>
      <c r="K5" s="2382" t="s">
        <v>2424</v>
      </c>
      <c r="L5" s="2378">
        <f>损益预算完成情况!E26</f>
        <v>866.48928367999997</v>
      </c>
      <c r="M5" s="2378">
        <f ca="1">损益表!G5</f>
        <v>859.81985121847856</v>
      </c>
      <c r="N5" s="2380">
        <f t="shared" ca="1" si="1"/>
        <v>6.66943246152141</v>
      </c>
      <c r="Q5" s="2382" t="s">
        <v>2424</v>
      </c>
      <c r="R5" s="2382">
        <f>损益预算完成情况!M26</f>
        <v>79.305822953499998</v>
      </c>
      <c r="S5" s="2382">
        <f>损益预算完成情况!N26</f>
        <v>62.164019300500001</v>
      </c>
      <c r="T5" s="2382">
        <f>损益预算完成情况!O26</f>
        <v>68.372594383100008</v>
      </c>
      <c r="U5" s="2382">
        <f>损益预算完成情况!P26</f>
        <v>60.927064808499999</v>
      </c>
      <c r="V5" s="2382">
        <f>损益预算完成情况!Q26</f>
        <v>67.943986067099999</v>
      </c>
      <c r="W5" s="2382">
        <f>损益预算完成情况!R26</f>
        <v>0</v>
      </c>
      <c r="X5" s="2382">
        <f>损益预算完成情况!S26</f>
        <v>0</v>
      </c>
      <c r="Y5" s="2382">
        <f>损益预算完成情况!T26</f>
        <v>0</v>
      </c>
      <c r="Z5" s="2382">
        <f>损益预算完成情况!U26</f>
        <v>0</v>
      </c>
      <c r="AA5" s="2382">
        <f>损益预算完成情况!V26</f>
        <v>0</v>
      </c>
      <c r="AB5" s="2382">
        <f>损益预算完成情况!W26</f>
        <v>0</v>
      </c>
      <c r="AC5" s="2382">
        <f>损益预算完成情况!X26</f>
        <v>0</v>
      </c>
    </row>
    <row r="6" spans="1:29" ht="15">
      <c r="A6" s="2377" t="s">
        <v>2422</v>
      </c>
      <c r="B6" s="2379">
        <f>假设!G18</f>
        <v>382.84</v>
      </c>
      <c r="C6" s="1634"/>
      <c r="E6" s="2161" t="s">
        <v>2322</v>
      </c>
      <c r="F6" s="2407">
        <v>1.7500000000000002E-2</v>
      </c>
      <c r="G6" s="2407">
        <f ca="1">主要评级指标表!G6</f>
        <v>1.763944534300349E-2</v>
      </c>
      <c r="H6" s="2406">
        <f t="shared" ca="1" si="0"/>
        <v>-1.3944534300348865E-4</v>
      </c>
      <c r="I6" s="2093"/>
      <c r="K6" s="2381" t="s">
        <v>2425</v>
      </c>
      <c r="L6" s="2378">
        <f>损益预算完成情况!E28</f>
        <v>547.53011119999996</v>
      </c>
      <c r="M6" s="2378">
        <f>实际收入!G19</f>
        <v>547.89054568581719</v>
      </c>
      <c r="N6" s="2380">
        <f t="shared" si="1"/>
        <v>-0.36043448581722259</v>
      </c>
      <c r="Q6" s="2381" t="s">
        <v>2425</v>
      </c>
      <c r="R6" s="2381">
        <f>损益预算完成情况!M28</f>
        <v>51.585655638009193</v>
      </c>
      <c r="S6" s="2381">
        <f>损益预算完成情况!N28</f>
        <v>39.091058828790793</v>
      </c>
      <c r="T6" s="2381">
        <f>损益预算完成情况!O28</f>
        <v>40.954933519235198</v>
      </c>
      <c r="U6" s="2381">
        <f>损益预算完成情况!P28</f>
        <v>35.103250240408393</v>
      </c>
      <c r="V6" s="2381">
        <f>损益预算完成情况!Q28</f>
        <v>40.202722986611995</v>
      </c>
      <c r="W6" s="2381">
        <f>损益预算完成情况!R28</f>
        <v>0</v>
      </c>
      <c r="X6" s="2381">
        <f>损益预算完成情况!S28</f>
        <v>0</v>
      </c>
      <c r="Y6" s="2381">
        <f>损益预算完成情况!T28</f>
        <v>0</v>
      </c>
      <c r="Z6" s="2381">
        <f>损益预算完成情况!U28</f>
        <v>0</v>
      </c>
      <c r="AA6" s="2381">
        <f>损益预算完成情况!V28</f>
        <v>0</v>
      </c>
      <c r="AB6" s="2381">
        <f>损益预算完成情况!W28</f>
        <v>0</v>
      </c>
      <c r="AC6" s="2381">
        <f>损益预算完成情况!X28</f>
        <v>0</v>
      </c>
    </row>
    <row r="7" spans="1:29" ht="15.6">
      <c r="A7" s="2399"/>
      <c r="B7" s="2400"/>
      <c r="C7" s="2401"/>
      <c r="K7" s="2382" t="s">
        <v>1204</v>
      </c>
      <c r="L7" s="2378">
        <f>资产负债预算完成情况!C50</f>
        <v>1920.4947</v>
      </c>
      <c r="M7" s="2378">
        <f ca="1">资产负债表!G31</f>
        <v>1928.3288084030385</v>
      </c>
      <c r="N7" s="2380">
        <f t="shared" ca="1" si="1"/>
        <v>-7.8341084030384991</v>
      </c>
      <c r="Q7" s="2382" t="s">
        <v>1452</v>
      </c>
      <c r="R7" s="2382">
        <f>损益预算完成情况!M61+损益预算完成情况!M62-损益预算完成情况!M63</f>
        <v>4.5013125150999995</v>
      </c>
      <c r="S7" s="2382">
        <f>损益预算完成情况!N61+损益预算完成情况!N62-损益预算完成情况!N63</f>
        <v>1.9987288882999996</v>
      </c>
      <c r="T7" s="2382">
        <f>损益预算完成情况!O61+损益预算完成情况!O62-损益预算完成情况!O63</f>
        <v>2.9999836027999995</v>
      </c>
      <c r="U7" s="2382">
        <f>损益预算完成情况!P61+损益预算完成情况!P62-损益预算完成情况!P63</f>
        <v>2.5012002807999996</v>
      </c>
      <c r="V7" s="2382">
        <f>损益预算完成情况!Q61+损益预算完成情况!Q62-损益预算完成情况!Q63</f>
        <v>1.9992224455000001</v>
      </c>
      <c r="W7" s="2382">
        <f>损益预算完成情况!R61+损益预算完成情况!R62-损益预算完成情况!R63</f>
        <v>0</v>
      </c>
      <c r="X7" s="2382">
        <f>损益预算完成情况!S61+损益预算完成情况!S62-损益预算完成情况!S63</f>
        <v>0</v>
      </c>
      <c r="Y7" s="2382">
        <f>损益预算完成情况!T61+损益预算完成情况!T62-损益预算完成情况!T63</f>
        <v>0</v>
      </c>
      <c r="Z7" s="2382">
        <f>损益预算完成情况!U61+损益预算完成情况!U62-损益预算完成情况!U63</f>
        <v>0</v>
      </c>
      <c r="AA7" s="2382">
        <f>损益预算完成情况!V61+损益预算完成情况!V62-损益预算完成情况!V63</f>
        <v>0</v>
      </c>
      <c r="AB7" s="2382">
        <f>损益预算完成情况!W61+损益预算完成情况!W62-损益预算完成情况!W63</f>
        <v>0</v>
      </c>
      <c r="AC7" s="2382">
        <f>损益预算完成情况!X61+损益预算完成情况!X62-损益预算完成情况!X63</f>
        <v>0</v>
      </c>
    </row>
    <row r="8" spans="1:29" ht="15.6">
      <c r="K8" s="2382" t="s">
        <v>1423</v>
      </c>
      <c r="L8" s="2379">
        <f>资产负债预算完成情况!C81</f>
        <v>585.74860000000001</v>
      </c>
      <c r="M8" s="2379">
        <f ca="1">资产负债表!G54</f>
        <v>585.70320189212168</v>
      </c>
      <c r="N8" s="2379">
        <f t="shared" ca="1" si="1"/>
        <v>4.539810787832721E-2</v>
      </c>
    </row>
    <row r="9" spans="1:29" ht="15.6">
      <c r="K9" s="2382" t="s">
        <v>2440</v>
      </c>
      <c r="L9" s="2379">
        <f>L7-L8</f>
        <v>1334.7460999999998</v>
      </c>
      <c r="M9" s="2379">
        <f ca="1">M7-M8</f>
        <v>1342.6256065109169</v>
      </c>
      <c r="N9" s="2379">
        <f t="shared" ca="1" si="1"/>
        <v>-7.8795065109170537</v>
      </c>
    </row>
    <row r="11" spans="1:29">
      <c r="E11" s="828"/>
      <c r="F11" s="828"/>
      <c r="G11" s="828"/>
      <c r="H11" s="828"/>
    </row>
    <row r="12" spans="1:29" s="828" customFormat="1">
      <c r="E12"/>
      <c r="F12"/>
      <c r="G12"/>
      <c r="H12"/>
    </row>
    <row r="13" spans="1:29">
      <c r="E13" s="828"/>
      <c r="F13" s="828"/>
      <c r="G13" s="828"/>
      <c r="H13" s="828"/>
    </row>
    <row r="14" spans="1:29" s="828" customFormat="1">
      <c r="E14"/>
      <c r="F14"/>
      <c r="G14"/>
      <c r="H14"/>
    </row>
    <row r="17" spans="5:8">
      <c r="E17" s="828"/>
      <c r="F17" s="828"/>
      <c r="G17" s="828"/>
      <c r="H17" s="828"/>
    </row>
    <row r="18" spans="5:8" s="828" customFormat="1">
      <c r="E18"/>
      <c r="F18"/>
      <c r="G18"/>
      <c r="H18"/>
    </row>
  </sheetData>
  <phoneticPr fontId="20"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tabColor rgb="FFC00000"/>
  </sheetPr>
  <dimension ref="A2:O59"/>
  <sheetViews>
    <sheetView showGridLines="0" topLeftCell="F9" zoomScaleNormal="100" workbookViewId="0">
      <selection activeCell="O28" sqref="O28"/>
    </sheetView>
  </sheetViews>
  <sheetFormatPr defaultColWidth="9" defaultRowHeight="15" outlineLevelRow="1"/>
  <cols>
    <col min="1" max="1" width="1.77734375" style="1956" customWidth="1"/>
    <col min="2" max="2" width="22.77734375" style="940" customWidth="1"/>
    <col min="3" max="8" width="11.6640625" style="940" customWidth="1"/>
    <col min="9" max="9" width="10.44140625" style="940" customWidth="1"/>
    <col min="10" max="10" width="21.88671875" style="940" bestFit="1" customWidth="1"/>
    <col min="11" max="11" width="11.6640625" style="940" customWidth="1"/>
    <col min="12" max="12" width="13.33203125" style="940" customWidth="1"/>
    <col min="13" max="14" width="11.6640625" style="940" customWidth="1"/>
    <col min="15" max="15" width="12.77734375" style="940" customWidth="1"/>
    <col min="16" max="16384" width="9" style="940"/>
  </cols>
  <sheetData>
    <row r="2" spans="2:15" ht="15.6" outlineLevel="1">
      <c r="B2" s="2440" t="s">
        <v>2244</v>
      </c>
      <c r="C2" s="2442" t="s">
        <v>2301</v>
      </c>
      <c r="D2" s="2443"/>
      <c r="E2" s="2443"/>
      <c r="F2" s="2444" t="s">
        <v>2302</v>
      </c>
      <c r="G2" s="2444"/>
      <c r="H2" s="2444"/>
      <c r="I2" s="2092"/>
      <c r="J2" s="2094" t="s">
        <v>1850</v>
      </c>
      <c r="K2" s="984" t="s">
        <v>2274</v>
      </c>
      <c r="L2" s="984" t="s">
        <v>2275</v>
      </c>
      <c r="M2" s="984" t="s">
        <v>2245</v>
      </c>
    </row>
    <row r="3" spans="2:15" ht="15.6" outlineLevel="1">
      <c r="B3" s="2441"/>
      <c r="C3" s="2088" t="s">
        <v>2303</v>
      </c>
      <c r="D3" s="2088" t="s">
        <v>32</v>
      </c>
      <c r="E3" s="2088" t="s">
        <v>2304</v>
      </c>
      <c r="F3" s="2088" t="s">
        <v>2305</v>
      </c>
      <c r="G3" s="2088" t="s">
        <v>32</v>
      </c>
      <c r="H3" s="2088" t="s">
        <v>2304</v>
      </c>
      <c r="I3" s="2092"/>
      <c r="J3" s="2095" t="s">
        <v>2019</v>
      </c>
      <c r="K3" s="949">
        <f>SUMIF($C$12:$N$12,"实际",C37:N37)</f>
        <v>532.83521704000009</v>
      </c>
      <c r="L3" s="949">
        <f>SUMIF($C$12:$N$12,"实际",C25:N25)</f>
        <v>501.85327926492823</v>
      </c>
      <c r="M3" s="1634"/>
    </row>
    <row r="4" spans="2:15" outlineLevel="1">
      <c r="B4" s="2089" t="s">
        <v>2243</v>
      </c>
      <c r="C4" s="2090">
        <v>0</v>
      </c>
      <c r="D4" s="2089">
        <f ca="1">G4</f>
        <v>-24.199425139865717</v>
      </c>
      <c r="E4" s="2089">
        <f ca="1">C4-D4</f>
        <v>24.199425139865717</v>
      </c>
      <c r="F4" s="2089">
        <f>国资委考核指标!G22</f>
        <v>-4.5323132180055232</v>
      </c>
      <c r="G4" s="2089">
        <f ca="1">国资委考核指标!G23</f>
        <v>-24.199425139865632</v>
      </c>
      <c r="H4" s="2089">
        <f ca="1">F4-G4</f>
        <v>19.667111921860108</v>
      </c>
      <c r="I4" s="2092"/>
      <c r="J4" s="2096" t="s">
        <v>2273</v>
      </c>
      <c r="K4" s="949">
        <f>SUMIF($C$12:$N$12,"实际",C38:N38)</f>
        <v>12.3425136</v>
      </c>
      <c r="L4" s="949">
        <f>SUMIF($C$12:$N$12,"实际",C26:N26)</f>
        <v>19.34837412058323</v>
      </c>
      <c r="M4" s="1634"/>
    </row>
    <row r="5" spans="2:15" outlineLevel="1">
      <c r="B5" s="2089" t="s">
        <v>1205</v>
      </c>
      <c r="C5" s="2089">
        <f>损益预算完成情况!E4</f>
        <v>31.466924319999851</v>
      </c>
      <c r="D5" s="2089">
        <f t="shared" ref="D5:D6" ca="1" si="0">G5</f>
        <v>31.379227543914535</v>
      </c>
      <c r="E5" s="2089">
        <f t="shared" ref="E5:E6" ca="1" si="1">C5-D5</f>
        <v>8.769677608531623E-2</v>
      </c>
      <c r="F5" s="2089">
        <f>国资委考核指标!G8</f>
        <v>30.636240490199999</v>
      </c>
      <c r="G5" s="2089">
        <f ca="1">国资委考核指标!G9</f>
        <v>31.379227543914535</v>
      </c>
      <c r="H5" s="2089">
        <f t="shared" ref="H5:H6" ca="1" si="2">F5-G5</f>
        <v>-0.74298705371453622</v>
      </c>
      <c r="I5" s="2092"/>
      <c r="J5" s="2097" t="s">
        <v>1897</v>
      </c>
      <c r="K5" s="949">
        <f>SUMIF($C$12:$N$12,"实际",C40:N40)</f>
        <v>540.53291508999996</v>
      </c>
      <c r="L5" s="949">
        <f>SUMIF($C$12:$N$12,"实际",C28:N28)</f>
        <v>552.49413555259991</v>
      </c>
      <c r="M5" s="1634"/>
    </row>
    <row r="6" spans="2:15" outlineLevel="1">
      <c r="B6" s="2089" t="s">
        <v>607</v>
      </c>
      <c r="C6" s="2091">
        <f>资产负债预算完成情况!C81/资产负债预算完成情况!C50</f>
        <v>0.30499881098344089</v>
      </c>
      <c r="D6" s="2384">
        <f t="shared" ca="1" si="0"/>
        <v>0.30373616747300303</v>
      </c>
      <c r="E6" s="2384">
        <f t="shared" ca="1" si="1"/>
        <v>1.2626435104378664E-3</v>
      </c>
      <c r="F6" s="2384">
        <f>国资委考核指标!G4</f>
        <v>0.28243178002711705</v>
      </c>
      <c r="G6" s="2384">
        <f ca="1">国资委考核指标!G5</f>
        <v>0.30373616747300303</v>
      </c>
      <c r="H6" s="2384">
        <f t="shared" ca="1" si="2"/>
        <v>-2.1304387445885975E-2</v>
      </c>
      <c r="I6" s="2093"/>
      <c r="J6" s="2097" t="s">
        <v>1898</v>
      </c>
      <c r="K6" s="949">
        <f>AVERAGEIF($C$12:$N$12,"实际",C41:N41)</f>
        <v>389.41196581196584</v>
      </c>
      <c r="L6" s="949">
        <f>AVERAGEIF($C$12:$N$12,"实际",C29:N29)</f>
        <v>388.8854700854701</v>
      </c>
      <c r="M6" s="1634"/>
    </row>
    <row r="7" spans="2:15" outlineLevel="1">
      <c r="B7" s="2161" t="s">
        <v>2322</v>
      </c>
      <c r="C7" s="2097"/>
      <c r="D7" s="2160">
        <f ca="1">主要评级指标表!G6</f>
        <v>1.763944534300349E-2</v>
      </c>
      <c r="E7" s="2097"/>
      <c r="F7" s="2097"/>
      <c r="G7" s="2160">
        <f ca="1">主要评级指标表!G6</f>
        <v>1.763944534300349E-2</v>
      </c>
      <c r="H7" s="2097"/>
      <c r="I7" s="1988"/>
      <c r="J7" s="2097" t="s">
        <v>1899</v>
      </c>
      <c r="K7" s="949">
        <f>SUMIF($C$12:$N$12,"实际",C42:N42)</f>
        <v>8.3989809900000001</v>
      </c>
      <c r="L7" s="949">
        <f>SUMIF($C$12:$N$12,"实际",C30:N30)</f>
        <v>6.4171223225593472</v>
      </c>
      <c r="M7" s="1634"/>
    </row>
    <row r="8" spans="2:15" outlineLevel="1">
      <c r="I8" s="1988"/>
      <c r="J8" s="2097" t="s">
        <v>1900</v>
      </c>
      <c r="K8" s="949">
        <f>SUMIF($C$12:$N$12,"实际",C43:N43)</f>
        <v>18.5754333553</v>
      </c>
      <c r="L8" s="949">
        <f>SUMIF($C$12:$N$12,"实际",C31:N31)</f>
        <v>11.024366652403641</v>
      </c>
      <c r="M8" s="1634"/>
    </row>
    <row r="9" spans="2:15" outlineLevel="1">
      <c r="I9" s="1988"/>
      <c r="J9" s="2097" t="s">
        <v>1901</v>
      </c>
      <c r="K9" s="949">
        <f>SUMIF($C$12:$N$12,"实际",C44:N44)</f>
        <v>26.644854560799978</v>
      </c>
      <c r="L9" s="949">
        <f>SUMIF($C$12:$N$12,"实际",C32:N32)</f>
        <v>22.437985696118155</v>
      </c>
      <c r="M9" s="1634"/>
    </row>
    <row r="10" spans="2:15" outlineLevel="1">
      <c r="I10" s="1988"/>
      <c r="J10" s="2097" t="s">
        <v>1902</v>
      </c>
      <c r="K10" s="949">
        <f>SUMIF($C$12:$N$12,"实际",C45:N45)</f>
        <v>1.5659313156000001</v>
      </c>
      <c r="L10" s="949">
        <f>SUMIF($C$12:$N$12,"实际",C33:N33)</f>
        <v>2.3793427624545527</v>
      </c>
      <c r="M10" s="1634"/>
    </row>
    <row r="12" spans="2:15">
      <c r="B12" s="986" t="s">
        <v>1915</v>
      </c>
      <c r="C12" s="987" t="s">
        <v>1914</v>
      </c>
      <c r="D12" s="987" t="s">
        <v>1914</v>
      </c>
      <c r="E12" s="987" t="s">
        <v>1914</v>
      </c>
      <c r="F12" s="987" t="s">
        <v>1914</v>
      </c>
      <c r="G12" s="987" t="s">
        <v>1914</v>
      </c>
      <c r="H12" s="987" t="s">
        <v>1904</v>
      </c>
      <c r="I12" s="987" t="s">
        <v>1904</v>
      </c>
      <c r="J12" s="987" t="s">
        <v>1904</v>
      </c>
      <c r="K12" s="987" t="s">
        <v>1904</v>
      </c>
      <c r="L12" s="987" t="s">
        <v>1904</v>
      </c>
      <c r="M12" s="987" t="s">
        <v>1904</v>
      </c>
      <c r="N12" s="987" t="s">
        <v>1904</v>
      </c>
      <c r="O12" s="1989" t="s">
        <v>2242</v>
      </c>
    </row>
    <row r="13" spans="2:15" ht="15.6">
      <c r="B13" s="984" t="s">
        <v>1913</v>
      </c>
      <c r="C13" s="984" t="s">
        <v>1851</v>
      </c>
      <c r="D13" s="984" t="s">
        <v>1852</v>
      </c>
      <c r="E13" s="984" t="s">
        <v>1853</v>
      </c>
      <c r="F13" s="984" t="s">
        <v>1854</v>
      </c>
      <c r="G13" s="984" t="s">
        <v>1855</v>
      </c>
      <c r="H13" s="984" t="s">
        <v>1856</v>
      </c>
      <c r="I13" s="984" t="s">
        <v>1857</v>
      </c>
      <c r="J13" s="984" t="s">
        <v>1858</v>
      </c>
      <c r="K13" s="984" t="s">
        <v>1859</v>
      </c>
      <c r="L13" s="984" t="s">
        <v>1860</v>
      </c>
      <c r="M13" s="984" t="s">
        <v>1861</v>
      </c>
      <c r="N13" s="984" t="s">
        <v>1862</v>
      </c>
      <c r="O13" s="984" t="s">
        <v>1903</v>
      </c>
    </row>
    <row r="14" spans="2:15" ht="15.6">
      <c r="B14" s="1806" t="s">
        <v>2019</v>
      </c>
      <c r="C14" s="988">
        <f>IF(C$12="实际",C37,C25)</f>
        <v>126.98507272000001</v>
      </c>
      <c r="D14" s="988">
        <f>IF(D$12="实际",D37,($O25-SUM($C14:C14))*关键参数底稿!D135/SUM(关键参数底稿!D135:$N135)*(1+AVERAGE($C49:C49)))</f>
        <v>101.78179723999999</v>
      </c>
      <c r="E14" s="988">
        <f>IF(E$12="实际",E37,($O25-SUM($C14:D14))*关键参数底稿!E135/SUM(关键参数底稿!E135:$N135)*(1+AVERAGE($C49:D49)))</f>
        <v>110.7958589</v>
      </c>
      <c r="F14" s="988">
        <f>IF(F$12="实际",F37,($O25-SUM($C14:E14))*关键参数底稿!F135/SUM(关键参数底稿!F135:$N135)*(1+AVERAGE($C49:E49)))</f>
        <v>93.889002670000011</v>
      </c>
      <c r="G14" s="988">
        <f>IF(G$12="实际",G37,($O25-SUM($C14:F14))*关键参数底稿!G135/SUM(关键参数底稿!G135:$N135)*(1+AVERAGE($C49:F49)))</f>
        <v>99.383485510000014</v>
      </c>
      <c r="H14" s="988">
        <f>IF(H$12="实际",H37,($O25-SUM($C14:G14))*关键参数底稿!H135/SUM(关键参数底稿!H135:$N135)*(1+AVERAGE($C49:G49)))</f>
        <v>102.61951250707494</v>
      </c>
      <c r="I14" s="988">
        <f>IF(I$12="实际",I37,($O25-SUM($C14:H14))*关键参数底稿!I135/SUM(关键参数底稿!I135:$N135)*(1+AVERAGE($C49:H49)))</f>
        <v>126.42431000038563</v>
      </c>
      <c r="J14" s="988">
        <f>IF(J$12="实际",J37,($O25-SUM($C14:I14))*关键参数底稿!J135/SUM(关键参数底稿!J135:$N135)*(1+AVERAGE($C49:I49)))</f>
        <v>138.63219425027484</v>
      </c>
      <c r="K14" s="988">
        <f>IF(K$12="实际",K37,($O25-SUM($C14:J14))*关键参数底稿!K135/SUM(关键参数底稿!K135:$N135)*(1+AVERAGE($C49:J49)))</f>
        <v>113.79258123840677</v>
      </c>
      <c r="L14" s="988">
        <f>IF(L$12="实际",L37,($O25-SUM($C14:K14))*关键参数底稿!L135/SUM(关键参数底稿!L135:$N135)*(1+AVERAGE($C49:K49)))</f>
        <v>95.44825054273366</v>
      </c>
      <c r="M14" s="988">
        <f>IF(M$12="实际",M37,($O25-SUM($C14:L14))*关键参数底稿!M135/SUM(关键参数底稿!M135:$N135)*(1+AVERAGE($C49:L49)))</f>
        <v>91.710836525444705</v>
      </c>
      <c r="N14" s="988">
        <f>IF(N$12="实际",N37,($O25-SUM($C14:M14))*关键参数底稿!N135/SUM(关键参数底稿!N135:$N135)*(1+AVERAGE($C49:M49)))</f>
        <v>101.22510090844088</v>
      </c>
      <c r="O14" s="1880">
        <f>SUM(C14:N14)</f>
        <v>1302.6880030127616</v>
      </c>
    </row>
    <row r="15" spans="2:15" ht="15.6">
      <c r="B15" s="1903" t="s">
        <v>2216</v>
      </c>
      <c r="C15" s="988">
        <f>IF(C$12="实际",C38,C26)</f>
        <v>2.6404566999999997</v>
      </c>
      <c r="D15" s="988">
        <f>IF(D$12="实际",D38,($O26-SUM($C15:C15))*关键参数底稿!D136/SUM(关键参数底稿!D136:$N136)*(1+AVERAGE($C50:C50)))</f>
        <v>2.5773360999999997</v>
      </c>
      <c r="E15" s="988">
        <f>IF(E$12="实际",E38,($O26-SUM($C15:D15))*关键参数底稿!E136/SUM(关键参数底稿!E136:$N136)*(1+AVERAGE($C50:D50)))</f>
        <v>4.6342942000000003</v>
      </c>
      <c r="F15" s="988">
        <f>IF(F$12="实际",F38,($O26-SUM($C15:E15))*关键参数底稿!F136/SUM(关键参数底稿!F136:$N136)*(1+AVERAGE($C50:E50)))</f>
        <v>2.4904266000000002</v>
      </c>
      <c r="G15" s="988">
        <f>IF(G$12="实际",G38,($O26-SUM($C15:F15))*关键参数底稿!G136/SUM(关键参数底稿!G136:$N136)*(1+AVERAGE($C50:F50)))</f>
        <v>0</v>
      </c>
      <c r="H15" s="988">
        <f>IF(H$12="实际",H38,($O26-SUM($C15:G15))*关键参数底稿!H136/SUM(关键参数底稿!H136:$N136)*(1+AVERAGE($C50:G50)))</f>
        <v>4.1645416635314279</v>
      </c>
      <c r="I15" s="988">
        <f>IF(I$12="实际",I38,($O26-SUM($C15:H15))*关键参数底稿!I136/SUM(关键参数底稿!I136:$N136)*(1+AVERAGE($C50:H50)))</f>
        <v>6.1321494720928298</v>
      </c>
      <c r="J15" s="988">
        <f>IF(J$12="实际",J38,($O26-SUM($C15:I15))*关键参数底稿!J136/SUM(关键参数底稿!J136:$N136)*(1+AVERAGE($C50:I50)))</f>
        <v>6.535404756978517</v>
      </c>
      <c r="K15" s="988">
        <f>IF(K$12="实际",K38,($O26-SUM($C15:J15))*关键参数底稿!K136/SUM(关键参数底稿!K136:$N136)*(1+AVERAGE($C50:J50)))</f>
        <v>5.6673587937015473</v>
      </c>
      <c r="L15" s="988">
        <f>IF(L$12="实际",L38,($O26-SUM($C15:K15))*关键参数底稿!L136/SUM(关键参数底稿!L136:$N136)*(1+AVERAGE($C50:K50)))</f>
        <v>5.1581620024905455</v>
      </c>
      <c r="M15" s="988">
        <f>IF(M$12="实际",M38,($O26-SUM($C15:L15))*关键参数底稿!M136/SUM(关键参数底稿!M136:$N136)*(1+AVERAGE($C50:L50)))</f>
        <v>5.1727604554617965</v>
      </c>
      <c r="N15" s="988">
        <f>IF(N$12="实际",N38,($O26-SUM($C15:M15))*关键参数底稿!N136/SUM(关键参数底稿!N136:$N136)*(1+AVERAGE($C50:M50)))</f>
        <v>4.5624626404622255</v>
      </c>
      <c r="O15" s="1880">
        <f>SUM(C15:N15)</f>
        <v>49.735353384718891</v>
      </c>
    </row>
    <row r="16" spans="2:15" ht="13.2" customHeight="1">
      <c r="B16" s="952" t="s">
        <v>1896</v>
      </c>
      <c r="C16" s="988">
        <f>IF(C$12="实际",C39,C27)</f>
        <v>5.7587528182845071E-2</v>
      </c>
      <c r="D16" s="1868">
        <f>IF(D39&lt;&gt;0,D39,关键参数底稿!D127)</f>
        <v>3.1955024287345646E-3</v>
      </c>
      <c r="E16" s="1868">
        <f>IF(E39&lt;&gt;0,E39,关键参数底稿!E127)</f>
        <v>-3.5701513258569184E-2</v>
      </c>
      <c r="F16" s="1868">
        <f>IF(F39&lt;&gt;0,F39,关键参数底稿!F127)</f>
        <v>-2.3964035695078101E-2</v>
      </c>
      <c r="G16" s="1868">
        <f>IF(G39&lt;&gt;0,G39,关键参数底稿!G127)</f>
        <v>5.359710074069246E-2</v>
      </c>
      <c r="H16" s="1868">
        <f>IF(H39&lt;&gt;0,H39,关键参数底稿!H127)</f>
        <v>5.6638577956651157E-2</v>
      </c>
      <c r="I16" s="1868">
        <f>IF(I39&lt;&gt;0,I39,关键参数底稿!I127)</f>
        <v>5.6638577956651157E-2</v>
      </c>
      <c r="J16" s="1868">
        <f>IF(J39&lt;&gt;0,J39,关键参数底稿!J127)</f>
        <v>5.6638577956651157E-2</v>
      </c>
      <c r="K16" s="1868">
        <f>IF(K39&lt;&gt;0,K39,关键参数底稿!K127)</f>
        <v>5.6638577956651157E-2</v>
      </c>
      <c r="L16" s="1868">
        <f>IF(L39&lt;&gt;0,L39,关键参数底稿!L127)</f>
        <v>5.6638577956651157E-2</v>
      </c>
      <c r="M16" s="1868">
        <f>IF(M39&lt;&gt;0,M39,关键参数底稿!M127)</f>
        <v>5.6638577956651157E-2</v>
      </c>
      <c r="N16" s="1868">
        <f>IF(N39&lt;&gt;0,N39,关键参数底稿!N127)</f>
        <v>5.6638577956651157E-2</v>
      </c>
      <c r="O16" s="983">
        <f>O17/O14-1</f>
        <v>9.9867221175986343E-2</v>
      </c>
    </row>
    <row r="17" spans="2:15">
      <c r="B17" s="949" t="s">
        <v>1897</v>
      </c>
      <c r="C17" s="988">
        <f>IF(C$12="实际",C40,C28)</f>
        <v>134.74468612999999</v>
      </c>
      <c r="D17" s="988">
        <f>IF(D$12="实际",D40,($O28-SUM($C17:C17))*关键参数底稿!D136/SUM(关键参数底稿!D136:$N136)*(1+AVERAGE($C52:C52)))</f>
        <v>102.10808387</v>
      </c>
      <c r="E17" s="988">
        <f>IF(E$12="实际",E40,($O28-SUM($C17:D17))*关键参数底稿!E136/SUM(关键参数底稿!E136:$N136)*(1+AVERAGE($C52:D52)))</f>
        <v>106.97663128000001</v>
      </c>
      <c r="F17" s="988">
        <f>IF(F$12="实际",F40,($O28-SUM($C17:E17))*关键参数底稿!F136/SUM(关键参数底稿!F136:$N136)*(1+AVERAGE($C52:E52)))</f>
        <v>91.691699509999992</v>
      </c>
      <c r="G17" s="988">
        <f>IF(G$12="实际",G40,($O28-SUM($C17:F17))*关键参数底稿!G136/SUM(关键参数底稿!G136:$N136)*(1+AVERAGE($C52:F52)))</f>
        <v>105.0118143</v>
      </c>
      <c r="H17" s="988">
        <f>IF(H$12="实际",H40,($O28-SUM($C17:G17))*关键参数底稿!H136/SUM(关键参数底稿!H136:$N136)*(1+AVERAGE($C52:G52)))</f>
        <v>123.77234749698573</v>
      </c>
      <c r="I17" s="988">
        <f>IF(I$12="实际",I40,($O28-SUM($C17:H17))*关键参数底稿!I136/SUM(关键参数底稿!I136:$N136)*(1+AVERAGE($C52:H52)))</f>
        <v>169.27863377063386</v>
      </c>
      <c r="J17" s="988">
        <f>IF(J$12="实际",J40,($O28-SUM($C17:I17))*关键参数底稿!J136/SUM(关键参数底稿!J136:$N136)*(1+AVERAGE($C52:I52)))</f>
        <v>167.10194148691258</v>
      </c>
      <c r="K17" s="988">
        <f>IF(K$12="实际",K40,($O28-SUM($C17:J17))*关键参数底稿!K136/SUM(关键参数底稿!K136:$N136)*(1+AVERAGE($C52:J52)))</f>
        <v>134.09285707949252</v>
      </c>
      <c r="L17" s="988">
        <f>IF(L$12="实际",L40,($O28-SUM($C17:K17))*关键参数底稿!L136/SUM(关键参数底稿!L136:$N136)*(1+AVERAGE($C52:K52)))</f>
        <v>113.34277470509146</v>
      </c>
      <c r="M17" s="988">
        <f>IF(M$12="实际",M40,($O28-SUM($C17:L17))*关键参数底稿!M136/SUM(关键参数底稿!M136:$N136)*(1+AVERAGE($C52:L52)))</f>
        <v>104.62287900111851</v>
      </c>
      <c r="N17" s="988">
        <f>IF(N$12="实际",N40,($O28-SUM($C17:M17))*关键参数底稿!N136/SUM(关键参数底稿!N136:$N136)*(1+AVERAGE($C52:M52)))</f>
        <v>80.039485302706339</v>
      </c>
      <c r="O17" s="949">
        <f>SUM(C17:N17)</f>
        <v>1432.783833932941</v>
      </c>
    </row>
    <row r="18" spans="2:15">
      <c r="B18" s="949" t="s">
        <v>1898</v>
      </c>
      <c r="C18" s="988">
        <f>IF(C$12="实际",C41,C29)</f>
        <v>391.95726495726495</v>
      </c>
      <c r="D18" s="988">
        <f>IF(D$12="实际",D41,D29)</f>
        <v>387.37606837606842</v>
      </c>
      <c r="E18" s="988">
        <f>IF(E$12="实际",E41,关键参数底稿!E130+AVERAGE($C53:D53))</f>
        <v>379.65811965811969</v>
      </c>
      <c r="F18" s="988">
        <f>IF(F$12="实际",F41,关键参数底稿!F130+AVERAGE($C53:E53))</f>
        <v>391.80341880341882</v>
      </c>
      <c r="G18" s="988">
        <f>IF(G$12="实际",G41,关键参数底稿!G130+AVERAGE($C53:F53))</f>
        <v>396.26495726495727</v>
      </c>
      <c r="H18" s="988">
        <f>IF(H$12="实际",H41,关键参数底稿!H130+AVERAGE($C53:G53))</f>
        <v>381.10769230769233</v>
      </c>
      <c r="I18" s="988">
        <f>IF(I$12="实际",I41,关键参数底稿!I130+AVERAGE($C53:H53))</f>
        <v>387.34352903605537</v>
      </c>
      <c r="J18" s="988">
        <f>IF(J$12="实际",J41,关键参数底稿!J130+AVERAGE($C53:I53))</f>
        <v>367.84883599702869</v>
      </c>
      <c r="K18" s="988">
        <f>IF(K$12="实际",K41,关键参数底稿!K130+AVERAGE($C53:J53))</f>
        <v>370.18543786266736</v>
      </c>
      <c r="L18" s="988">
        <f>IF(L$12="实际",L41,关键参数底稿!L130+AVERAGE($C53:K53))</f>
        <v>372.43800204694281</v>
      </c>
      <c r="M18" s="988">
        <f>IF(M$12="实际",M41,关键参数底稿!M130+AVERAGE($C53:L53))</f>
        <v>393.8118045684655</v>
      </c>
      <c r="N18" s="988">
        <f>IF(N$12="实际",N41,关键参数底稿!N130+AVERAGE($C53:M53))</f>
        <v>450.90598290598291</v>
      </c>
      <c r="O18" s="949">
        <f>SUMPRODUCT(C17:N17,C18:N18)/SUM(C17:N17)</f>
        <v>386.5710672214496</v>
      </c>
    </row>
    <row r="19" spans="2:15">
      <c r="B19" s="949" t="s">
        <v>1899</v>
      </c>
      <c r="C19" s="988">
        <f t="shared" ref="C19:C22" si="3">IF(C$12="实际",C42,C30)</f>
        <v>3.4353269999</v>
      </c>
      <c r="D19" s="988">
        <f>IF(D$12="实际",D42,($O30-SUM($C19:C19))*关键参数底稿!D137/SUM(关键参数底稿!D137:$N137))</f>
        <v>-1.1895896823000003</v>
      </c>
      <c r="E19" s="988">
        <f>IF(E$12="实际",E42,($O30-SUM($C19:D19))*关键参数底稿!E137/SUM(关键参数底稿!E137:$N137))</f>
        <v>2.8781154451999997</v>
      </c>
      <c r="F19" s="988">
        <f>IF(F$12="实际",F42,($O30-SUM($C19:E19))*关键参数底稿!F137/SUM(关键参数底稿!F137:$N137))</f>
        <v>0.87960911299999955</v>
      </c>
      <c r="G19" s="988">
        <f>IF(G$12="实际",G42,($O30-SUM($C19:F19))*关键参数底稿!G137/SUM(关键参数底稿!G137:$N137))</f>
        <v>2.3955191142000007</v>
      </c>
      <c r="H19" s="988">
        <f>IF(H$12="实际",H42,($O30-SUM($C19:G19))*关键参数底稿!H137/SUM(关键参数底稿!H137:$N137))</f>
        <v>3.0578174835168555</v>
      </c>
      <c r="I19" s="988">
        <f>IF(I$12="实际",I42,($O30-SUM($C19:H19))*关键参数底稿!I137/SUM(关键参数底稿!I137:$N137))</f>
        <v>1.3876990356182093</v>
      </c>
      <c r="J19" s="988">
        <f>IF(J$12="实际",J42,($O30-SUM($C19:I19))*关键参数底稿!J137/SUM(关键参数底稿!J137:$N137))</f>
        <v>3.2521299829706916</v>
      </c>
      <c r="K19" s="988">
        <f>IF(K$12="实际",K42,($O30-SUM($C19:J19))*关键参数底稿!K137/SUM(关键参数底稿!K137:$N137))</f>
        <v>3.0125760080430668</v>
      </c>
      <c r="L19" s="988">
        <f>IF(L$12="实际",L42,($O30-SUM($C19:K19))*关键参数底稿!L137/SUM(关键参数底稿!L137:$N137))</f>
        <v>2.5619798157643858</v>
      </c>
      <c r="M19" s="988">
        <f>IF(M$12="实际",M42,($O30-SUM($C19:L19))*关键参数底稿!M137/SUM(关键参数底稿!M137:$N137))</f>
        <v>2.1857370762348851</v>
      </c>
      <c r="N19" s="988">
        <f>IF(N$12="实际",N42,($O30-SUM($C19:M19))*关键参数底稿!N137/SUM(关键参数底稿!N137:$N137))</f>
        <v>1.2620796078519092</v>
      </c>
      <c r="O19" s="949">
        <f>SUM(C19:N19)</f>
        <v>25.119</v>
      </c>
    </row>
    <row r="20" spans="2:15">
      <c r="B20" s="949" t="s">
        <v>1900</v>
      </c>
      <c r="C20" s="988">
        <f t="shared" si="3"/>
        <v>3.3749526908999998</v>
      </c>
      <c r="D20" s="988">
        <f>IF(D$12="实际",D43,($O31-SUM($C20:C20))*关键参数底稿!D138/SUM(关键参数底稿!D138:$N138))</f>
        <v>4.1080854427000002</v>
      </c>
      <c r="E20" s="988">
        <f>IF(E$12="实际",E43,($O31-SUM($C20:D20))*关键参数底稿!E138/SUM(关键参数底稿!E138:$N138))</f>
        <v>3.5695204885000003</v>
      </c>
      <c r="F20" s="988">
        <f>IF(F$12="实际",F43,($O31-SUM($C20:E20))*关键参数底稿!F138/SUM(关键参数底稿!F138:$N138))</f>
        <v>3.7554967511000008</v>
      </c>
      <c r="G20" s="988">
        <f>IF(G$12="实际",G43,($O31-SUM($C20:F20))*关键参数底稿!G138/SUM(关键参数底稿!G138:$N138))</f>
        <v>3.7673779820999993</v>
      </c>
      <c r="H20" s="988">
        <f>IF(H$12="实际",H43,($O31-SUM($C20:G20))*关键参数底稿!H138/SUM(关键参数底稿!H138:$N138))</f>
        <v>1.299391213402147</v>
      </c>
      <c r="I20" s="988">
        <f>IF(I$12="实际",I43,($O31-SUM($C20:H20))*关键参数底稿!I138/SUM(关键参数底稿!I138:$N138))</f>
        <v>1.3154940704479294</v>
      </c>
      <c r="J20" s="988">
        <f>IF(J$12="实际",J43,($O31-SUM($C20:I20))*关键参数底稿!J138/SUM(关键参数底稿!J138:$N138))</f>
        <v>1.3300923033726766</v>
      </c>
      <c r="K20" s="988">
        <f>IF(K$12="实际",K43,($O31-SUM($C20:J20))*关键参数底稿!K138/SUM(关键参数底稿!K138:$N138))</f>
        <v>1.47688731457038</v>
      </c>
      <c r="L20" s="988">
        <f>IF(L$12="实际",L43,($O31-SUM($C20:K20))*关键参数底稿!L138/SUM(关键参数底稿!L138:$N138))</f>
        <v>1.3941801554085234</v>
      </c>
      <c r="M20" s="988">
        <f>IF(M$12="实际",M43,($O31-SUM($C20:L20))*关键参数底稿!M138/SUM(关键参数底稿!M138:$N138))</f>
        <v>1.6432240671493044</v>
      </c>
      <c r="N20" s="988">
        <f>IF(N$12="实际",N43,($O31-SUM($C20:M20))*关键参数底稿!N138/SUM(关键参数底稿!N138:$N138))</f>
        <v>3.0195696703490427</v>
      </c>
      <c r="O20" s="949">
        <f>SUM(C20:N20)</f>
        <v>30.054272150000003</v>
      </c>
    </row>
    <row r="21" spans="2:15">
      <c r="B21" s="949" t="s">
        <v>1901</v>
      </c>
      <c r="C21" s="988">
        <f t="shared" si="3"/>
        <v>4.1771996828000013</v>
      </c>
      <c r="D21" s="988">
        <f>IF(D$12="实际",D44,($O32-SUM($C21:C21))*关键参数底稿!D139/SUM(关键参数底稿!D139:$N139))</f>
        <v>4.4365724141000005</v>
      </c>
      <c r="E21" s="988">
        <f>IF(E$12="实际",E44,($O32-SUM($C21:D21))*关键参数底稿!E139/SUM(关键参数底稿!E139:$N139))</f>
        <v>5.1326596793999979</v>
      </c>
      <c r="F21" s="988">
        <f>IF(F$12="实际",F44,($O32-SUM($C21:E21))*关键参数底稿!F139/SUM(关键参数底稿!F139:$N139))</f>
        <v>6.9807394990999994</v>
      </c>
      <c r="G21" s="988">
        <f>IF(G$12="实际",G44,($O32-SUM($C21:F21))*关键参数底稿!G139/SUM(关键参数底稿!G139:$N139))</f>
        <v>5.9176832853999795</v>
      </c>
      <c r="H21" s="988">
        <f>IF(H$12="实际",H44,($O32-SUM($C21:G21))*关键参数底稿!H139/SUM(关键参数底稿!H139:$N139))</f>
        <v>5.0628529450617297</v>
      </c>
      <c r="I21" s="988">
        <f>IF(I$12="实际",I44,($O32-SUM($C21:H21))*关键参数底稿!I139/SUM(关键参数底稿!I139:$N139))</f>
        <v>5.0582181242200921</v>
      </c>
      <c r="J21" s="988">
        <f>IF(J$12="实际",J44,($O32-SUM($C21:I21))*关键参数底稿!J139/SUM(关键参数底稿!J139:$N139))</f>
        <v>5.1973772455318255</v>
      </c>
      <c r="K21" s="988">
        <f>IF(K$12="实际",K44,($O32-SUM($C21:J21))*关键参数底稿!K139/SUM(关键参数底稿!K139:$N139))</f>
        <v>5.2670465892885288</v>
      </c>
      <c r="L21" s="988">
        <f>IF(L$12="实际",L44,($O32-SUM($C21:K21))*关键参数底稿!L139/SUM(关键参数底稿!L139:$N139))</f>
        <v>5.305173621125129</v>
      </c>
      <c r="M21" s="988">
        <f>IF(M$12="实际",M44,($O32-SUM($C21:L21))*关键参数底稿!M139/SUM(关键参数底稿!M139:$N139))</f>
        <v>5.366924478540378</v>
      </c>
      <c r="N21" s="988">
        <f>IF(N$12="实际",N44,($O32-SUM($C21:M21))*关键参数底稿!N139/SUM(关键参数底稿!N139:$N139))</f>
        <v>6.0797804354323546</v>
      </c>
      <c r="O21" s="949">
        <f>SUM(C21:N21)</f>
        <v>63.982228000000006</v>
      </c>
    </row>
    <row r="22" spans="2:15">
      <c r="B22" s="949" t="s">
        <v>1902</v>
      </c>
      <c r="C22" s="988">
        <f t="shared" si="3"/>
        <v>0.2207318536</v>
      </c>
      <c r="D22" s="2140">
        <f>IF(D$12="实际",D45,($O33-SUM($C22:C22))*关键参数底稿!D140/SUM(关键参数底稿!D140:$N140))</f>
        <v>0.27619765299999999</v>
      </c>
      <c r="E22" s="2140">
        <f>IF(E$12="实际",E45,($O33-SUM($C22:D22))*关键参数底稿!E140/SUM(关键参数底稿!E140:$N140))</f>
        <v>0.34227596590000003</v>
      </c>
      <c r="F22" s="2140">
        <f>IF(F$12="实际",F45,($O33-SUM($C22:E22))*关键参数底稿!F140/SUM(关键参数底稿!F140:$N140))</f>
        <v>0.36666214689999999</v>
      </c>
      <c r="G22" s="2140">
        <f>IF(G$12="实际",G45,($O33-SUM($C22:F22))*关键参数底稿!G140/SUM(关键参数底稿!G140:$N140))</f>
        <v>0.36006369620000006</v>
      </c>
      <c r="H22" s="2140">
        <f>IF(H$12="实际",H45,($O33-SUM($C22:G22))*关键参数底稿!H140/SUM(关键参数底稿!H140:$N140))</f>
        <v>0.56448155521948018</v>
      </c>
      <c r="I22" s="2140">
        <f>IF(I$12="实际",I45,($O33-SUM($C22:H22))*关键参数底稿!I140/SUM(关键参数底稿!I140:$N140))</f>
        <v>0.69974834581955891</v>
      </c>
      <c r="J22" s="2140">
        <f>IF(J$12="实际",J45,($O33-SUM($C22:I22))*关键参数底稿!J140/SUM(关键参数底稿!J140:$N140))</f>
        <v>0.64914063800768362</v>
      </c>
      <c r="K22" s="2140">
        <f>IF(K$12="实际",K45,($O33-SUM($C22:J22))*关键参数底稿!K140/SUM(关键参数底稿!K140:$N140))</f>
        <v>0.54653623082811553</v>
      </c>
      <c r="L22" s="2140">
        <f>IF(L$12="实际",L45,($O33-SUM($C22:K22))*关键参数底稿!L140/SUM(关键参数底稿!L140:$N140))</f>
        <v>0.48743597717877979</v>
      </c>
      <c r="M22" s="2140">
        <f>IF(M$12="实际",M45,($O33-SUM($C22:L22))*关键参数底稿!M140/SUM(关键参数底稿!M140:$N140))</f>
        <v>0.60690722319326107</v>
      </c>
      <c r="N22" s="2140">
        <f>IF(N$12="实际",N45,($O33-SUM($C22:M22))*关键参数底稿!N140/SUM(关键参数底稿!N140:$N140))</f>
        <v>0.69061504415312136</v>
      </c>
      <c r="O22" s="2141">
        <f>SUM(C22:N22)</f>
        <v>5.8107963300000005</v>
      </c>
    </row>
    <row r="23" spans="2:15">
      <c r="G23" s="940">
        <f>($O33-SUM($C22:F22))</f>
        <v>4.6049287106000003</v>
      </c>
    </row>
    <row r="24" spans="2:15" ht="15.6">
      <c r="B24" s="984" t="s">
        <v>32</v>
      </c>
      <c r="C24" s="984" t="s">
        <v>1851</v>
      </c>
      <c r="D24" s="984" t="s">
        <v>1852</v>
      </c>
      <c r="E24" s="984" t="s">
        <v>1853</v>
      </c>
      <c r="F24" s="984" t="s">
        <v>1854</v>
      </c>
      <c r="G24" s="984" t="s">
        <v>1855</v>
      </c>
      <c r="H24" s="984" t="s">
        <v>1856</v>
      </c>
      <c r="I24" s="984" t="s">
        <v>1857</v>
      </c>
      <c r="J24" s="984" t="s">
        <v>1858</v>
      </c>
      <c r="K24" s="984" t="s">
        <v>1859</v>
      </c>
      <c r="L24" s="984" t="s">
        <v>1860</v>
      </c>
      <c r="M24" s="984" t="s">
        <v>1861</v>
      </c>
      <c r="N24" s="984" t="s">
        <v>1862</v>
      </c>
      <c r="O24" s="984" t="s">
        <v>1903</v>
      </c>
    </row>
    <row r="25" spans="2:15">
      <c r="B25" s="1806" t="s">
        <v>2019</v>
      </c>
      <c r="C25" s="985">
        <f>关键参数底稿!C125</f>
        <v>114.38050200216534</v>
      </c>
      <c r="D25" s="985">
        <f>关键参数底稿!D125</f>
        <v>92.870398948805246</v>
      </c>
      <c r="E25" s="985">
        <f>关键参数底稿!E125</f>
        <v>104.79988306959164</v>
      </c>
      <c r="F25" s="985">
        <f>关键参数底稿!F125</f>
        <v>95.111741522001338</v>
      </c>
      <c r="G25" s="985">
        <f>关键参数底稿!G125</f>
        <v>94.690753722364633</v>
      </c>
      <c r="H25" s="985">
        <f>关键参数底稿!H125</f>
        <v>100.71923451409413</v>
      </c>
      <c r="I25" s="985">
        <f>关键参数底稿!I125</f>
        <v>126.36038805622121</v>
      </c>
      <c r="J25" s="985">
        <f>关键参数底稿!J125</f>
        <v>141.07249244585898</v>
      </c>
      <c r="K25" s="985">
        <f>关键参数底稿!K125</f>
        <v>118.05397469697436</v>
      </c>
      <c r="L25" s="985">
        <f>关键参数底稿!L125</f>
        <v>100.85368405043373</v>
      </c>
      <c r="M25" s="985">
        <f>关键参数底稿!M125</f>
        <v>98.792028824273885</v>
      </c>
      <c r="N25" s="985">
        <f>关键参数底稿!N125</f>
        <v>112.29491814721554</v>
      </c>
      <c r="O25" s="949">
        <f>SUM(C25:N25)+动态展示!C3</f>
        <v>1300.0000000000002</v>
      </c>
    </row>
    <row r="26" spans="2:15">
      <c r="B26" s="1903" t="s">
        <v>2216</v>
      </c>
      <c r="C26" s="985">
        <f>关键参数底稿!C126</f>
        <v>4.409808277191174</v>
      </c>
      <c r="D26" s="985">
        <f>关键参数底稿!D126</f>
        <v>3.5805110733185526</v>
      </c>
      <c r="E26" s="985">
        <f>关键参数底稿!E126</f>
        <v>4.0404385688061026</v>
      </c>
      <c r="F26" s="985">
        <f>关键参数底稿!F126</f>
        <v>3.6669234500636203</v>
      </c>
      <c r="G26" s="985">
        <f>关键参数底稿!G126</f>
        <v>3.6506927512037808</v>
      </c>
      <c r="H26" s="985">
        <f>关键参数底稿!H126</f>
        <v>3.8831138721895364</v>
      </c>
      <c r="I26" s="985">
        <f>关键参数底稿!I126</f>
        <v>4.8716789610598514</v>
      </c>
      <c r="J26" s="985">
        <f>关键参数底稿!J126</f>
        <v>5.4388871702972708</v>
      </c>
      <c r="K26" s="985">
        <f>关键参数底稿!K126</f>
        <v>4.551434778317196</v>
      </c>
      <c r="L26" s="985">
        <f>关键参数底稿!L126</f>
        <v>3.8882974189290294</v>
      </c>
      <c r="M26" s="985">
        <f>关键参数底稿!M126</f>
        <v>3.8088126805173896</v>
      </c>
      <c r="N26" s="985">
        <f>关键参数底稿!N126</f>
        <v>4.329400998106494</v>
      </c>
      <c r="O26" s="949">
        <f>SUM(C26:N26)+M4</f>
        <v>50.12</v>
      </c>
    </row>
    <row r="27" spans="2:15">
      <c r="B27" s="952" t="s">
        <v>1896</v>
      </c>
      <c r="C27" s="989">
        <f>关键参数底稿!C127</f>
        <v>5.6638577956651157E-2</v>
      </c>
      <c r="D27" s="989">
        <f>关键参数底稿!D127</f>
        <v>5.6638577956651157E-2</v>
      </c>
      <c r="E27" s="989">
        <f>关键参数底稿!E127</f>
        <v>5.6638577956651157E-2</v>
      </c>
      <c r="F27" s="989">
        <f>关键参数底稿!F127</f>
        <v>5.6638577956651157E-2</v>
      </c>
      <c r="G27" s="989">
        <f>关键参数底稿!G127</f>
        <v>5.6638577956651157E-2</v>
      </c>
      <c r="H27" s="989">
        <f>关键参数底稿!H127</f>
        <v>5.6638577956651157E-2</v>
      </c>
      <c r="I27" s="989">
        <f>关键参数底稿!I127</f>
        <v>5.6638577956651157E-2</v>
      </c>
      <c r="J27" s="989">
        <f>关键参数底稿!J127</f>
        <v>5.6638577956651157E-2</v>
      </c>
      <c r="K27" s="989">
        <f>关键参数底稿!K127</f>
        <v>5.6638577956651157E-2</v>
      </c>
      <c r="L27" s="989">
        <f>关键参数底稿!L127</f>
        <v>5.6638577956651157E-2</v>
      </c>
      <c r="M27" s="989">
        <f>关键参数底稿!M127</f>
        <v>5.6638577956651157E-2</v>
      </c>
      <c r="N27" s="989">
        <f>关键参数底稿!N127</f>
        <v>5.6638577956651157E-2</v>
      </c>
      <c r="O27" s="983">
        <f>1-(O25+O26)/O28</f>
        <v>5.6638577956650948E-2</v>
      </c>
    </row>
    <row r="28" spans="2:15">
      <c r="B28" s="949" t="s">
        <v>1897</v>
      </c>
      <c r="C28" s="985">
        <f>关键参数底稿!C129</f>
        <v>125.92237450419921</v>
      </c>
      <c r="D28" s="985">
        <f>关键参数底稿!D129</f>
        <v>102.24173659042391</v>
      </c>
      <c r="E28" s="985">
        <f>关键参数底稿!E129</f>
        <v>115.37499742426013</v>
      </c>
      <c r="F28" s="985">
        <f>关键参数底稿!F129</f>
        <v>104.7092478703522</v>
      </c>
      <c r="G28" s="985">
        <f>关键参数底稿!G129</f>
        <v>104.24577916336446</v>
      </c>
      <c r="H28" s="985">
        <f>关键参数底稿!H129</f>
        <v>110.88258003990863</v>
      </c>
      <c r="I28" s="985">
        <f>关键参数底稿!I129</f>
        <v>139.11112321407896</v>
      </c>
      <c r="J28" s="985">
        <f>关键参数底稿!J129</f>
        <v>155.30779210666495</v>
      </c>
      <c r="K28" s="985">
        <f>关键参数底稿!K129</f>
        <v>129.96652885139673</v>
      </c>
      <c r="L28" s="985">
        <f>关键参数底稿!L129</f>
        <v>111.03059656869209</v>
      </c>
      <c r="M28" s="985">
        <f>关键参数底稿!M129</f>
        <v>108.76090447132637</v>
      </c>
      <c r="N28" s="985">
        <f>关键参数底稿!N129</f>
        <v>123.62633919533226</v>
      </c>
      <c r="O28" s="949">
        <f t="shared" ref="O28:O30" si="4">SUM(C28:N28)+M5</f>
        <v>1431.1799999999998</v>
      </c>
    </row>
    <row r="29" spans="2:15">
      <c r="B29" s="949" t="s">
        <v>1898</v>
      </c>
      <c r="C29" s="985">
        <f>关键参数底稿!C130</f>
        <v>387.25641025641028</v>
      </c>
      <c r="D29" s="985">
        <f>关键参数底稿!D130</f>
        <v>394.80341880341882</v>
      </c>
      <c r="E29" s="985">
        <f>关键参数底稿!E130</f>
        <v>379.35897435897442</v>
      </c>
      <c r="F29" s="985">
        <f>关键参数底稿!F130</f>
        <v>385.32478632478632</v>
      </c>
      <c r="G29" s="985">
        <f>关键参数底稿!G130</f>
        <v>397.68376068376074</v>
      </c>
      <c r="H29" s="985">
        <f>关键参数底稿!H130</f>
        <v>380.58119658119659</v>
      </c>
      <c r="I29" s="985">
        <f>关键参数底稿!I130</f>
        <v>386.90478259730895</v>
      </c>
      <c r="J29" s="985">
        <f>关键参数底稿!J130</f>
        <v>367.47276762096033</v>
      </c>
      <c r="K29" s="985">
        <f>关键参数底稿!K130</f>
        <v>369.85637803360754</v>
      </c>
      <c r="L29" s="985">
        <f>关键参数底稿!L130</f>
        <v>372.14550442111187</v>
      </c>
      <c r="M29" s="985">
        <f>关键参数底稿!M130</f>
        <v>393.54855670521766</v>
      </c>
      <c r="N29" s="985">
        <f>关键参数底稿!N130</f>
        <v>450.66666666666669</v>
      </c>
      <c r="O29" s="949"/>
    </row>
    <row r="30" spans="2:15">
      <c r="B30" s="949" t="s">
        <v>1899</v>
      </c>
      <c r="C30" s="985">
        <f>关键参数底稿!C131</f>
        <v>0.27007788750093753</v>
      </c>
      <c r="D30" s="985">
        <f>关键参数底稿!D131</f>
        <v>0.47121575649136749</v>
      </c>
      <c r="E30" s="985">
        <f>关键参数底稿!E131</f>
        <v>2.1460057489513185</v>
      </c>
      <c r="F30" s="985">
        <f>关键参数底稿!F131</f>
        <v>1.6594554163015078</v>
      </c>
      <c r="G30" s="985">
        <f>关键参数底稿!G131</f>
        <v>1.8703675133142155</v>
      </c>
      <c r="H30" s="985">
        <f>关键参数底稿!H131</f>
        <v>3.420266956782104</v>
      </c>
      <c r="I30" s="985">
        <f>关键参数底稿!I131</f>
        <v>1.5521858917571951</v>
      </c>
      <c r="J30" s="985">
        <f>关键参数底稿!J131</f>
        <v>3.6376117213909209</v>
      </c>
      <c r="K30" s="985">
        <f>关键参数底稿!K131</f>
        <v>3.3696629150192505</v>
      </c>
      <c r="L30" s="985">
        <f>关键参数底稿!L131</f>
        <v>2.865656617844806</v>
      </c>
      <c r="M30" s="985">
        <f>关键参数底稿!M131</f>
        <v>2.4448170429916019</v>
      </c>
      <c r="N30" s="985">
        <f>关键参数底稿!N131</f>
        <v>1.4116765316547739</v>
      </c>
      <c r="O30" s="949">
        <f t="shared" si="4"/>
        <v>25.119</v>
      </c>
    </row>
    <row r="31" spans="2:15">
      <c r="B31" s="949" t="s">
        <v>1900</v>
      </c>
      <c r="C31" s="985">
        <f>关键参数底稿!C132</f>
        <v>2.2971117569099873</v>
      </c>
      <c r="D31" s="985">
        <f>关键参数底稿!D132</f>
        <v>2.4166621402428459</v>
      </c>
      <c r="E31" s="985">
        <f>关键参数底稿!E132</f>
        <v>2.0614129556795913</v>
      </c>
      <c r="F31" s="985">
        <f>关键参数底稿!F132</f>
        <v>2.188624590519614</v>
      </c>
      <c r="G31" s="985">
        <f>关键参数底稿!G132</f>
        <v>2.0605552090516017</v>
      </c>
      <c r="H31" s="985">
        <f>关键参数底稿!H132</f>
        <v>2.1541631899967952</v>
      </c>
      <c r="I31" s="985">
        <f>关键参数底稿!I132</f>
        <v>2.1808589083793914</v>
      </c>
      <c r="J31" s="985">
        <f>关键参数底稿!J132</f>
        <v>2.2050602233345336</v>
      </c>
      <c r="K31" s="985">
        <f>关键参数底稿!K132</f>
        <v>2.4484206573098515</v>
      </c>
      <c r="L31" s="985">
        <f>关键参数底稿!L132</f>
        <v>2.3113066642505959</v>
      </c>
      <c r="M31" s="985">
        <f>关键参数底稿!M132</f>
        <v>2.7241778779631725</v>
      </c>
      <c r="N31" s="985">
        <f>关键参数底稿!N132</f>
        <v>5.0059179763620199</v>
      </c>
      <c r="O31" s="949">
        <f>SUM(C31:N31)+M8</f>
        <v>30.054272150000003</v>
      </c>
    </row>
    <row r="32" spans="2:15">
      <c r="B32" s="949" t="s">
        <v>1901</v>
      </c>
      <c r="C32" s="985">
        <f>关键参数底稿!C133</f>
        <v>1.6004907898348746</v>
      </c>
      <c r="D32" s="985">
        <f>关键参数底稿!D133</f>
        <v>4.0974099723822919</v>
      </c>
      <c r="E32" s="985">
        <f>关键参数底稿!E133</f>
        <v>5.5926326072074746</v>
      </c>
      <c r="F32" s="985">
        <f>关键参数底稿!F133</f>
        <v>5.6169461529914164</v>
      </c>
      <c r="G32" s="985">
        <f>关键参数底稿!G133</f>
        <v>5.5305061737020953</v>
      </c>
      <c r="H32" s="985">
        <f>关键参数底稿!H133</f>
        <v>5.6332936713148944</v>
      </c>
      <c r="I32" s="985">
        <f>关键参数底稿!I133</f>
        <v>5.6281366368921679</v>
      </c>
      <c r="J32" s="985">
        <f>关键参数底稿!J133</f>
        <v>5.7829750661133374</v>
      </c>
      <c r="K32" s="985">
        <f>关键参数底稿!K133</f>
        <v>5.8604941798478398</v>
      </c>
      <c r="L32" s="985">
        <f>关键参数底稿!L133</f>
        <v>5.9029170527777426</v>
      </c>
      <c r="M32" s="985">
        <f>关键参数底稿!M133</f>
        <v>5.9716254901055317</v>
      </c>
      <c r="N32" s="985">
        <f>关键参数底稿!N133</f>
        <v>6.7648002068303379</v>
      </c>
      <c r="O32" s="949">
        <f>SUM(C32:N32)+M9</f>
        <v>63.982228000000006</v>
      </c>
    </row>
    <row r="33" spans="2:15">
      <c r="B33" s="949" t="s">
        <v>1902</v>
      </c>
      <c r="C33" s="985">
        <f>关键参数底稿!C134</f>
        <v>0.63544324212283299</v>
      </c>
      <c r="D33" s="985">
        <f>关键参数底稿!D134</f>
        <v>0.49464689942307027</v>
      </c>
      <c r="E33" s="985">
        <f>关键参数底稿!E134</f>
        <v>0.36558136790901785</v>
      </c>
      <c r="F33" s="985">
        <f>关键参数底稿!F134</f>
        <v>0.47625342603520082</v>
      </c>
      <c r="G33" s="985">
        <f>关键参数底稿!G134</f>
        <v>0.4074178269644308</v>
      </c>
      <c r="H33" s="985">
        <f>关键参数底稿!H134</f>
        <v>0.45631421491627255</v>
      </c>
      <c r="I33" s="985">
        <f>关键参数底稿!I134</f>
        <v>0.56566085128762278</v>
      </c>
      <c r="J33" s="985">
        <f>关键参数底稿!J134</f>
        <v>0.52475071658905137</v>
      </c>
      <c r="K33" s="985">
        <f>关键参数底稿!K134</f>
        <v>0.44180761760525944</v>
      </c>
      <c r="L33" s="985">
        <f>关键参数底稿!L134</f>
        <v>0.3940322995350995</v>
      </c>
      <c r="M33" s="985">
        <f>关键参数底稿!M134</f>
        <v>0.49061017232134146</v>
      </c>
      <c r="N33" s="985">
        <f>关键参数底稿!N134</f>
        <v>0.55827769529080096</v>
      </c>
      <c r="O33" s="949">
        <f>SUM(C33:N33)+M10</f>
        <v>5.8107963300000005</v>
      </c>
    </row>
    <row r="36" spans="2:15" ht="15.6">
      <c r="B36" s="984" t="s">
        <v>1911</v>
      </c>
      <c r="C36" s="984" t="s">
        <v>1851</v>
      </c>
      <c r="D36" s="984" t="s">
        <v>1852</v>
      </c>
      <c r="E36" s="984" t="s">
        <v>1853</v>
      </c>
      <c r="F36" s="984" t="s">
        <v>1854</v>
      </c>
      <c r="G36" s="984" t="s">
        <v>1855</v>
      </c>
      <c r="H36" s="984" t="s">
        <v>1856</v>
      </c>
      <c r="I36" s="984" t="s">
        <v>1857</v>
      </c>
      <c r="J36" s="984" t="s">
        <v>1858</v>
      </c>
      <c r="K36" s="984" t="s">
        <v>1859</v>
      </c>
      <c r="L36" s="984" t="s">
        <v>1860</v>
      </c>
      <c r="M36" s="984" t="s">
        <v>1861</v>
      </c>
      <c r="N36" s="984" t="s">
        <v>1862</v>
      </c>
      <c r="O36" s="984" t="s">
        <v>1903</v>
      </c>
    </row>
    <row r="37" spans="2:15">
      <c r="B37" s="1806" t="s">
        <v>2019</v>
      </c>
      <c r="C37" s="1636">
        <v>126.98507272000001</v>
      </c>
      <c r="D37" s="1636">
        <v>101.78179723999999</v>
      </c>
      <c r="E37" s="1636">
        <v>110.7958589</v>
      </c>
      <c r="F37" s="1636">
        <v>93.889002670000011</v>
      </c>
      <c r="G37" s="1636">
        <v>99.383485510000014</v>
      </c>
      <c r="H37" s="981"/>
      <c r="I37" s="981"/>
      <c r="J37" s="981"/>
      <c r="K37" s="981"/>
      <c r="L37" s="981"/>
      <c r="M37" s="981"/>
      <c r="N37" s="981"/>
      <c r="O37" s="949">
        <f>SUM(C37:N37)</f>
        <v>532.83521704000009</v>
      </c>
    </row>
    <row r="38" spans="2:15">
      <c r="B38" s="1903" t="s">
        <v>2216</v>
      </c>
      <c r="C38" s="2060">
        <v>2.6404566999999997</v>
      </c>
      <c r="D38" s="2060">
        <v>2.5773360999999997</v>
      </c>
      <c r="E38" s="2060">
        <v>4.6342942000000003</v>
      </c>
      <c r="F38" s="2060">
        <v>2.4904266000000002</v>
      </c>
      <c r="G38" s="1636">
        <v>0</v>
      </c>
      <c r="H38" s="981"/>
      <c r="I38" s="981"/>
      <c r="J38" s="981"/>
      <c r="K38" s="981"/>
      <c r="L38" s="981"/>
      <c r="M38" s="981"/>
      <c r="N38" s="981"/>
      <c r="O38" s="949"/>
    </row>
    <row r="39" spans="2:15">
      <c r="B39" s="952" t="s">
        <v>1896</v>
      </c>
      <c r="C39" s="2061">
        <f>IFERROR(1-C37/C40,0)</f>
        <v>5.7587528182845071E-2</v>
      </c>
      <c r="D39" s="2061">
        <f t="shared" ref="D39:N39" si="5">IFERROR(1-D37/D40,0)</f>
        <v>3.1955024287345646E-3</v>
      </c>
      <c r="E39" s="2061">
        <f t="shared" si="5"/>
        <v>-3.5701513258569184E-2</v>
      </c>
      <c r="F39" s="2061">
        <f t="shared" si="5"/>
        <v>-2.3964035695078101E-2</v>
      </c>
      <c r="G39" s="989">
        <f t="shared" si="5"/>
        <v>5.359710074069246E-2</v>
      </c>
      <c r="H39" s="989">
        <f t="shared" si="5"/>
        <v>0</v>
      </c>
      <c r="I39" s="989">
        <f t="shared" si="5"/>
        <v>0</v>
      </c>
      <c r="J39" s="989">
        <f t="shared" si="5"/>
        <v>0</v>
      </c>
      <c r="K39" s="989">
        <f t="shared" si="5"/>
        <v>0</v>
      </c>
      <c r="L39" s="989">
        <f t="shared" si="5"/>
        <v>0</v>
      </c>
      <c r="M39" s="989">
        <f t="shared" si="5"/>
        <v>0</v>
      </c>
      <c r="N39" s="989">
        <f t="shared" si="5"/>
        <v>0</v>
      </c>
      <c r="O39" s="989">
        <f>1-O37/O40</f>
        <v>1.4240942290661751E-2</v>
      </c>
    </row>
    <row r="40" spans="2:15">
      <c r="B40" s="949" t="s">
        <v>1897</v>
      </c>
      <c r="C40" s="1633">
        <v>134.74468612999999</v>
      </c>
      <c r="D40" s="1633">
        <v>102.10808387</v>
      </c>
      <c r="E40" s="1633">
        <v>106.97663128000001</v>
      </c>
      <c r="F40" s="1633">
        <v>91.691699509999992</v>
      </c>
      <c r="G40" s="1633">
        <v>105.0118143</v>
      </c>
      <c r="H40" s="1633"/>
      <c r="I40" s="1633"/>
      <c r="J40" s="1633"/>
      <c r="K40" s="1633"/>
      <c r="L40" s="1633"/>
      <c r="M40" s="1633"/>
      <c r="N40" s="1633"/>
      <c r="O40" s="949">
        <f>SUM(C40:N40)</f>
        <v>540.53291508999996</v>
      </c>
    </row>
    <row r="41" spans="2:15">
      <c r="B41" s="949" t="s">
        <v>1898</v>
      </c>
      <c r="C41" s="1638">
        <v>391.95726495726495</v>
      </c>
      <c r="D41" s="1638">
        <v>387.37606837606842</v>
      </c>
      <c r="E41" s="1638">
        <v>379.65811965811969</v>
      </c>
      <c r="F41" s="1633">
        <v>391.80341880341882</v>
      </c>
      <c r="G41" s="1633">
        <v>396.26495726495727</v>
      </c>
      <c r="H41" s="1631"/>
      <c r="I41" s="1631"/>
      <c r="J41" s="1631"/>
      <c r="K41" s="1631"/>
      <c r="L41" s="1631"/>
      <c r="M41" s="1631"/>
      <c r="N41" s="1631"/>
      <c r="O41" s="949">
        <f>SUMPRODUCT(C40:N40,C41:N41)/SUM(C40:N40)</f>
        <v>389.4685244392673</v>
      </c>
    </row>
    <row r="42" spans="2:15">
      <c r="B42" s="949" t="s">
        <v>1899</v>
      </c>
      <c r="C42" s="1851">
        <v>3.4353269999</v>
      </c>
      <c r="D42" s="1851">
        <v>-1.1895896823000003</v>
      </c>
      <c r="E42" s="1851">
        <v>2.8781154451999997</v>
      </c>
      <c r="F42" s="1851">
        <v>0.87960911299999955</v>
      </c>
      <c r="G42" s="1851">
        <v>2.3955191142000007</v>
      </c>
      <c r="H42" s="1737"/>
      <c r="I42" s="1737"/>
      <c r="J42" s="1737"/>
      <c r="K42" s="1737"/>
      <c r="L42" s="1737"/>
      <c r="M42" s="1737"/>
      <c r="N42" s="1737"/>
      <c r="O42" s="949">
        <f>SUM(C42:N42)</f>
        <v>8.3989809900000001</v>
      </c>
    </row>
    <row r="43" spans="2:15">
      <c r="B43" s="949" t="s">
        <v>1900</v>
      </c>
      <c r="C43" s="1851">
        <v>3.3749526908999998</v>
      </c>
      <c r="D43" s="1851">
        <v>4.1080854427000002</v>
      </c>
      <c r="E43" s="1851">
        <v>3.5695204885000003</v>
      </c>
      <c r="F43" s="1851">
        <v>3.7554967511000008</v>
      </c>
      <c r="G43" s="1851">
        <v>3.7673779820999993</v>
      </c>
      <c r="H43" s="1737"/>
      <c r="I43" s="1737"/>
      <c r="J43" s="1737"/>
      <c r="K43" s="1737"/>
      <c r="L43" s="1737"/>
      <c r="M43" s="1737"/>
      <c r="N43" s="1737"/>
      <c r="O43" s="949">
        <f>SUM(C43:N43)</f>
        <v>18.5754333553</v>
      </c>
    </row>
    <row r="44" spans="2:15">
      <c r="B44" s="949" t="s">
        <v>1901</v>
      </c>
      <c r="C44" s="1851">
        <v>4.1771996828000013</v>
      </c>
      <c r="D44" s="1851">
        <v>4.4365724141000005</v>
      </c>
      <c r="E44" s="1851">
        <v>5.1326596793999979</v>
      </c>
      <c r="F44" s="1851">
        <v>6.9807394990999994</v>
      </c>
      <c r="G44" s="1851">
        <v>5.9176832853999795</v>
      </c>
      <c r="H44" s="1737"/>
      <c r="I44" s="1737"/>
      <c r="J44" s="1737"/>
      <c r="K44" s="1737"/>
      <c r="L44" s="1737"/>
      <c r="M44" s="1737"/>
      <c r="N44" s="1737"/>
      <c r="O44" s="949">
        <f>SUM(C44:N44)</f>
        <v>26.644854560799978</v>
      </c>
    </row>
    <row r="45" spans="2:15">
      <c r="B45" s="949" t="s">
        <v>1902</v>
      </c>
      <c r="C45" s="1851">
        <v>0.2207318536</v>
      </c>
      <c r="D45" s="1851">
        <v>0.27619765299999999</v>
      </c>
      <c r="E45" s="1851">
        <v>0.34227596590000003</v>
      </c>
      <c r="F45" s="1851">
        <v>0.36666214689999999</v>
      </c>
      <c r="G45" s="1851">
        <v>0.36006369620000006</v>
      </c>
      <c r="H45" s="1737"/>
      <c r="I45" s="1737"/>
      <c r="J45" s="1737"/>
      <c r="K45" s="1737"/>
      <c r="L45" s="1737"/>
      <c r="M45" s="1737"/>
      <c r="N45" s="1737"/>
      <c r="O45" s="949">
        <f>SUM(C45:N45)</f>
        <v>1.5659313156000001</v>
      </c>
    </row>
    <row r="48" spans="2:15" ht="15.6">
      <c r="B48" s="984" t="s">
        <v>1912</v>
      </c>
      <c r="C48" s="984" t="s">
        <v>1851</v>
      </c>
      <c r="D48" s="984" t="s">
        <v>1852</v>
      </c>
      <c r="E48" s="984" t="s">
        <v>1853</v>
      </c>
      <c r="F48" s="984" t="s">
        <v>1854</v>
      </c>
      <c r="G48" s="984" t="s">
        <v>1855</v>
      </c>
      <c r="H48" s="984" t="s">
        <v>1856</v>
      </c>
      <c r="I48" s="984" t="s">
        <v>1857</v>
      </c>
      <c r="J48" s="984" t="s">
        <v>1858</v>
      </c>
      <c r="K48" s="984" t="s">
        <v>1859</v>
      </c>
      <c r="L48" s="984" t="s">
        <v>1860</v>
      </c>
      <c r="M48" s="984" t="s">
        <v>1861</v>
      </c>
      <c r="N48" s="984" t="s">
        <v>1862</v>
      </c>
      <c r="O48" s="984" t="s">
        <v>1903</v>
      </c>
    </row>
    <row r="49" spans="2:15">
      <c r="B49" s="1806" t="s">
        <v>2019</v>
      </c>
      <c r="C49" s="985">
        <f>IF(C37=0,0,C37/关键参数底稿!C125-1)</f>
        <v>0.11019859589002357</v>
      </c>
      <c r="D49" s="985">
        <f>IF(D37=0,0,D37/关键参数底稿!D125-1)</f>
        <v>9.5955206309678465E-2</v>
      </c>
      <c r="E49" s="985">
        <f>IF(E37=0,0,E37/关键参数底稿!E125-1)</f>
        <v>5.7213573668080997E-2</v>
      </c>
      <c r="F49" s="985">
        <f>IF(F37=0,0,F37/关键参数底稿!F125-1)</f>
        <v>-1.2855813934586457E-2</v>
      </c>
      <c r="G49" s="985">
        <f>IF(G37=0,0,G37/关键参数底稿!G125-1)</f>
        <v>4.9558500731703647E-2</v>
      </c>
      <c r="H49" s="985">
        <f>IF(H37=0,0,H37/关键参数底稿!H125-1)</f>
        <v>0</v>
      </c>
      <c r="I49" s="985">
        <f>IF(I37=0,0,I37/关键参数底稿!I125-1)</f>
        <v>0</v>
      </c>
      <c r="J49" s="985">
        <f>IF(J37=0,0,J37/关键参数底稿!J125-1)</f>
        <v>0</v>
      </c>
      <c r="K49" s="985">
        <f>IF(K37=0,0,K37/关键参数底稿!K125-1)</f>
        <v>0</v>
      </c>
      <c r="L49" s="985">
        <f>IF(L37=0,0,L37/关键参数底稿!L125-1)</f>
        <v>0</v>
      </c>
      <c r="M49" s="985">
        <f>IF(M37=0,0,M37/关键参数底稿!M125-1)</f>
        <v>0</v>
      </c>
      <c r="N49" s="985">
        <f>IF(N37=0,0,N37/关键参数底稿!N125-1)</f>
        <v>0</v>
      </c>
      <c r="O49" s="949">
        <f>SUM(C49:N49)</f>
        <v>0.30007006266490022</v>
      </c>
    </row>
    <row r="50" spans="2:15">
      <c r="B50" s="1903" t="s">
        <v>2216</v>
      </c>
      <c r="C50" s="985">
        <f>IF(C38=0,0,C38/关键参数底稿!C126-1)</f>
        <v>-0.40123095290622524</v>
      </c>
      <c r="D50" s="985">
        <f>IF(D38=0,0,D38/关键参数底稿!D126-1)</f>
        <v>-0.28017647558586445</v>
      </c>
      <c r="E50" s="985">
        <f>IF(E38=0,0,E38/关键参数底稿!E126-1)</f>
        <v>0.14697801267880051</v>
      </c>
      <c r="F50" s="985">
        <f>IF(F38=0,0,F38/关键参数底稿!F126-1)</f>
        <v>-0.32084030825437826</v>
      </c>
      <c r="G50" s="985">
        <f>IF(G38=0,0,G38/关键参数底稿!G126-1)</f>
        <v>0</v>
      </c>
      <c r="H50" s="985">
        <f>IF(H38=0,0,H38/关键参数底稿!H126-1)</f>
        <v>0</v>
      </c>
      <c r="I50" s="985">
        <f>IF(I38=0,0,I38/关键参数底稿!I126-1)</f>
        <v>0</v>
      </c>
      <c r="J50" s="985">
        <f>IF(J38=0,0,J38/关键参数底稿!J126-1)</f>
        <v>0</v>
      </c>
      <c r="K50" s="985">
        <f>IF(K38=0,0,K38/关键参数底稿!K126-1)</f>
        <v>0</v>
      </c>
      <c r="L50" s="985">
        <f>IF(L38=0,0,L38/关键参数底稿!L126-1)</f>
        <v>0</v>
      </c>
      <c r="M50" s="985">
        <f>IF(M38=0,0,M38/关键参数底稿!M126-1)</f>
        <v>0</v>
      </c>
      <c r="N50" s="985">
        <f>IF(N38=0,0,N38/关键参数底稿!N126-1)</f>
        <v>0</v>
      </c>
      <c r="O50" s="949">
        <f>SUM(C50:N50)</f>
        <v>-0.85526972406766744</v>
      </c>
    </row>
    <row r="51" spans="2:15">
      <c r="B51" s="952" t="s">
        <v>1896</v>
      </c>
      <c r="C51" s="985">
        <f>IF(C39=0,0,C39/关键参数底稿!C127-1)</f>
        <v>1.6754485377796779E-2</v>
      </c>
      <c r="D51" s="985">
        <f>IF(D39=0,0,D39/关键参数底稿!D127-1)</f>
        <v>-0.94358081463167609</v>
      </c>
      <c r="E51" s="985">
        <f>IF(E39=0,0,E39/关键参数底稿!E127-1)</f>
        <v>-1.6303391530397118</v>
      </c>
      <c r="F51" s="985">
        <f>IF(F39=0,0,F39/关键参数底稿!F127-1)</f>
        <v>-1.4231044733047358</v>
      </c>
      <c r="G51" s="985">
        <f>IF(G39=0,0,G39/关键参数底稿!G127-1)</f>
        <v>-5.3699745397677856E-2</v>
      </c>
      <c r="H51" s="985">
        <f>IF(H39=0,0,H39/关键参数底稿!H127-1)</f>
        <v>0</v>
      </c>
      <c r="I51" s="985">
        <f>IF(I39=0,0,I39/关键参数底稿!I127-1)</f>
        <v>0</v>
      </c>
      <c r="J51" s="985">
        <f>IF(J39=0,0,J39/关键参数底稿!J127-1)</f>
        <v>0</v>
      </c>
      <c r="K51" s="985">
        <f>IF(K39=0,0,K39/关键参数底稿!K127-1)</f>
        <v>0</v>
      </c>
      <c r="L51" s="985">
        <f>IF(L39=0,0,L39/关键参数底稿!L127-1)</f>
        <v>0</v>
      </c>
      <c r="M51" s="985">
        <f>IF(M39=0,0,M39/关键参数底稿!M127-1)</f>
        <v>0</v>
      </c>
      <c r="N51" s="985">
        <f>IF(N39=0,0,N39/关键参数底稿!N127-1)</f>
        <v>0</v>
      </c>
      <c r="O51" s="983">
        <f>1-O49/O52</f>
        <v>-0.33408681978622301</v>
      </c>
    </row>
    <row r="52" spans="2:15">
      <c r="B52" s="949" t="s">
        <v>1897</v>
      </c>
      <c r="C52" s="985">
        <f t="shared" ref="C52:N52" si="6">C49/(1-C51)</f>
        <v>0.11207637792516721</v>
      </c>
      <c r="D52" s="985">
        <f t="shared" si="6"/>
        <v>4.9370319766128545E-2</v>
      </c>
      <c r="E52" s="985">
        <f t="shared" si="6"/>
        <v>2.1751405556185783E-2</v>
      </c>
      <c r="F52" s="985">
        <f t="shared" si="6"/>
        <v>-5.3055136814027402E-3</v>
      </c>
      <c r="G52" s="985">
        <f t="shared" si="6"/>
        <v>4.7032848729596809E-2</v>
      </c>
      <c r="H52" s="985">
        <f t="shared" si="6"/>
        <v>0</v>
      </c>
      <c r="I52" s="985">
        <f t="shared" si="6"/>
        <v>0</v>
      </c>
      <c r="J52" s="985">
        <f t="shared" si="6"/>
        <v>0</v>
      </c>
      <c r="K52" s="985">
        <f t="shared" si="6"/>
        <v>0</v>
      </c>
      <c r="L52" s="985">
        <f t="shared" si="6"/>
        <v>0</v>
      </c>
      <c r="M52" s="985">
        <f t="shared" si="6"/>
        <v>0</v>
      </c>
      <c r="N52" s="985">
        <f t="shared" si="6"/>
        <v>0</v>
      </c>
      <c r="O52" s="949">
        <f>SUM(C52:N52)</f>
        <v>0.22492543829567563</v>
      </c>
    </row>
    <row r="53" spans="2:15">
      <c r="B53" s="949" t="s">
        <v>1898</v>
      </c>
      <c r="C53" s="985">
        <f>IF(C41=0,0,C41-关键参数底稿!C130)</f>
        <v>4.700854700854677</v>
      </c>
      <c r="D53" s="985">
        <f>IF(D41=0,0,D41-关键参数底稿!D130)</f>
        <v>-7.4273504273504045</v>
      </c>
      <c r="E53" s="985">
        <f>IF(E41=0,0,E41-关键参数底稿!E130)</f>
        <v>0.29914529914526611</v>
      </c>
      <c r="F53" s="985">
        <f>IF(F41=0,0,F41-关键参数底稿!F130)</f>
        <v>6.4786324786325054</v>
      </c>
      <c r="G53" s="985">
        <f>IF(G41=0,0,G41-关键参数底稿!G130)</f>
        <v>-1.4188034188034635</v>
      </c>
      <c r="H53" s="985">
        <f>IF(H41=0,0,H41-关键参数底稿!H130)</f>
        <v>0</v>
      </c>
      <c r="I53" s="985">
        <f>IF(I41=0,0,I41-关键参数底稿!I130)</f>
        <v>0</v>
      </c>
      <c r="J53" s="985">
        <f>IF(J41=0,0,J41-关键参数底稿!J130)</f>
        <v>0</v>
      </c>
      <c r="K53" s="985">
        <f>IF(K41=0,0,K41-关键参数底稿!K130)</f>
        <v>0</v>
      </c>
      <c r="L53" s="985">
        <f>IF(L41=0,0,L41-关键参数底稿!L130)</f>
        <v>0</v>
      </c>
      <c r="M53" s="985">
        <f>IF(M41=0,0,M41-关键参数底稿!M130)</f>
        <v>0</v>
      </c>
      <c r="N53" s="985">
        <f>IF(N41=0,0,N41-关键参数底稿!N130)</f>
        <v>0</v>
      </c>
      <c r="O53" s="949">
        <f>SUMPRODUCT(C52:N52,C53:N53)/SUM(C52:N52)</f>
        <v>0.2915103502915769</v>
      </c>
    </row>
    <row r="54" spans="2:15">
      <c r="B54" s="949" t="s">
        <v>1899</v>
      </c>
      <c r="C54" s="985">
        <f>IF(C42=0,0,C42/关键参数底稿!C131-1)</f>
        <v>11.719764034321672</v>
      </c>
      <c r="D54" s="985">
        <f>IF(D42=0,0,D42/关键参数底稿!D131-1)</f>
        <v>-3.5245116826262008</v>
      </c>
      <c r="E54" s="985">
        <f>IF(E42=0,0,E42/关键参数底稿!E131-1)</f>
        <v>0.34114992311014958</v>
      </c>
      <c r="F54" s="985">
        <f>IF(F42=0,0,F42/关键参数底稿!F131-1)</f>
        <v>-0.46994109973715459</v>
      </c>
      <c r="G54" s="985">
        <f>IF(G42=0,0,G42/关键参数底稿!G131-1)</f>
        <v>0.28077455213881364</v>
      </c>
      <c r="H54" s="985">
        <f>IF(H42=0,0,H42/关键参数底稿!H131-1)</f>
        <v>0</v>
      </c>
      <c r="I54" s="985">
        <f>IF(I42=0,0,I42/关键参数底稿!I131-1)</f>
        <v>0</v>
      </c>
      <c r="J54" s="985">
        <f>IF(J42=0,0,J42/关键参数底稿!J131-1)</f>
        <v>0</v>
      </c>
      <c r="K54" s="985">
        <f>IF(K42=0,0,K42/关键参数底稿!K131-1)</f>
        <v>0</v>
      </c>
      <c r="L54" s="985">
        <f>IF(L42=0,0,L42/关键参数底稿!L131-1)</f>
        <v>0</v>
      </c>
      <c r="M54" s="985">
        <f>IF(M42=0,0,M42/关键参数底稿!M131-1)</f>
        <v>0</v>
      </c>
      <c r="N54" s="985">
        <f>IF(N42=0,0,N42/关键参数底稿!N131-1)</f>
        <v>0</v>
      </c>
      <c r="O54" s="949">
        <f>SUM(C54:N54)</f>
        <v>8.3472357272072806</v>
      </c>
    </row>
    <row r="55" spans="2:15">
      <c r="B55" s="949" t="s">
        <v>1900</v>
      </c>
      <c r="C55" s="985">
        <f>IF(C43=0,0,C43/关键参数底稿!C132-1)</f>
        <v>0.46921571436293341</v>
      </c>
      <c r="D55" s="985">
        <f>IF(D43=0,0,D43/关键参数底稿!D132-1)</f>
        <v>0.69990060848438929</v>
      </c>
      <c r="E55" s="985">
        <f>IF(E43=0,0,E43/关键参数底稿!E132-1)</f>
        <v>0.73158923769508721</v>
      </c>
      <c r="F55" s="985">
        <f>IF(F43=0,0,F43/关键参数底稿!F132-1)</f>
        <v>0.71591636471944531</v>
      </c>
      <c r="G55" s="985">
        <f>IF(G43=0,0,G43/关键参数底稿!G132-1)</f>
        <v>0.82833149315809207</v>
      </c>
      <c r="H55" s="985">
        <f>IF(H43=0,0,H43/关键参数底稿!H132-1)</f>
        <v>0</v>
      </c>
      <c r="I55" s="985">
        <f>IF(I43=0,0,I43/关键参数底稿!I132-1)</f>
        <v>0</v>
      </c>
      <c r="J55" s="985">
        <f>IF(J43=0,0,J43/关键参数底稿!J132-1)</f>
        <v>0</v>
      </c>
      <c r="K55" s="985">
        <f>IF(K43=0,0,K43/关键参数底稿!K132-1)</f>
        <v>0</v>
      </c>
      <c r="L55" s="985">
        <f>IF(L43=0,0,L43/关键参数底稿!L132-1)</f>
        <v>0</v>
      </c>
      <c r="M55" s="985">
        <f>IF(M43=0,0,M43/关键参数底稿!M132-1)</f>
        <v>0</v>
      </c>
      <c r="N55" s="985">
        <f>IF(N43=0,0,N43/关键参数底稿!N132-1)</f>
        <v>0</v>
      </c>
      <c r="O55" s="949">
        <f>SUM(C55:N55)</f>
        <v>3.4449534184199471</v>
      </c>
    </row>
    <row r="56" spans="2:15">
      <c r="B56" s="949" t="s">
        <v>1901</v>
      </c>
      <c r="C56" s="985">
        <f>IF(C44=0,0,C44/关键参数底稿!C133-1)</f>
        <v>1.6099492164094054</v>
      </c>
      <c r="D56" s="985">
        <f>IF(D44=0,0,D44/关键参数底稿!D133-1)</f>
        <v>8.2774836788058748E-2</v>
      </c>
      <c r="E56" s="985">
        <f>IF(E44=0,0,E44/关键参数底稿!E133-1)</f>
        <v>-8.2246226439886105E-2</v>
      </c>
      <c r="F56" s="985">
        <f>IF(F44=0,0,F44/关键参数底稿!F133-1)</f>
        <v>0.24279978995032159</v>
      </c>
      <c r="G56" s="985">
        <f>IF(G44=0,0,G44/关键参数底稿!G133-1)</f>
        <v>7.0007536297298723E-2</v>
      </c>
      <c r="H56" s="985">
        <f>IF(H44=0,0,H44/关键参数底稿!H133-1)</f>
        <v>0</v>
      </c>
      <c r="I56" s="985">
        <f>IF(I44=0,0,I44/关键参数底稿!I133-1)</f>
        <v>0</v>
      </c>
      <c r="J56" s="985">
        <f>IF(J44=0,0,J44/关键参数底稿!J133-1)</f>
        <v>0</v>
      </c>
      <c r="K56" s="985">
        <f>IF(K44=0,0,K44/关键参数底稿!K133-1)</f>
        <v>0</v>
      </c>
      <c r="L56" s="985">
        <f>IF(L44=0,0,L44/关键参数底稿!L133-1)</f>
        <v>0</v>
      </c>
      <c r="M56" s="985">
        <f>IF(M44=0,0,M44/关键参数底稿!M133-1)</f>
        <v>0</v>
      </c>
      <c r="N56" s="985">
        <f>IF(N44=0,0,N44/关键参数底稿!N133-1)</f>
        <v>0</v>
      </c>
      <c r="O56" s="949">
        <f>SUM(C56:N56)</f>
        <v>1.9232851530051982</v>
      </c>
    </row>
    <row r="57" spans="2:15">
      <c r="B57" s="949" t="s">
        <v>1902</v>
      </c>
      <c r="C57" s="985">
        <f>IF(C45=0,0,C45/关键参数底稿!C134-1)</f>
        <v>-0.65263325035514042</v>
      </c>
      <c r="D57" s="985">
        <f>IF(D45=0,0,D45/关键参数底稿!D134-1)</f>
        <v>-0.44162663645088607</v>
      </c>
      <c r="E57" s="985">
        <f>IF(E45=0,0,E45/关键参数底稿!E134-1)</f>
        <v>-6.3748877964748485E-2</v>
      </c>
      <c r="F57" s="985">
        <f>IF(F45=0,0,F45/关键参数底稿!F134-1)</f>
        <v>-0.23011126670005466</v>
      </c>
      <c r="G57" s="985">
        <f>IF(G45=0,0,G45/关键参数底稿!G134-1)</f>
        <v>-0.11622989381013249</v>
      </c>
      <c r="H57" s="985">
        <f>IF(H45=0,0,H45/关键参数底稿!H134-1)</f>
        <v>0</v>
      </c>
      <c r="I57" s="985">
        <f>IF(I45=0,0,I45/关键参数底稿!I134-1)</f>
        <v>0</v>
      </c>
      <c r="J57" s="985">
        <f>IF(J45=0,0,J45/关键参数底稿!J134-1)</f>
        <v>0</v>
      </c>
      <c r="K57" s="985">
        <f>IF(K45=0,0,K45/关键参数底稿!K134-1)</f>
        <v>0</v>
      </c>
      <c r="L57" s="985">
        <f>IF(L45=0,0,L45/关键参数底稿!L134-1)</f>
        <v>0</v>
      </c>
      <c r="M57" s="985">
        <f>IF(M45=0,0,M45/关键参数底稿!M134-1)</f>
        <v>0</v>
      </c>
      <c r="N57" s="985">
        <f>IF(N45=0,0,N45/关键参数底稿!N134-1)</f>
        <v>0</v>
      </c>
      <c r="O57" s="949">
        <f>SUM(C57:N57)</f>
        <v>-1.504349925280962</v>
      </c>
    </row>
    <row r="59" spans="2:15">
      <c r="B59" s="1988"/>
      <c r="C59" s="1988"/>
      <c r="D59" s="1988"/>
    </row>
  </sheetData>
  <mergeCells count="3">
    <mergeCell ref="B2:B3"/>
    <mergeCell ref="C2:E2"/>
    <mergeCell ref="F2:H2"/>
  </mergeCells>
  <phoneticPr fontId="20" type="noConversion"/>
  <dataValidations count="1">
    <dataValidation type="list" allowBlank="1" showInputMessage="1" showErrorMessage="1" sqref="C12:N12" xr:uid="{00000000-0002-0000-0900-000000000000}">
      <formula1>"预测,实际"</formula1>
    </dataValidation>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tabColor theme="5" tint="0.59999389629810485"/>
  </sheetPr>
  <dimension ref="A1:AQ24"/>
  <sheetViews>
    <sheetView showGridLines="0" zoomScale="70" zoomScaleNormal="70" workbookViewId="0">
      <pane xSplit="7" ySplit="4" topLeftCell="H5" activePane="bottomRight" state="frozen"/>
      <selection activeCell="D1" sqref="D1:D1048576"/>
      <selection pane="topRight" activeCell="D1" sqref="D1:D1048576"/>
      <selection pane="bottomLeft" activeCell="D1" sqref="D1:D1048576"/>
      <selection pane="bottomRight" activeCell="J27" sqref="J27"/>
    </sheetView>
  </sheetViews>
  <sheetFormatPr defaultRowHeight="14.4"/>
  <cols>
    <col min="1" max="1" width="2" customWidth="1"/>
    <col min="2" max="2" width="9.21875" customWidth="1"/>
    <col min="3" max="3" width="14.44140625" customWidth="1"/>
    <col min="4" max="4" width="13.33203125" customWidth="1"/>
    <col min="5" max="7" width="14.109375" customWidth="1"/>
    <col min="8" max="9" width="12.88671875" customWidth="1"/>
    <col min="10" max="11" width="12.44140625" customWidth="1"/>
    <col min="12" max="12" width="15.6640625" customWidth="1"/>
    <col min="13" max="13" width="12.44140625" customWidth="1"/>
    <col min="14" max="16" width="13.21875" customWidth="1"/>
    <col min="17" max="17" width="11" bestFit="1" customWidth="1"/>
    <col min="18" max="18" width="13" bestFit="1" customWidth="1"/>
    <col min="19" max="19" width="13.77734375" customWidth="1"/>
    <col min="21" max="21" width="16.77734375" customWidth="1"/>
    <col min="22" max="22" width="11" bestFit="1" customWidth="1"/>
    <col min="23" max="25" width="13.44140625" bestFit="1" customWidth="1"/>
    <col min="26" max="26" width="13.109375" bestFit="1" customWidth="1"/>
    <col min="27" max="27" width="15.21875" bestFit="1" customWidth="1"/>
    <col min="28" max="30" width="11.109375" bestFit="1" customWidth="1"/>
    <col min="31" max="31" width="13.109375" bestFit="1" customWidth="1"/>
    <col min="32" max="34" width="6.44140625" bestFit="1" customWidth="1"/>
    <col min="36" max="36" width="11.88671875" bestFit="1" customWidth="1"/>
    <col min="39" max="39" width="10.77734375" customWidth="1"/>
  </cols>
  <sheetData>
    <row r="1" spans="1:43">
      <c r="C1" s="847" t="s">
        <v>1775</v>
      </c>
    </row>
    <row r="2" spans="1:43" ht="23.4" customHeight="1">
      <c r="C2" s="847" t="s">
        <v>1776</v>
      </c>
      <c r="H2" s="686"/>
      <c r="I2" s="687"/>
      <c r="J2" s="686"/>
    </row>
    <row r="3" spans="1:43">
      <c r="B3" s="2437" t="s">
        <v>1617</v>
      </c>
      <c r="C3" s="2437" t="s">
        <v>1616</v>
      </c>
      <c r="D3" s="2437" t="s">
        <v>1615</v>
      </c>
      <c r="E3" s="2437" t="s">
        <v>1611</v>
      </c>
      <c r="F3" s="2438" t="s">
        <v>1606</v>
      </c>
      <c r="G3" s="2429" t="s">
        <v>1693</v>
      </c>
      <c r="H3" s="2431" t="s">
        <v>1608</v>
      </c>
      <c r="I3" s="2445"/>
      <c r="J3" s="2445"/>
      <c r="K3" s="2445"/>
      <c r="L3" s="2445"/>
      <c r="M3" s="2445"/>
      <c r="N3" s="2445"/>
      <c r="O3" s="2445"/>
      <c r="P3" s="2446"/>
      <c r="Q3" s="2431" t="s">
        <v>1630</v>
      </c>
      <c r="R3" s="2445"/>
      <c r="S3" s="2445"/>
      <c r="T3" s="2445"/>
      <c r="U3" s="2445"/>
      <c r="V3" s="2445"/>
      <c r="W3" s="2445"/>
      <c r="X3" s="2445"/>
      <c r="Y3" s="2446"/>
      <c r="Z3" s="2425" t="s">
        <v>1631</v>
      </c>
      <c r="AA3" s="2425"/>
      <c r="AB3" s="2425"/>
      <c r="AC3" s="2425"/>
      <c r="AD3" s="2425"/>
      <c r="AE3" s="2425"/>
      <c r="AF3" s="2425"/>
      <c r="AG3" s="2425"/>
      <c r="AH3" s="2425"/>
      <c r="AI3" s="2431" t="s">
        <v>1687</v>
      </c>
      <c r="AJ3" s="2445"/>
      <c r="AK3" s="2445"/>
      <c r="AL3" s="2445"/>
      <c r="AM3" s="2445"/>
      <c r="AN3" s="2445"/>
      <c r="AO3" s="2445"/>
      <c r="AP3" s="2445"/>
      <c r="AQ3" s="2446"/>
    </row>
    <row r="4" spans="1:43">
      <c r="B4" s="2437"/>
      <c r="C4" s="2437"/>
      <c r="D4" s="2437"/>
      <c r="E4" s="2437"/>
      <c r="F4" s="2439"/>
      <c r="G4" s="2430"/>
      <c r="H4" s="692" t="str">
        <f>C5</f>
        <v>固定资产投资</v>
      </c>
      <c r="I4" s="692" t="str">
        <f>C6</f>
        <v>售电量增长率</v>
      </c>
      <c r="J4" s="692" t="str">
        <f>C7</f>
        <v>输配电价</v>
      </c>
      <c r="K4" s="692" t="str">
        <f>C8</f>
        <v>用户资产</v>
      </c>
      <c r="L4" s="692" t="str">
        <f>C9</f>
        <v>带息负债</v>
      </c>
      <c r="M4" s="692" t="str">
        <f>C10</f>
        <v>研究开发费</v>
      </c>
      <c r="N4" s="695">
        <f>C11</f>
        <v>0</v>
      </c>
      <c r="O4" s="695">
        <f>C12</f>
        <v>0</v>
      </c>
      <c r="P4" s="695">
        <f>C13</f>
        <v>0</v>
      </c>
      <c r="Q4" s="695" t="str">
        <f>H4</f>
        <v>固定资产投资</v>
      </c>
      <c r="R4" s="695" t="str">
        <f t="shared" ref="R4:Y4" si="0">I4</f>
        <v>售电量增长率</v>
      </c>
      <c r="S4" s="695" t="str">
        <f t="shared" si="0"/>
        <v>输配电价</v>
      </c>
      <c r="T4" s="695" t="str">
        <f t="shared" si="0"/>
        <v>用户资产</v>
      </c>
      <c r="U4" s="695" t="str">
        <f t="shared" si="0"/>
        <v>带息负债</v>
      </c>
      <c r="V4" s="695" t="str">
        <f t="shared" si="0"/>
        <v>研究开发费</v>
      </c>
      <c r="W4" s="695">
        <f t="shared" si="0"/>
        <v>0</v>
      </c>
      <c r="X4" s="695">
        <f t="shared" si="0"/>
        <v>0</v>
      </c>
      <c r="Y4" s="695">
        <f t="shared" si="0"/>
        <v>0</v>
      </c>
      <c r="Z4" s="695" t="str">
        <f>Q4</f>
        <v>固定资产投资</v>
      </c>
      <c r="AA4" s="695" t="str">
        <f t="shared" ref="AA4:AH4" si="1">R4</f>
        <v>售电量增长率</v>
      </c>
      <c r="AB4" s="695" t="str">
        <f t="shared" si="1"/>
        <v>输配电价</v>
      </c>
      <c r="AC4" s="695" t="str">
        <f t="shared" si="1"/>
        <v>用户资产</v>
      </c>
      <c r="AD4" s="695" t="str">
        <f t="shared" si="1"/>
        <v>带息负债</v>
      </c>
      <c r="AE4" s="695" t="str">
        <f t="shared" si="1"/>
        <v>研究开发费</v>
      </c>
      <c r="AF4" s="695">
        <f t="shared" si="1"/>
        <v>0</v>
      </c>
      <c r="AG4" s="695">
        <f t="shared" si="1"/>
        <v>0</v>
      </c>
      <c r="AH4" s="695">
        <f t="shared" si="1"/>
        <v>0</v>
      </c>
      <c r="AI4" s="695" t="str">
        <f>Z4</f>
        <v>固定资产投资</v>
      </c>
      <c r="AJ4" s="695" t="str">
        <f t="shared" ref="AJ4" si="2">AA4</f>
        <v>售电量增长率</v>
      </c>
      <c r="AK4" s="695" t="str">
        <f t="shared" ref="AK4" si="3">AB4</f>
        <v>输配电价</v>
      </c>
      <c r="AL4" s="695" t="str">
        <f t="shared" ref="AL4" si="4">AC4</f>
        <v>用户资产</v>
      </c>
      <c r="AM4" s="695" t="str">
        <f t="shared" ref="AM4" si="5">AD4</f>
        <v>带息负债</v>
      </c>
      <c r="AN4" s="695" t="str">
        <f t="shared" ref="AN4" si="6">AE4</f>
        <v>研究开发费</v>
      </c>
      <c r="AO4" s="695">
        <f t="shared" ref="AO4" si="7">AF4</f>
        <v>0</v>
      </c>
      <c r="AP4" s="695">
        <f t="shared" ref="AP4" si="8">AG4</f>
        <v>0</v>
      </c>
      <c r="AQ4" s="695">
        <f t="shared" ref="AQ4" si="9">AH4</f>
        <v>0</v>
      </c>
    </row>
    <row r="5" spans="1:43" ht="25.2" customHeight="1">
      <c r="A5" s="626"/>
      <c r="B5" s="2447" t="s">
        <v>1621</v>
      </c>
      <c r="C5" s="678" t="s">
        <v>376</v>
      </c>
      <c r="D5" s="688" t="b">
        <v>0</v>
      </c>
      <c r="E5" s="684">
        <f>动因指标对成果指标影响分析!E5</f>
        <v>376.58</v>
      </c>
      <c r="F5" s="750">
        <f>动因指标对成果指标影响分析!F5</f>
        <v>100</v>
      </c>
      <c r="G5" s="751" t="str">
        <f>动因指标对成果指标影响分析!G5</f>
        <v>亿元</v>
      </c>
      <c r="H5" s="740" t="s">
        <v>1217</v>
      </c>
      <c r="I5" s="697">
        <f>F5*投资与电量关系测算数据!C5</f>
        <v>0</v>
      </c>
      <c r="J5" s="697">
        <f>输配电价测算参数!E89</f>
        <v>222.12661106662313</v>
      </c>
      <c r="K5" s="681" t="s">
        <v>1217</v>
      </c>
      <c r="L5" s="681">
        <f>发展投入!E46</f>
        <v>255.3141075182136</v>
      </c>
      <c r="M5" s="681" t="s">
        <v>1217</v>
      </c>
      <c r="N5" s="681"/>
      <c r="O5" s="681"/>
      <c r="P5" s="681"/>
      <c r="Q5" s="772" t="s">
        <v>1217</v>
      </c>
      <c r="R5" s="773">
        <f>IFERROR(I5-$E$6,"——")</f>
        <v>-2.0185330343061469E-2</v>
      </c>
      <c r="S5" s="773">
        <f>IFERROR(J5-$E$7,"——")</f>
        <v>3.094880489982188E-4</v>
      </c>
      <c r="T5" s="773" t="str">
        <f>IFERROR(K5-$E$8,"——")</f>
        <v>——</v>
      </c>
      <c r="U5" s="773">
        <f>IFERROR(L5-$E$9,"——")</f>
        <v>25.827904561487401</v>
      </c>
      <c r="V5" s="773" t="str">
        <f>IFERROR(M5-$E$10,"——")</f>
        <v>——</v>
      </c>
      <c r="W5" s="773">
        <f>IFERROR(N5-$E$11,"——")</f>
        <v>0</v>
      </c>
      <c r="X5" s="773">
        <f>IFERROR(O5-$E$12,"——")</f>
        <v>0</v>
      </c>
      <c r="Y5" s="773">
        <f>IFERROR(P5-$E$13,"——")</f>
        <v>0</v>
      </c>
      <c r="Z5" s="774" t="str">
        <f>IFERROR(Q5/$E$5,"——")</f>
        <v>——</v>
      </c>
      <c r="AA5" s="774">
        <f>IFERROR(R5/$E$6,"——")</f>
        <v>-1</v>
      </c>
      <c r="AB5" s="774">
        <f>IFERROR(S5/$E$7,"——")</f>
        <v>1.3932976275154956E-6</v>
      </c>
      <c r="AC5" s="774" t="str">
        <f>IFERROR(T5/$E$8,"——")</f>
        <v>——</v>
      </c>
      <c r="AD5" s="774">
        <f>IFERROR(U5/$E$9,"——")</f>
        <v>0.11254665521812535</v>
      </c>
      <c r="AE5" s="774" t="str">
        <f>IFERROR(V5/$E$10,"——")</f>
        <v>——</v>
      </c>
      <c r="AF5" s="774" t="str">
        <f>IFERROR(W5/$E$11,"——")</f>
        <v>——</v>
      </c>
      <c r="AG5" s="774" t="str">
        <f>IFERROR(X5/$E$12,"——")</f>
        <v>——</v>
      </c>
      <c r="AH5" s="774" t="str">
        <f>IFERROR(Y5/$E$13,"——")</f>
        <v>——</v>
      </c>
      <c r="AI5" s="729" t="str">
        <f>IFERROR(Z5/($F$5/$E$5),"——")</f>
        <v>——</v>
      </c>
      <c r="AJ5" s="729">
        <f>IFERROR(AA5/$F$6,"——")</f>
        <v>-100</v>
      </c>
      <c r="AK5" s="729">
        <f>IFERROR(AB5/($F$7/$E$7),"——")</f>
        <v>3.0948804899821879E-5</v>
      </c>
      <c r="AL5" s="729" t="str">
        <f>IFERROR(AC5/($F$8/$E$8),"——")</f>
        <v>——</v>
      </c>
      <c r="AM5" s="729">
        <f>IFERROR(AD5/($F$9/$E$9),"——")</f>
        <v>2.5827904561487403</v>
      </c>
      <c r="AN5" s="729" t="str">
        <f>IFERROR(AE5/($F$10/$E$10),"——")</f>
        <v>——</v>
      </c>
      <c r="AO5" s="729"/>
      <c r="AP5" s="729"/>
      <c r="AQ5" s="729"/>
    </row>
    <row r="6" spans="1:43" ht="25.2" customHeight="1">
      <c r="A6" s="626"/>
      <c r="B6" s="2448"/>
      <c r="C6" s="678" t="s">
        <v>1612</v>
      </c>
      <c r="D6" s="688" t="b">
        <v>0</v>
      </c>
      <c r="E6" s="685">
        <f>动因指标对成果指标影响分析!E6</f>
        <v>2.0185330343061469E-2</v>
      </c>
      <c r="F6" s="685">
        <f>动因指标对成果指标影响分析!F6</f>
        <v>0.01</v>
      </c>
      <c r="G6" s="752">
        <f>动因指标对成果指标影响分析!G6</f>
        <v>0</v>
      </c>
      <c r="H6" s="868" t="s">
        <v>1774</v>
      </c>
      <c r="I6" s="740" t="s">
        <v>1217</v>
      </c>
      <c r="J6" s="740" t="s">
        <v>1217</v>
      </c>
      <c r="K6" s="740" t="s">
        <v>1217</v>
      </c>
      <c r="L6" s="681">
        <f>假设!F162</f>
        <v>0.43497096790000001</v>
      </c>
      <c r="M6" s="681" t="s">
        <v>1217</v>
      </c>
      <c r="N6" s="681"/>
      <c r="O6" s="681"/>
      <c r="P6" s="681"/>
      <c r="Q6" s="773" t="str">
        <f>IFERROR(H6-$E$5,"——")</f>
        <v>——</v>
      </c>
      <c r="R6" s="772" t="s">
        <v>1217</v>
      </c>
      <c r="S6" s="773" t="str">
        <f t="shared" ref="S6:S13" si="10">IFERROR(J6-$E$7,"——")</f>
        <v>——</v>
      </c>
      <c r="T6" s="773" t="str">
        <f t="shared" ref="T6:T13" si="11">IFERROR(K6-$E$8,"——")</f>
        <v>——</v>
      </c>
      <c r="U6" s="773">
        <f t="shared" ref="U6:U13" si="12">IFERROR(L6-$E$9,"——")</f>
        <v>-229.0512319888262</v>
      </c>
      <c r="V6" s="773" t="str">
        <f t="shared" ref="V6:V13" si="13">IFERROR(M6-$E$10,"——")</f>
        <v>——</v>
      </c>
      <c r="W6" s="773">
        <f t="shared" ref="W6:W13" si="14">IFERROR(N6-$E$11,"——")</f>
        <v>0</v>
      </c>
      <c r="X6" s="773">
        <f t="shared" ref="X6:X13" si="15">IFERROR(O6-$E$12,"——")</f>
        <v>0</v>
      </c>
      <c r="Y6" s="773">
        <f t="shared" ref="Y6:Y13" si="16">IFERROR(P6-$E$13,"——")</f>
        <v>0</v>
      </c>
      <c r="Z6" s="774" t="str">
        <f t="shared" ref="Z6:Z13" si="17">IFERROR(Q6/$E$5,"——")</f>
        <v>——</v>
      </c>
      <c r="AA6" s="774" t="str">
        <f t="shared" ref="AA6:AA13" si="18">IFERROR(R6/$E$6,"——")</f>
        <v>——</v>
      </c>
      <c r="AB6" s="774" t="str">
        <f t="shared" ref="AB6:AB13" si="19">IFERROR(S6/$E$7,"——")</f>
        <v>——</v>
      </c>
      <c r="AC6" s="774" t="str">
        <f t="shared" ref="AC6:AC13" si="20">IFERROR(T6/$E$8,"——")</f>
        <v>——</v>
      </c>
      <c r="AD6" s="774">
        <f t="shared" ref="AD6:AD13" si="21">IFERROR(U6/$E$9,"——")</f>
        <v>-0.99810458771683963</v>
      </c>
      <c r="AE6" s="774" t="str">
        <f t="shared" ref="AE6:AE13" si="22">IFERROR(V6/$E$10,"——")</f>
        <v>——</v>
      </c>
      <c r="AF6" s="774" t="str">
        <f t="shared" ref="AF6:AF13" si="23">IFERROR(W6/$E$11,"——")</f>
        <v>——</v>
      </c>
      <c r="AG6" s="774" t="str">
        <f t="shared" ref="AG6:AG13" si="24">IFERROR(X6/$E$12,"——")</f>
        <v>——</v>
      </c>
      <c r="AH6" s="774" t="str">
        <f t="shared" ref="AH6:AH13" si="25">IFERROR(Y6/$E$13,"——")</f>
        <v>——</v>
      </c>
      <c r="AI6" s="729" t="str">
        <f t="shared" ref="AI6:AI13" si="26">IFERROR(Z6/($F$5/$E$5),"——")</f>
        <v>——</v>
      </c>
      <c r="AJ6" s="729" t="str">
        <f t="shared" ref="AJ6:AJ13" si="27">IFERROR(AA6/$F$6,"——")</f>
        <v>——</v>
      </c>
      <c r="AK6" s="729" t="str">
        <f t="shared" ref="AK6:AK13" si="28">IFERROR(AB6/($F$7/$E$7),"——")</f>
        <v>——</v>
      </c>
      <c r="AL6" s="729" t="str">
        <f t="shared" ref="AL6:AL13" si="29">IFERROR(AC6/($F$8/$E$8),"——")</f>
        <v>——</v>
      </c>
      <c r="AM6" s="729">
        <f t="shared" ref="AM6:AM13" si="30">IFERROR(AD6/($F$9/$E$9),"——")</f>
        <v>-22.90512319888262</v>
      </c>
      <c r="AN6" s="729" t="str">
        <f t="shared" ref="AN6:AN13" si="31">IFERROR(AE6/($F$10/$E$10),"——")</f>
        <v>——</v>
      </c>
      <c r="AO6" s="728"/>
      <c r="AP6" s="728"/>
      <c r="AQ6" s="728"/>
    </row>
    <row r="7" spans="1:43" ht="25.2" customHeight="1">
      <c r="A7" s="626"/>
      <c r="B7" s="2448"/>
      <c r="C7" s="678" t="s">
        <v>1188</v>
      </c>
      <c r="D7" s="688" t="b">
        <v>0</v>
      </c>
      <c r="E7" s="684">
        <f>输配电价测算参数!E88</f>
        <v>222.12630157857413</v>
      </c>
      <c r="F7" s="684">
        <f>动因指标对成果指标影响分析!F7</f>
        <v>10</v>
      </c>
      <c r="G7" s="753" t="str">
        <f>动因指标对成果指标影响分析!G7</f>
        <v>元/千千瓦时</v>
      </c>
      <c r="H7" s="869" t="s">
        <v>1622</v>
      </c>
      <c r="I7" s="740" t="s">
        <v>1217</v>
      </c>
      <c r="J7" s="740" t="s">
        <v>1217</v>
      </c>
      <c r="K7" s="740" t="s">
        <v>1217</v>
      </c>
      <c r="L7" s="681">
        <f>假设!F167</f>
        <v>0.43497096790000001</v>
      </c>
      <c r="M7" s="681" t="s">
        <v>1217</v>
      </c>
      <c r="N7" s="681"/>
      <c r="O7" s="681"/>
      <c r="P7" s="681"/>
      <c r="Q7" s="773" t="str">
        <f t="shared" ref="Q7:Q13" si="32">IFERROR(H7-$E$5,"——")</f>
        <v>——</v>
      </c>
      <c r="R7" s="773" t="str">
        <f t="shared" ref="R7:R13" si="33">IFERROR(I7-$E$6,"——")</f>
        <v>——</v>
      </c>
      <c r="S7" s="773" t="str">
        <f t="shared" si="10"/>
        <v>——</v>
      </c>
      <c r="T7" s="773" t="str">
        <f t="shared" si="11"/>
        <v>——</v>
      </c>
      <c r="U7" s="773">
        <f t="shared" si="12"/>
        <v>-229.0512319888262</v>
      </c>
      <c r="V7" s="773" t="str">
        <f t="shared" si="13"/>
        <v>——</v>
      </c>
      <c r="W7" s="773">
        <f t="shared" si="14"/>
        <v>0</v>
      </c>
      <c r="X7" s="773">
        <f t="shared" si="15"/>
        <v>0</v>
      </c>
      <c r="Y7" s="773">
        <f t="shared" si="16"/>
        <v>0</v>
      </c>
      <c r="Z7" s="774" t="str">
        <f t="shared" si="17"/>
        <v>——</v>
      </c>
      <c r="AA7" s="774" t="str">
        <f t="shared" si="18"/>
        <v>——</v>
      </c>
      <c r="AB7" s="774" t="str">
        <f t="shared" si="19"/>
        <v>——</v>
      </c>
      <c r="AC7" s="774" t="str">
        <f t="shared" si="20"/>
        <v>——</v>
      </c>
      <c r="AD7" s="774">
        <f t="shared" si="21"/>
        <v>-0.99810458771683963</v>
      </c>
      <c r="AE7" s="774" t="str">
        <f t="shared" si="22"/>
        <v>——</v>
      </c>
      <c r="AF7" s="774" t="str">
        <f t="shared" si="23"/>
        <v>——</v>
      </c>
      <c r="AG7" s="774" t="str">
        <f t="shared" si="24"/>
        <v>——</v>
      </c>
      <c r="AH7" s="774" t="str">
        <f t="shared" si="25"/>
        <v>——</v>
      </c>
      <c r="AI7" s="729" t="str">
        <f t="shared" si="26"/>
        <v>——</v>
      </c>
      <c r="AJ7" s="729" t="str">
        <f t="shared" si="27"/>
        <v>——</v>
      </c>
      <c r="AK7" s="729" t="str">
        <f t="shared" si="28"/>
        <v>——</v>
      </c>
      <c r="AL7" s="729" t="str">
        <f t="shared" si="29"/>
        <v>——</v>
      </c>
      <c r="AM7" s="729">
        <f t="shared" si="30"/>
        <v>-22.90512319888262</v>
      </c>
      <c r="AN7" s="729" t="str">
        <f t="shared" si="31"/>
        <v>——</v>
      </c>
      <c r="AO7" s="728"/>
      <c r="AP7" s="728"/>
      <c r="AQ7" s="728"/>
    </row>
    <row r="8" spans="1:43" ht="25.2" customHeight="1">
      <c r="A8" s="626"/>
      <c r="B8" s="2448"/>
      <c r="C8" s="678" t="s">
        <v>1602</v>
      </c>
      <c r="D8" s="688" t="b">
        <v>0</v>
      </c>
      <c r="E8" s="684">
        <f>动因指标对成果指标影响分析!E8</f>
        <v>22</v>
      </c>
      <c r="F8" s="684">
        <f>动因指标对成果指标影响分析!F8</f>
        <v>10</v>
      </c>
      <c r="G8" s="753" t="str">
        <f>动因指标对成果指标影响分析!G8</f>
        <v>亿元</v>
      </c>
      <c r="H8" s="681" t="s">
        <v>1217</v>
      </c>
      <c r="I8" s="740" t="s">
        <v>1217</v>
      </c>
      <c r="J8" s="740" t="s">
        <v>1217</v>
      </c>
      <c r="K8" s="740" t="s">
        <v>1217</v>
      </c>
      <c r="L8" s="871" t="s">
        <v>1697</v>
      </c>
      <c r="M8" s="681" t="s">
        <v>1217</v>
      </c>
      <c r="N8" s="681"/>
      <c r="O8" s="681"/>
      <c r="P8" s="681"/>
      <c r="Q8" s="773" t="str">
        <f t="shared" si="32"/>
        <v>——</v>
      </c>
      <c r="R8" s="773" t="str">
        <f t="shared" si="33"/>
        <v>——</v>
      </c>
      <c r="S8" s="773" t="str">
        <f t="shared" si="10"/>
        <v>——</v>
      </c>
      <c r="T8" s="773" t="str">
        <f t="shared" si="11"/>
        <v>——</v>
      </c>
      <c r="U8" s="773" t="str">
        <f t="shared" si="12"/>
        <v>——</v>
      </c>
      <c r="V8" s="773" t="str">
        <f t="shared" si="13"/>
        <v>——</v>
      </c>
      <c r="W8" s="773">
        <f t="shared" si="14"/>
        <v>0</v>
      </c>
      <c r="X8" s="773">
        <f t="shared" si="15"/>
        <v>0</v>
      </c>
      <c r="Y8" s="773">
        <f t="shared" si="16"/>
        <v>0</v>
      </c>
      <c r="Z8" s="774" t="str">
        <f t="shared" si="17"/>
        <v>——</v>
      </c>
      <c r="AA8" s="774" t="str">
        <f t="shared" si="18"/>
        <v>——</v>
      </c>
      <c r="AB8" s="774" t="str">
        <f t="shared" si="19"/>
        <v>——</v>
      </c>
      <c r="AC8" s="774" t="str">
        <f t="shared" si="20"/>
        <v>——</v>
      </c>
      <c r="AD8" s="774" t="str">
        <f t="shared" si="21"/>
        <v>——</v>
      </c>
      <c r="AE8" s="774" t="str">
        <f t="shared" si="22"/>
        <v>——</v>
      </c>
      <c r="AF8" s="774" t="str">
        <f t="shared" si="23"/>
        <v>——</v>
      </c>
      <c r="AG8" s="774" t="str">
        <f t="shared" si="24"/>
        <v>——</v>
      </c>
      <c r="AH8" s="774" t="str">
        <f t="shared" si="25"/>
        <v>——</v>
      </c>
      <c r="AI8" s="729" t="str">
        <f t="shared" si="26"/>
        <v>——</v>
      </c>
      <c r="AJ8" s="729" t="str">
        <f t="shared" si="27"/>
        <v>——</v>
      </c>
      <c r="AK8" s="729" t="str">
        <f t="shared" si="28"/>
        <v>——</v>
      </c>
      <c r="AL8" s="729" t="str">
        <f t="shared" si="29"/>
        <v>——</v>
      </c>
      <c r="AM8" s="729" t="str">
        <f t="shared" si="30"/>
        <v>——</v>
      </c>
      <c r="AN8" s="729" t="str">
        <f t="shared" si="31"/>
        <v>——</v>
      </c>
      <c r="AO8" s="728"/>
      <c r="AP8" s="728"/>
      <c r="AQ8" s="728"/>
    </row>
    <row r="9" spans="1:43" ht="25.2" customHeight="1">
      <c r="A9" s="679"/>
      <c r="B9" s="2448"/>
      <c r="C9" s="678" t="s">
        <v>1207</v>
      </c>
      <c r="D9" s="688" t="b">
        <v>0</v>
      </c>
      <c r="E9" s="684">
        <f>动因指标对成果指标影响分析!E9</f>
        <v>229.4862029567262</v>
      </c>
      <c r="F9" s="684">
        <f>动因指标对成果指标影响分析!F9</f>
        <v>10</v>
      </c>
      <c r="G9" s="753" t="str">
        <f>动因指标对成果指标影响分析!G9</f>
        <v>亿元</v>
      </c>
      <c r="H9" s="870" t="s">
        <v>1623</v>
      </c>
      <c r="I9" s="681" t="s">
        <v>1217</v>
      </c>
      <c r="J9" s="681" t="s">
        <v>1217</v>
      </c>
      <c r="K9" s="681" t="s">
        <v>1217</v>
      </c>
      <c r="L9" s="696" t="s">
        <v>1217</v>
      </c>
      <c r="M9" s="681" t="s">
        <v>1217</v>
      </c>
      <c r="N9" s="681"/>
      <c r="O9" s="681"/>
      <c r="P9" s="681"/>
      <c r="Q9" s="773" t="str">
        <f t="shared" si="32"/>
        <v>——</v>
      </c>
      <c r="R9" s="773" t="str">
        <f>IFERROR(I9-$E$6,"——")</f>
        <v>——</v>
      </c>
      <c r="S9" s="773" t="str">
        <f t="shared" si="10"/>
        <v>——</v>
      </c>
      <c r="T9" s="773" t="str">
        <f t="shared" si="11"/>
        <v>——</v>
      </c>
      <c r="U9" s="773" t="str">
        <f t="shared" si="12"/>
        <v>——</v>
      </c>
      <c r="V9" s="773" t="str">
        <f t="shared" si="13"/>
        <v>——</v>
      </c>
      <c r="W9" s="773">
        <f t="shared" si="14"/>
        <v>0</v>
      </c>
      <c r="X9" s="773">
        <f t="shared" si="15"/>
        <v>0</v>
      </c>
      <c r="Y9" s="773">
        <f t="shared" si="16"/>
        <v>0</v>
      </c>
      <c r="Z9" s="774" t="str">
        <f t="shared" si="17"/>
        <v>——</v>
      </c>
      <c r="AA9" s="774" t="str">
        <f t="shared" si="18"/>
        <v>——</v>
      </c>
      <c r="AB9" s="774" t="str">
        <f t="shared" si="19"/>
        <v>——</v>
      </c>
      <c r="AC9" s="774" t="str">
        <f t="shared" si="20"/>
        <v>——</v>
      </c>
      <c r="AD9" s="774" t="str">
        <f t="shared" si="21"/>
        <v>——</v>
      </c>
      <c r="AE9" s="774" t="str">
        <f t="shared" si="22"/>
        <v>——</v>
      </c>
      <c r="AF9" s="774" t="str">
        <f t="shared" si="23"/>
        <v>——</v>
      </c>
      <c r="AG9" s="774" t="str">
        <f t="shared" si="24"/>
        <v>——</v>
      </c>
      <c r="AH9" s="774" t="str">
        <f t="shared" si="25"/>
        <v>——</v>
      </c>
      <c r="AI9" s="729" t="str">
        <f t="shared" si="26"/>
        <v>——</v>
      </c>
      <c r="AJ9" s="729" t="str">
        <f t="shared" si="27"/>
        <v>——</v>
      </c>
      <c r="AK9" s="729" t="str">
        <f t="shared" si="28"/>
        <v>——</v>
      </c>
      <c r="AL9" s="729" t="str">
        <f t="shared" si="29"/>
        <v>——</v>
      </c>
      <c r="AM9" s="729" t="str">
        <f t="shared" si="30"/>
        <v>——</v>
      </c>
      <c r="AN9" s="729" t="str">
        <f t="shared" si="31"/>
        <v>——</v>
      </c>
      <c r="AO9" s="728"/>
      <c r="AP9" s="728"/>
      <c r="AQ9" s="728"/>
    </row>
    <row r="10" spans="1:43" ht="25.2" customHeight="1">
      <c r="A10" s="679"/>
      <c r="B10" s="2448"/>
      <c r="C10" s="678" t="s">
        <v>1603</v>
      </c>
      <c r="D10" s="688" t="b">
        <v>0</v>
      </c>
      <c r="E10" s="684">
        <f>动因指标对成果指标影响分析!E10</f>
        <v>3.59</v>
      </c>
      <c r="F10" s="684">
        <f>动因指标对成果指标影响分析!F10</f>
        <v>10</v>
      </c>
      <c r="G10" s="753" t="str">
        <f>动因指标对成果指标影响分析!G10</f>
        <v>亿元</v>
      </c>
      <c r="H10" s="681" t="s">
        <v>1217</v>
      </c>
      <c r="I10" s="681" t="s">
        <v>1217</v>
      </c>
      <c r="J10" s="681" t="s">
        <v>1217</v>
      </c>
      <c r="K10" s="681" t="s">
        <v>1217</v>
      </c>
      <c r="L10" s="681" t="s">
        <v>1217</v>
      </c>
      <c r="M10" s="696" t="s">
        <v>1217</v>
      </c>
      <c r="N10" s="681"/>
      <c r="O10" s="681"/>
      <c r="P10" s="681"/>
      <c r="Q10" s="773" t="str">
        <f t="shared" si="32"/>
        <v>——</v>
      </c>
      <c r="R10" s="773" t="str">
        <f t="shared" si="33"/>
        <v>——</v>
      </c>
      <c r="S10" s="773" t="str">
        <f t="shared" si="10"/>
        <v>——</v>
      </c>
      <c r="T10" s="773" t="str">
        <f t="shared" si="11"/>
        <v>——</v>
      </c>
      <c r="U10" s="773" t="str">
        <f t="shared" si="12"/>
        <v>——</v>
      </c>
      <c r="V10" s="773" t="str">
        <f t="shared" si="13"/>
        <v>——</v>
      </c>
      <c r="W10" s="773">
        <f t="shared" si="14"/>
        <v>0</v>
      </c>
      <c r="X10" s="773">
        <f t="shared" si="15"/>
        <v>0</v>
      </c>
      <c r="Y10" s="773">
        <f t="shared" si="16"/>
        <v>0</v>
      </c>
      <c r="Z10" s="774" t="str">
        <f t="shared" si="17"/>
        <v>——</v>
      </c>
      <c r="AA10" s="774" t="str">
        <f t="shared" si="18"/>
        <v>——</v>
      </c>
      <c r="AB10" s="774" t="str">
        <f t="shared" si="19"/>
        <v>——</v>
      </c>
      <c r="AC10" s="774" t="str">
        <f t="shared" si="20"/>
        <v>——</v>
      </c>
      <c r="AD10" s="774" t="str">
        <f t="shared" si="21"/>
        <v>——</v>
      </c>
      <c r="AE10" s="774" t="str">
        <f t="shared" si="22"/>
        <v>——</v>
      </c>
      <c r="AF10" s="774" t="str">
        <f t="shared" si="23"/>
        <v>——</v>
      </c>
      <c r="AG10" s="774" t="str">
        <f t="shared" si="24"/>
        <v>——</v>
      </c>
      <c r="AH10" s="774" t="str">
        <f t="shared" si="25"/>
        <v>——</v>
      </c>
      <c r="AI10" s="729" t="str">
        <f t="shared" si="26"/>
        <v>——</v>
      </c>
      <c r="AJ10" s="729" t="str">
        <f t="shared" si="27"/>
        <v>——</v>
      </c>
      <c r="AK10" s="729" t="str">
        <f t="shared" si="28"/>
        <v>——</v>
      </c>
      <c r="AL10" s="729" t="str">
        <f t="shared" si="29"/>
        <v>——</v>
      </c>
      <c r="AM10" s="729" t="str">
        <f t="shared" si="30"/>
        <v>——</v>
      </c>
      <c r="AN10" s="729" t="str">
        <f t="shared" si="31"/>
        <v>——</v>
      </c>
      <c r="AO10" s="728"/>
      <c r="AP10" s="728"/>
      <c r="AQ10" s="728"/>
    </row>
    <row r="11" spans="1:43" ht="24" customHeight="1">
      <c r="B11" s="2448"/>
      <c r="C11" s="675"/>
      <c r="D11" s="689" t="b">
        <v>0</v>
      </c>
      <c r="E11" s="677"/>
      <c r="F11" s="677"/>
      <c r="G11" s="741"/>
      <c r="H11" s="681" t="s">
        <v>1217</v>
      </c>
      <c r="I11" s="681" t="s">
        <v>1217</v>
      </c>
      <c r="J11" s="681" t="s">
        <v>1217</v>
      </c>
      <c r="K11" s="681" t="s">
        <v>1217</v>
      </c>
      <c r="L11" s="681" t="s">
        <v>1217</v>
      </c>
      <c r="M11" s="681" t="s">
        <v>1217</v>
      </c>
      <c r="N11" s="681" t="s">
        <v>1217</v>
      </c>
      <c r="O11" s="681" t="s">
        <v>1217</v>
      </c>
      <c r="P11" s="681" t="s">
        <v>1217</v>
      </c>
      <c r="Q11" s="773" t="str">
        <f t="shared" si="32"/>
        <v>——</v>
      </c>
      <c r="R11" s="773" t="str">
        <f t="shared" si="33"/>
        <v>——</v>
      </c>
      <c r="S11" s="773" t="str">
        <f>IFERROR(J11-$E$7,"——")</f>
        <v>——</v>
      </c>
      <c r="T11" s="773" t="str">
        <f t="shared" si="11"/>
        <v>——</v>
      </c>
      <c r="U11" s="773" t="str">
        <f t="shared" si="12"/>
        <v>——</v>
      </c>
      <c r="V11" s="773" t="str">
        <f t="shared" si="13"/>
        <v>——</v>
      </c>
      <c r="W11" s="773" t="str">
        <f t="shared" si="14"/>
        <v>——</v>
      </c>
      <c r="X11" s="773" t="str">
        <f t="shared" si="15"/>
        <v>——</v>
      </c>
      <c r="Y11" s="773" t="str">
        <f t="shared" si="16"/>
        <v>——</v>
      </c>
      <c r="Z11" s="774" t="str">
        <f t="shared" si="17"/>
        <v>——</v>
      </c>
      <c r="AA11" s="774" t="str">
        <f t="shared" si="18"/>
        <v>——</v>
      </c>
      <c r="AB11" s="774" t="str">
        <f t="shared" si="19"/>
        <v>——</v>
      </c>
      <c r="AC11" s="774" t="str">
        <f t="shared" si="20"/>
        <v>——</v>
      </c>
      <c r="AD11" s="774" t="str">
        <f t="shared" si="21"/>
        <v>——</v>
      </c>
      <c r="AE11" s="774" t="str">
        <f t="shared" si="22"/>
        <v>——</v>
      </c>
      <c r="AF11" s="774" t="str">
        <f t="shared" si="23"/>
        <v>——</v>
      </c>
      <c r="AG11" s="774" t="str">
        <f t="shared" si="24"/>
        <v>——</v>
      </c>
      <c r="AH11" s="774" t="str">
        <f t="shared" si="25"/>
        <v>——</v>
      </c>
      <c r="AI11" s="729" t="str">
        <f>IFERROR(Z11/($F$5/$E$5),"——")</f>
        <v>——</v>
      </c>
      <c r="AJ11" s="729" t="str">
        <f t="shared" si="27"/>
        <v>——</v>
      </c>
      <c r="AK11" s="729" t="str">
        <f t="shared" si="28"/>
        <v>——</v>
      </c>
      <c r="AL11" s="729" t="str">
        <f t="shared" si="29"/>
        <v>——</v>
      </c>
      <c r="AM11" s="729" t="str">
        <f t="shared" si="30"/>
        <v>——</v>
      </c>
      <c r="AN11" s="729" t="str">
        <f t="shared" si="31"/>
        <v>——</v>
      </c>
      <c r="AO11" s="729"/>
      <c r="AP11" s="724"/>
      <c r="AQ11" s="724"/>
    </row>
    <row r="12" spans="1:43" ht="24" customHeight="1">
      <c r="B12" s="2448"/>
      <c r="C12" s="675"/>
      <c r="D12" s="689" t="b">
        <v>0</v>
      </c>
      <c r="E12" s="677"/>
      <c r="F12" s="677"/>
      <c r="G12" s="741"/>
      <c r="H12" s="681" t="s">
        <v>1217</v>
      </c>
      <c r="I12" s="681" t="s">
        <v>1217</v>
      </c>
      <c r="J12" s="681" t="s">
        <v>1217</v>
      </c>
      <c r="K12" s="681" t="s">
        <v>1217</v>
      </c>
      <c r="L12" s="681" t="s">
        <v>1217</v>
      </c>
      <c r="M12" s="681" t="s">
        <v>1217</v>
      </c>
      <c r="N12" s="681" t="s">
        <v>1217</v>
      </c>
      <c r="O12" s="681" t="s">
        <v>1217</v>
      </c>
      <c r="P12" s="681" t="s">
        <v>1217</v>
      </c>
      <c r="Q12" s="773" t="str">
        <f t="shared" si="32"/>
        <v>——</v>
      </c>
      <c r="R12" s="773" t="str">
        <f t="shared" si="33"/>
        <v>——</v>
      </c>
      <c r="S12" s="773" t="str">
        <f t="shared" si="10"/>
        <v>——</v>
      </c>
      <c r="T12" s="773" t="str">
        <f t="shared" si="11"/>
        <v>——</v>
      </c>
      <c r="U12" s="773" t="str">
        <f t="shared" si="12"/>
        <v>——</v>
      </c>
      <c r="V12" s="773" t="str">
        <f t="shared" si="13"/>
        <v>——</v>
      </c>
      <c r="W12" s="773" t="str">
        <f t="shared" si="14"/>
        <v>——</v>
      </c>
      <c r="X12" s="773" t="str">
        <f t="shared" si="15"/>
        <v>——</v>
      </c>
      <c r="Y12" s="773" t="str">
        <f t="shared" si="16"/>
        <v>——</v>
      </c>
      <c r="Z12" s="774" t="str">
        <f t="shared" si="17"/>
        <v>——</v>
      </c>
      <c r="AA12" s="774" t="str">
        <f t="shared" si="18"/>
        <v>——</v>
      </c>
      <c r="AB12" s="774" t="str">
        <f t="shared" si="19"/>
        <v>——</v>
      </c>
      <c r="AC12" s="774" t="str">
        <f t="shared" si="20"/>
        <v>——</v>
      </c>
      <c r="AD12" s="774" t="str">
        <f t="shared" si="21"/>
        <v>——</v>
      </c>
      <c r="AE12" s="774" t="str">
        <f t="shared" si="22"/>
        <v>——</v>
      </c>
      <c r="AF12" s="774" t="str">
        <f t="shared" si="23"/>
        <v>——</v>
      </c>
      <c r="AG12" s="774" t="str">
        <f t="shared" si="24"/>
        <v>——</v>
      </c>
      <c r="AH12" s="774" t="str">
        <f t="shared" si="25"/>
        <v>——</v>
      </c>
      <c r="AI12" s="729" t="str">
        <f t="shared" si="26"/>
        <v>——</v>
      </c>
      <c r="AJ12" s="729" t="str">
        <f t="shared" si="27"/>
        <v>——</v>
      </c>
      <c r="AK12" s="729" t="str">
        <f t="shared" si="28"/>
        <v>——</v>
      </c>
      <c r="AL12" s="729" t="str">
        <f t="shared" si="29"/>
        <v>——</v>
      </c>
      <c r="AM12" s="729" t="str">
        <f t="shared" si="30"/>
        <v>——</v>
      </c>
      <c r="AN12" s="729" t="str">
        <f t="shared" si="31"/>
        <v>——</v>
      </c>
      <c r="AO12" s="724"/>
      <c r="AP12" s="729"/>
      <c r="AQ12" s="724"/>
    </row>
    <row r="13" spans="1:43" ht="24" customHeight="1">
      <c r="B13" s="2449"/>
      <c r="C13" s="675"/>
      <c r="D13" s="689" t="b">
        <v>0</v>
      </c>
      <c r="E13" s="677"/>
      <c r="F13" s="677"/>
      <c r="G13" s="741"/>
      <c r="H13" s="681" t="s">
        <v>1217</v>
      </c>
      <c r="I13" s="681" t="s">
        <v>1217</v>
      </c>
      <c r="J13" s="681" t="s">
        <v>1217</v>
      </c>
      <c r="K13" s="681" t="s">
        <v>1217</v>
      </c>
      <c r="L13" s="681" t="s">
        <v>1217</v>
      </c>
      <c r="M13" s="681" t="s">
        <v>1217</v>
      </c>
      <c r="N13" s="681" t="s">
        <v>1217</v>
      </c>
      <c r="O13" s="681" t="s">
        <v>1217</v>
      </c>
      <c r="P13" s="681" t="s">
        <v>1217</v>
      </c>
      <c r="Q13" s="773" t="str">
        <f t="shared" si="32"/>
        <v>——</v>
      </c>
      <c r="R13" s="773" t="str">
        <f t="shared" si="33"/>
        <v>——</v>
      </c>
      <c r="S13" s="773" t="str">
        <f t="shared" si="10"/>
        <v>——</v>
      </c>
      <c r="T13" s="773" t="str">
        <f t="shared" si="11"/>
        <v>——</v>
      </c>
      <c r="U13" s="773" t="str">
        <f t="shared" si="12"/>
        <v>——</v>
      </c>
      <c r="V13" s="773" t="str">
        <f t="shared" si="13"/>
        <v>——</v>
      </c>
      <c r="W13" s="773" t="str">
        <f t="shared" si="14"/>
        <v>——</v>
      </c>
      <c r="X13" s="773" t="str">
        <f t="shared" si="15"/>
        <v>——</v>
      </c>
      <c r="Y13" s="773" t="str">
        <f t="shared" si="16"/>
        <v>——</v>
      </c>
      <c r="Z13" s="774" t="str">
        <f t="shared" si="17"/>
        <v>——</v>
      </c>
      <c r="AA13" s="774" t="str">
        <f t="shared" si="18"/>
        <v>——</v>
      </c>
      <c r="AB13" s="774" t="str">
        <f t="shared" si="19"/>
        <v>——</v>
      </c>
      <c r="AC13" s="774" t="str">
        <f t="shared" si="20"/>
        <v>——</v>
      </c>
      <c r="AD13" s="774" t="str">
        <f t="shared" si="21"/>
        <v>——</v>
      </c>
      <c r="AE13" s="774" t="str">
        <f t="shared" si="22"/>
        <v>——</v>
      </c>
      <c r="AF13" s="774" t="str">
        <f t="shared" si="23"/>
        <v>——</v>
      </c>
      <c r="AG13" s="774" t="str">
        <f t="shared" si="24"/>
        <v>——</v>
      </c>
      <c r="AH13" s="774" t="str">
        <f t="shared" si="25"/>
        <v>——</v>
      </c>
      <c r="AI13" s="729" t="str">
        <f t="shared" si="26"/>
        <v>——</v>
      </c>
      <c r="AJ13" s="729" t="str">
        <f t="shared" si="27"/>
        <v>——</v>
      </c>
      <c r="AK13" s="729" t="str">
        <f t="shared" si="28"/>
        <v>——</v>
      </c>
      <c r="AL13" s="729" t="str">
        <f t="shared" si="29"/>
        <v>——</v>
      </c>
      <c r="AM13" s="729" t="str">
        <f t="shared" si="30"/>
        <v>——</v>
      </c>
      <c r="AN13" s="729" t="str">
        <f t="shared" si="31"/>
        <v>——</v>
      </c>
      <c r="AO13" s="724"/>
      <c r="AP13" s="724"/>
      <c r="AQ13" s="729"/>
    </row>
    <row r="14" spans="1:43">
      <c r="B14" s="2437" t="s">
        <v>1617</v>
      </c>
      <c r="C14" s="2437" t="s">
        <v>1616</v>
      </c>
      <c r="D14" s="2437" t="s">
        <v>1615</v>
      </c>
      <c r="E14" s="2437" t="s">
        <v>1611</v>
      </c>
      <c r="F14" s="2438" t="s">
        <v>1606</v>
      </c>
      <c r="G14" s="2429" t="s">
        <v>1693</v>
      </c>
      <c r="H14" s="2425" t="s">
        <v>1608</v>
      </c>
      <c r="I14" s="2425"/>
      <c r="J14" s="2431"/>
      <c r="K14" s="2425" t="s">
        <v>1630</v>
      </c>
      <c r="L14" s="2425"/>
      <c r="M14" s="2425"/>
      <c r="N14" s="2425" t="s">
        <v>1631</v>
      </c>
      <c r="O14" s="2425"/>
      <c r="P14" s="2425"/>
      <c r="Q14" s="2425" t="s">
        <v>1687</v>
      </c>
      <c r="R14" s="2425"/>
      <c r="S14" s="2425"/>
    </row>
    <row r="15" spans="1:43">
      <c r="B15" s="2437"/>
      <c r="C15" s="2437"/>
      <c r="D15" s="2437"/>
      <c r="E15" s="2437"/>
      <c r="F15" s="2439"/>
      <c r="G15" s="2430"/>
      <c r="H15" s="693" t="str">
        <f>C16</f>
        <v>利润总额</v>
      </c>
      <c r="I15" s="693" t="str">
        <f>C17</f>
        <v>资产负债率</v>
      </c>
      <c r="J15" s="694" t="str">
        <f>C18</f>
        <v>EVA</v>
      </c>
      <c r="K15" s="693" t="str">
        <f>H15</f>
        <v>利润总额</v>
      </c>
      <c r="L15" s="693" t="str">
        <f t="shared" ref="L15:M15" si="34">I15</f>
        <v>资产负债率</v>
      </c>
      <c r="M15" s="693" t="str">
        <f t="shared" si="34"/>
        <v>EVA</v>
      </c>
      <c r="N15" s="693" t="str">
        <f>K15</f>
        <v>利润总额</v>
      </c>
      <c r="O15" s="693" t="str">
        <f t="shared" ref="O15" si="35">L15</f>
        <v>资产负债率</v>
      </c>
      <c r="P15" s="693" t="str">
        <f t="shared" ref="P15" si="36">M15</f>
        <v>EVA</v>
      </c>
      <c r="Q15" s="734" t="str">
        <f>N15</f>
        <v>利润总额</v>
      </c>
      <c r="R15" s="734" t="str">
        <f t="shared" ref="R15" si="37">O15</f>
        <v>资产负债率</v>
      </c>
      <c r="S15" s="734" t="str">
        <f t="shared" ref="S15" si="38">P15</f>
        <v>EVA</v>
      </c>
    </row>
    <row r="16" spans="1:43" ht="24" customHeight="1">
      <c r="B16" s="2434" t="s">
        <v>1686</v>
      </c>
      <c r="C16" s="698" t="s">
        <v>420</v>
      </c>
      <c r="D16" s="676" t="s">
        <v>1641</v>
      </c>
      <c r="E16" s="702">
        <f ca="1">损益表!B31</f>
        <v>31.379227543914592</v>
      </c>
      <c r="F16" s="700">
        <v>10</v>
      </c>
      <c r="G16" s="751" t="s">
        <v>1794</v>
      </c>
      <c r="H16" s="676" t="s">
        <v>1624</v>
      </c>
      <c r="I16" s="704">
        <f>损益表!E31</f>
        <v>0.30349278295940141</v>
      </c>
      <c r="J16" s="700">
        <f>损益表!F31</f>
        <v>-22.685400061546844</v>
      </c>
      <c r="K16" s="676" t="s">
        <v>1624</v>
      </c>
      <c r="L16" s="704">
        <f ca="1">I16-E17</f>
        <v>-2.4338451360161883E-4</v>
      </c>
      <c r="M16" s="705">
        <f ca="1">J16-E18</f>
        <v>1.5140250783188733</v>
      </c>
      <c r="N16" s="676" t="s">
        <v>1624</v>
      </c>
      <c r="O16" s="704">
        <f ca="1">L16/E17</f>
        <v>-8.0130237905649338E-4</v>
      </c>
      <c r="P16" s="704">
        <f ca="1">M16/E18</f>
        <v>-6.2564505956990465E-2</v>
      </c>
      <c r="Q16" s="676" t="s">
        <v>1217</v>
      </c>
      <c r="R16" s="700">
        <f ca="1">O16/(F16/E16)</f>
        <v>-2.5144249683893807E-3</v>
      </c>
      <c r="S16" s="700">
        <f ca="1">P16/(F16/E16)</f>
        <v>-0.19632258685970036</v>
      </c>
    </row>
    <row r="17" spans="2:19" ht="24" customHeight="1">
      <c r="B17" s="2435"/>
      <c r="C17" s="698" t="s">
        <v>426</v>
      </c>
      <c r="D17" s="676" t="s">
        <v>1641</v>
      </c>
      <c r="E17" s="704">
        <f ca="1">资产负债表!G70</f>
        <v>0.30373616747300303</v>
      </c>
      <c r="F17" s="703">
        <v>0.01</v>
      </c>
      <c r="G17" s="703"/>
      <c r="H17" s="676" t="s">
        <v>1624</v>
      </c>
      <c r="I17" s="676" t="s">
        <v>1624</v>
      </c>
      <c r="J17" s="709">
        <f>资产负债表!E100</f>
        <v>-15.31868578094096</v>
      </c>
      <c r="K17" s="676" t="s">
        <v>1624</v>
      </c>
      <c r="L17" s="676" t="s">
        <v>1624</v>
      </c>
      <c r="M17" s="700">
        <f ca="1">J17-E18</f>
        <v>8.8807393589247567</v>
      </c>
      <c r="N17" s="676" t="s">
        <v>1624</v>
      </c>
      <c r="O17" s="676" t="s">
        <v>1624</v>
      </c>
      <c r="P17" s="704">
        <f ca="1">M17/E18</f>
        <v>-0.36698141826083214</v>
      </c>
      <c r="Q17" s="676" t="s">
        <v>1217</v>
      </c>
      <c r="R17" s="676" t="s">
        <v>1217</v>
      </c>
      <c r="S17" s="700">
        <f ca="1">P17/F17</f>
        <v>-36.698141826083216</v>
      </c>
    </row>
    <row r="18" spans="2:19" ht="24" customHeight="1">
      <c r="B18" s="2436"/>
      <c r="C18" s="698" t="s">
        <v>1420</v>
      </c>
      <c r="D18" s="676"/>
      <c r="E18" s="701">
        <f ca="1">国资委考核指标!G23</f>
        <v>-24.199425139865632</v>
      </c>
      <c r="F18" s="699" t="s">
        <v>1624</v>
      </c>
      <c r="G18" s="699"/>
      <c r="H18" s="699" t="s">
        <v>1624</v>
      </c>
      <c r="I18" s="699" t="s">
        <v>1624</v>
      </c>
      <c r="J18" s="699" t="s">
        <v>1624</v>
      </c>
      <c r="K18" s="699" t="s">
        <v>1624</v>
      </c>
      <c r="L18" s="699" t="s">
        <v>1624</v>
      </c>
      <c r="M18" s="699" t="s">
        <v>1624</v>
      </c>
      <c r="N18" s="699" t="s">
        <v>1624</v>
      </c>
      <c r="O18" s="699" t="s">
        <v>1624</v>
      </c>
      <c r="P18" s="676" t="s">
        <v>1624</v>
      </c>
      <c r="Q18" s="699" t="s">
        <v>1217</v>
      </c>
      <c r="R18" s="699" t="s">
        <v>1217</v>
      </c>
      <c r="S18" s="676" t="s">
        <v>1217</v>
      </c>
    </row>
    <row r="19" spans="2:19" ht="24" customHeight="1"/>
    <row r="20" spans="2:19" ht="24" customHeight="1"/>
    <row r="21" spans="2:19" ht="24" customHeight="1"/>
    <row r="22" spans="2:19" ht="22.2" customHeight="1"/>
    <row r="23" spans="2:19" ht="22.2" customHeight="1"/>
    <row r="24" spans="2:19" ht="22.2" customHeight="1"/>
  </sheetData>
  <mergeCells count="22">
    <mergeCell ref="Q14:S14"/>
    <mergeCell ref="H3:P3"/>
    <mergeCell ref="F3:F4"/>
    <mergeCell ref="F14:F15"/>
    <mergeCell ref="H14:J14"/>
    <mergeCell ref="K14:M14"/>
    <mergeCell ref="AI3:AQ3"/>
    <mergeCell ref="G3:G4"/>
    <mergeCell ref="G14:G15"/>
    <mergeCell ref="B16:B18"/>
    <mergeCell ref="B3:B4"/>
    <mergeCell ref="C3:C4"/>
    <mergeCell ref="D3:D4"/>
    <mergeCell ref="E3:E4"/>
    <mergeCell ref="B14:B15"/>
    <mergeCell ref="C14:C15"/>
    <mergeCell ref="D14:D15"/>
    <mergeCell ref="E14:E15"/>
    <mergeCell ref="Q3:Y3"/>
    <mergeCell ref="Z3:AH3"/>
    <mergeCell ref="N14:P14"/>
    <mergeCell ref="B5:B13"/>
  </mergeCells>
  <phoneticPr fontId="20"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9">
    <tabColor theme="7" tint="0.59999389629810485"/>
  </sheetPr>
  <dimension ref="A1:W66"/>
  <sheetViews>
    <sheetView showGridLines="0" zoomScale="70" zoomScaleNormal="70" workbookViewId="0">
      <selection activeCell="L3" sqref="L3"/>
    </sheetView>
  </sheetViews>
  <sheetFormatPr defaultColWidth="9" defaultRowHeight="15"/>
  <cols>
    <col min="1" max="1" width="20.21875" style="469" customWidth="1"/>
    <col min="2" max="2" width="16.44140625" style="469" customWidth="1"/>
    <col min="3" max="6" width="19.21875" style="469" customWidth="1"/>
    <col min="7" max="8" width="13.44140625" style="469" customWidth="1"/>
    <col min="9" max="15" width="15.88671875" style="469" customWidth="1"/>
    <col min="16" max="16" width="23.33203125" style="469" bestFit="1" customWidth="1"/>
    <col min="17" max="22" width="16.33203125" style="469" customWidth="1"/>
    <col min="23" max="260" width="9" style="469"/>
    <col min="261" max="261" width="51.88671875" style="469" customWidth="1"/>
    <col min="262" max="265" width="24.33203125" style="469" customWidth="1"/>
    <col min="266" max="266" width="53.77734375" style="469" customWidth="1"/>
    <col min="267" max="267" width="12.6640625" style="469" customWidth="1"/>
    <col min="268" max="516" width="9" style="469"/>
    <col min="517" max="517" width="51.88671875" style="469" customWidth="1"/>
    <col min="518" max="521" width="24.33203125" style="469" customWidth="1"/>
    <col min="522" max="522" width="53.77734375" style="469" customWidth="1"/>
    <col min="523" max="523" width="12.6640625" style="469" customWidth="1"/>
    <col min="524" max="772" width="9" style="469"/>
    <col min="773" max="773" width="51.88671875" style="469" customWidth="1"/>
    <col min="774" max="777" width="24.33203125" style="469" customWidth="1"/>
    <col min="778" max="778" width="53.77734375" style="469" customWidth="1"/>
    <col min="779" max="779" width="12.6640625" style="469" customWidth="1"/>
    <col min="780" max="1028" width="9" style="469"/>
    <col min="1029" max="1029" width="51.88671875" style="469" customWidth="1"/>
    <col min="1030" max="1033" width="24.33203125" style="469" customWidth="1"/>
    <col min="1034" max="1034" width="53.77734375" style="469" customWidth="1"/>
    <col min="1035" max="1035" width="12.6640625" style="469" customWidth="1"/>
    <col min="1036" max="1284" width="9" style="469"/>
    <col min="1285" max="1285" width="51.88671875" style="469" customWidth="1"/>
    <col min="1286" max="1289" width="24.33203125" style="469" customWidth="1"/>
    <col min="1290" max="1290" width="53.77734375" style="469" customWidth="1"/>
    <col min="1291" max="1291" width="12.6640625" style="469" customWidth="1"/>
    <col min="1292" max="1540" width="9" style="469"/>
    <col min="1541" max="1541" width="51.88671875" style="469" customWidth="1"/>
    <col min="1542" max="1545" width="24.33203125" style="469" customWidth="1"/>
    <col min="1546" max="1546" width="53.77734375" style="469" customWidth="1"/>
    <col min="1547" max="1547" width="12.6640625" style="469" customWidth="1"/>
    <col min="1548" max="1796" width="9" style="469"/>
    <col min="1797" max="1797" width="51.88671875" style="469" customWidth="1"/>
    <col min="1798" max="1801" width="24.33203125" style="469" customWidth="1"/>
    <col min="1802" max="1802" width="53.77734375" style="469" customWidth="1"/>
    <col min="1803" max="1803" width="12.6640625" style="469" customWidth="1"/>
    <col min="1804" max="2052" width="9" style="469"/>
    <col min="2053" max="2053" width="51.88671875" style="469" customWidth="1"/>
    <col min="2054" max="2057" width="24.33203125" style="469" customWidth="1"/>
    <col min="2058" max="2058" width="53.77734375" style="469" customWidth="1"/>
    <col min="2059" max="2059" width="12.6640625" style="469" customWidth="1"/>
    <col min="2060" max="2308" width="9" style="469"/>
    <col min="2309" max="2309" width="51.88671875" style="469" customWidth="1"/>
    <col min="2310" max="2313" width="24.33203125" style="469" customWidth="1"/>
    <col min="2314" max="2314" width="53.77734375" style="469" customWidth="1"/>
    <col min="2315" max="2315" width="12.6640625" style="469" customWidth="1"/>
    <col min="2316" max="2564" width="9" style="469"/>
    <col min="2565" max="2565" width="51.88671875" style="469" customWidth="1"/>
    <col min="2566" max="2569" width="24.33203125" style="469" customWidth="1"/>
    <col min="2570" max="2570" width="53.77734375" style="469" customWidth="1"/>
    <col min="2571" max="2571" width="12.6640625" style="469" customWidth="1"/>
    <col min="2572" max="2820" width="9" style="469"/>
    <col min="2821" max="2821" width="51.88671875" style="469" customWidth="1"/>
    <col min="2822" max="2825" width="24.33203125" style="469" customWidth="1"/>
    <col min="2826" max="2826" width="53.77734375" style="469" customWidth="1"/>
    <col min="2827" max="2827" width="12.6640625" style="469" customWidth="1"/>
    <col min="2828" max="3076" width="9" style="469"/>
    <col min="3077" max="3077" width="51.88671875" style="469" customWidth="1"/>
    <col min="3078" max="3081" width="24.33203125" style="469" customWidth="1"/>
    <col min="3082" max="3082" width="53.77734375" style="469" customWidth="1"/>
    <col min="3083" max="3083" width="12.6640625" style="469" customWidth="1"/>
    <col min="3084" max="3332" width="9" style="469"/>
    <col min="3333" max="3333" width="51.88671875" style="469" customWidth="1"/>
    <col min="3334" max="3337" width="24.33203125" style="469" customWidth="1"/>
    <col min="3338" max="3338" width="53.77734375" style="469" customWidth="1"/>
    <col min="3339" max="3339" width="12.6640625" style="469" customWidth="1"/>
    <col min="3340" max="3588" width="9" style="469"/>
    <col min="3589" max="3589" width="51.88671875" style="469" customWidth="1"/>
    <col min="3590" max="3593" width="24.33203125" style="469" customWidth="1"/>
    <col min="3594" max="3594" width="53.77734375" style="469" customWidth="1"/>
    <col min="3595" max="3595" width="12.6640625" style="469" customWidth="1"/>
    <col min="3596" max="3844" width="9" style="469"/>
    <col min="3845" max="3845" width="51.88671875" style="469" customWidth="1"/>
    <col min="3846" max="3849" width="24.33203125" style="469" customWidth="1"/>
    <col min="3850" max="3850" width="53.77734375" style="469" customWidth="1"/>
    <col min="3851" max="3851" width="12.6640625" style="469" customWidth="1"/>
    <col min="3852" max="4100" width="9" style="469"/>
    <col min="4101" max="4101" width="51.88671875" style="469" customWidth="1"/>
    <col min="4102" max="4105" width="24.33203125" style="469" customWidth="1"/>
    <col min="4106" max="4106" width="53.77734375" style="469" customWidth="1"/>
    <col min="4107" max="4107" width="12.6640625" style="469" customWidth="1"/>
    <col min="4108" max="4356" width="9" style="469"/>
    <col min="4357" max="4357" width="51.88671875" style="469" customWidth="1"/>
    <col min="4358" max="4361" width="24.33203125" style="469" customWidth="1"/>
    <col min="4362" max="4362" width="53.77734375" style="469" customWidth="1"/>
    <col min="4363" max="4363" width="12.6640625" style="469" customWidth="1"/>
    <col min="4364" max="4612" width="9" style="469"/>
    <col min="4613" max="4613" width="51.88671875" style="469" customWidth="1"/>
    <col min="4614" max="4617" width="24.33203125" style="469" customWidth="1"/>
    <col min="4618" max="4618" width="53.77734375" style="469" customWidth="1"/>
    <col min="4619" max="4619" width="12.6640625" style="469" customWidth="1"/>
    <col min="4620" max="4868" width="9" style="469"/>
    <col min="4869" max="4869" width="51.88671875" style="469" customWidth="1"/>
    <col min="4870" max="4873" width="24.33203125" style="469" customWidth="1"/>
    <col min="4874" max="4874" width="53.77734375" style="469" customWidth="1"/>
    <col min="4875" max="4875" width="12.6640625" style="469" customWidth="1"/>
    <col min="4876" max="5124" width="9" style="469"/>
    <col min="5125" max="5125" width="51.88671875" style="469" customWidth="1"/>
    <col min="5126" max="5129" width="24.33203125" style="469" customWidth="1"/>
    <col min="5130" max="5130" width="53.77734375" style="469" customWidth="1"/>
    <col min="5131" max="5131" width="12.6640625" style="469" customWidth="1"/>
    <col min="5132" max="5380" width="9" style="469"/>
    <col min="5381" max="5381" width="51.88671875" style="469" customWidth="1"/>
    <col min="5382" max="5385" width="24.33203125" style="469" customWidth="1"/>
    <col min="5386" max="5386" width="53.77734375" style="469" customWidth="1"/>
    <col min="5387" max="5387" width="12.6640625" style="469" customWidth="1"/>
    <col min="5388" max="5636" width="9" style="469"/>
    <col min="5637" max="5637" width="51.88671875" style="469" customWidth="1"/>
    <col min="5638" max="5641" width="24.33203125" style="469" customWidth="1"/>
    <col min="5642" max="5642" width="53.77734375" style="469" customWidth="1"/>
    <col min="5643" max="5643" width="12.6640625" style="469" customWidth="1"/>
    <col min="5644" max="5892" width="9" style="469"/>
    <col min="5893" max="5893" width="51.88671875" style="469" customWidth="1"/>
    <col min="5894" max="5897" width="24.33203125" style="469" customWidth="1"/>
    <col min="5898" max="5898" width="53.77734375" style="469" customWidth="1"/>
    <col min="5899" max="5899" width="12.6640625" style="469" customWidth="1"/>
    <col min="5900" max="6148" width="9" style="469"/>
    <col min="6149" max="6149" width="51.88671875" style="469" customWidth="1"/>
    <col min="6150" max="6153" width="24.33203125" style="469" customWidth="1"/>
    <col min="6154" max="6154" width="53.77734375" style="469" customWidth="1"/>
    <col min="6155" max="6155" width="12.6640625" style="469" customWidth="1"/>
    <col min="6156" max="6404" width="9" style="469"/>
    <col min="6405" max="6405" width="51.88671875" style="469" customWidth="1"/>
    <col min="6406" max="6409" width="24.33203125" style="469" customWidth="1"/>
    <col min="6410" max="6410" width="53.77734375" style="469" customWidth="1"/>
    <col min="6411" max="6411" width="12.6640625" style="469" customWidth="1"/>
    <col min="6412" max="6660" width="9" style="469"/>
    <col min="6661" max="6661" width="51.88671875" style="469" customWidth="1"/>
    <col min="6662" max="6665" width="24.33203125" style="469" customWidth="1"/>
    <col min="6666" max="6666" width="53.77734375" style="469" customWidth="1"/>
    <col min="6667" max="6667" width="12.6640625" style="469" customWidth="1"/>
    <col min="6668" max="6916" width="9" style="469"/>
    <col min="6917" max="6917" width="51.88671875" style="469" customWidth="1"/>
    <col min="6918" max="6921" width="24.33203125" style="469" customWidth="1"/>
    <col min="6922" max="6922" width="53.77734375" style="469" customWidth="1"/>
    <col min="6923" max="6923" width="12.6640625" style="469" customWidth="1"/>
    <col min="6924" max="7172" width="9" style="469"/>
    <col min="7173" max="7173" width="51.88671875" style="469" customWidth="1"/>
    <col min="7174" max="7177" width="24.33203125" style="469" customWidth="1"/>
    <col min="7178" max="7178" width="53.77734375" style="469" customWidth="1"/>
    <col min="7179" max="7179" width="12.6640625" style="469" customWidth="1"/>
    <col min="7180" max="7428" width="9" style="469"/>
    <col min="7429" max="7429" width="51.88671875" style="469" customWidth="1"/>
    <col min="7430" max="7433" width="24.33203125" style="469" customWidth="1"/>
    <col min="7434" max="7434" width="53.77734375" style="469" customWidth="1"/>
    <col min="7435" max="7435" width="12.6640625" style="469" customWidth="1"/>
    <col min="7436" max="7684" width="9" style="469"/>
    <col min="7685" max="7685" width="51.88671875" style="469" customWidth="1"/>
    <col min="7686" max="7689" width="24.33203125" style="469" customWidth="1"/>
    <col min="7690" max="7690" width="53.77734375" style="469" customWidth="1"/>
    <col min="7691" max="7691" width="12.6640625" style="469" customWidth="1"/>
    <col min="7692" max="7940" width="9" style="469"/>
    <col min="7941" max="7941" width="51.88671875" style="469" customWidth="1"/>
    <col min="7942" max="7945" width="24.33203125" style="469" customWidth="1"/>
    <col min="7946" max="7946" width="53.77734375" style="469" customWidth="1"/>
    <col min="7947" max="7947" width="12.6640625" style="469" customWidth="1"/>
    <col min="7948" max="8196" width="9" style="469"/>
    <col min="8197" max="8197" width="51.88671875" style="469" customWidth="1"/>
    <col min="8198" max="8201" width="24.33203125" style="469" customWidth="1"/>
    <col min="8202" max="8202" width="53.77734375" style="469" customWidth="1"/>
    <col min="8203" max="8203" width="12.6640625" style="469" customWidth="1"/>
    <col min="8204" max="8452" width="9" style="469"/>
    <col min="8453" max="8453" width="51.88671875" style="469" customWidth="1"/>
    <col min="8454" max="8457" width="24.33203125" style="469" customWidth="1"/>
    <col min="8458" max="8458" width="53.77734375" style="469" customWidth="1"/>
    <col min="8459" max="8459" width="12.6640625" style="469" customWidth="1"/>
    <col min="8460" max="8708" width="9" style="469"/>
    <col min="8709" max="8709" width="51.88671875" style="469" customWidth="1"/>
    <col min="8710" max="8713" width="24.33203125" style="469" customWidth="1"/>
    <col min="8714" max="8714" width="53.77734375" style="469" customWidth="1"/>
    <col min="8715" max="8715" width="12.6640625" style="469" customWidth="1"/>
    <col min="8716" max="8964" width="9" style="469"/>
    <col min="8965" max="8965" width="51.88671875" style="469" customWidth="1"/>
    <col min="8966" max="8969" width="24.33203125" style="469" customWidth="1"/>
    <col min="8970" max="8970" width="53.77734375" style="469" customWidth="1"/>
    <col min="8971" max="8971" width="12.6640625" style="469" customWidth="1"/>
    <col min="8972" max="9220" width="9" style="469"/>
    <col min="9221" max="9221" width="51.88671875" style="469" customWidth="1"/>
    <col min="9222" max="9225" width="24.33203125" style="469" customWidth="1"/>
    <col min="9226" max="9226" width="53.77734375" style="469" customWidth="1"/>
    <col min="9227" max="9227" width="12.6640625" style="469" customWidth="1"/>
    <col min="9228" max="9476" width="9" style="469"/>
    <col min="9477" max="9477" width="51.88671875" style="469" customWidth="1"/>
    <col min="9478" max="9481" width="24.33203125" style="469" customWidth="1"/>
    <col min="9482" max="9482" width="53.77734375" style="469" customWidth="1"/>
    <col min="9483" max="9483" width="12.6640625" style="469" customWidth="1"/>
    <col min="9484" max="9732" width="9" style="469"/>
    <col min="9733" max="9733" width="51.88671875" style="469" customWidth="1"/>
    <col min="9734" max="9737" width="24.33203125" style="469" customWidth="1"/>
    <col min="9738" max="9738" width="53.77734375" style="469" customWidth="1"/>
    <col min="9739" max="9739" width="12.6640625" style="469" customWidth="1"/>
    <col min="9740" max="9988" width="9" style="469"/>
    <col min="9989" max="9989" width="51.88671875" style="469" customWidth="1"/>
    <col min="9990" max="9993" width="24.33203125" style="469" customWidth="1"/>
    <col min="9994" max="9994" width="53.77734375" style="469" customWidth="1"/>
    <col min="9995" max="9995" width="12.6640625" style="469" customWidth="1"/>
    <col min="9996" max="10244" width="9" style="469"/>
    <col min="10245" max="10245" width="51.88671875" style="469" customWidth="1"/>
    <col min="10246" max="10249" width="24.33203125" style="469" customWidth="1"/>
    <col min="10250" max="10250" width="53.77734375" style="469" customWidth="1"/>
    <col min="10251" max="10251" width="12.6640625" style="469" customWidth="1"/>
    <col min="10252" max="10500" width="9" style="469"/>
    <col min="10501" max="10501" width="51.88671875" style="469" customWidth="1"/>
    <col min="10502" max="10505" width="24.33203125" style="469" customWidth="1"/>
    <col min="10506" max="10506" width="53.77734375" style="469" customWidth="1"/>
    <col min="10507" max="10507" width="12.6640625" style="469" customWidth="1"/>
    <col min="10508" max="10756" width="9" style="469"/>
    <col min="10757" max="10757" width="51.88671875" style="469" customWidth="1"/>
    <col min="10758" max="10761" width="24.33203125" style="469" customWidth="1"/>
    <col min="10762" max="10762" width="53.77734375" style="469" customWidth="1"/>
    <col min="10763" max="10763" width="12.6640625" style="469" customWidth="1"/>
    <col min="10764" max="11012" width="9" style="469"/>
    <col min="11013" max="11013" width="51.88671875" style="469" customWidth="1"/>
    <col min="11014" max="11017" width="24.33203125" style="469" customWidth="1"/>
    <col min="11018" max="11018" width="53.77734375" style="469" customWidth="1"/>
    <col min="11019" max="11019" width="12.6640625" style="469" customWidth="1"/>
    <col min="11020" max="11268" width="9" style="469"/>
    <col min="11269" max="11269" width="51.88671875" style="469" customWidth="1"/>
    <col min="11270" max="11273" width="24.33203125" style="469" customWidth="1"/>
    <col min="11274" max="11274" width="53.77734375" style="469" customWidth="1"/>
    <col min="11275" max="11275" width="12.6640625" style="469" customWidth="1"/>
    <col min="11276" max="11524" width="9" style="469"/>
    <col min="11525" max="11525" width="51.88671875" style="469" customWidth="1"/>
    <col min="11526" max="11529" width="24.33203125" style="469" customWidth="1"/>
    <col min="11530" max="11530" width="53.77734375" style="469" customWidth="1"/>
    <col min="11531" max="11531" width="12.6640625" style="469" customWidth="1"/>
    <col min="11532" max="11780" width="9" style="469"/>
    <col min="11781" max="11781" width="51.88671875" style="469" customWidth="1"/>
    <col min="11782" max="11785" width="24.33203125" style="469" customWidth="1"/>
    <col min="11786" max="11786" width="53.77734375" style="469" customWidth="1"/>
    <col min="11787" max="11787" width="12.6640625" style="469" customWidth="1"/>
    <col min="11788" max="12036" width="9" style="469"/>
    <col min="12037" max="12037" width="51.88671875" style="469" customWidth="1"/>
    <col min="12038" max="12041" width="24.33203125" style="469" customWidth="1"/>
    <col min="12042" max="12042" width="53.77734375" style="469" customWidth="1"/>
    <col min="12043" max="12043" width="12.6640625" style="469" customWidth="1"/>
    <col min="12044" max="12292" width="9" style="469"/>
    <col min="12293" max="12293" width="51.88671875" style="469" customWidth="1"/>
    <col min="12294" max="12297" width="24.33203125" style="469" customWidth="1"/>
    <col min="12298" max="12298" width="53.77734375" style="469" customWidth="1"/>
    <col min="12299" max="12299" width="12.6640625" style="469" customWidth="1"/>
    <col min="12300" max="12548" width="9" style="469"/>
    <col min="12549" max="12549" width="51.88671875" style="469" customWidth="1"/>
    <col min="12550" max="12553" width="24.33203125" style="469" customWidth="1"/>
    <col min="12554" max="12554" width="53.77734375" style="469" customWidth="1"/>
    <col min="12555" max="12555" width="12.6640625" style="469" customWidth="1"/>
    <col min="12556" max="12804" width="9" style="469"/>
    <col min="12805" max="12805" width="51.88671875" style="469" customWidth="1"/>
    <col min="12806" max="12809" width="24.33203125" style="469" customWidth="1"/>
    <col min="12810" max="12810" width="53.77734375" style="469" customWidth="1"/>
    <col min="12811" max="12811" width="12.6640625" style="469" customWidth="1"/>
    <col min="12812" max="13060" width="9" style="469"/>
    <col min="13061" max="13061" width="51.88671875" style="469" customWidth="1"/>
    <col min="13062" max="13065" width="24.33203125" style="469" customWidth="1"/>
    <col min="13066" max="13066" width="53.77734375" style="469" customWidth="1"/>
    <col min="13067" max="13067" width="12.6640625" style="469" customWidth="1"/>
    <col min="13068" max="13316" width="9" style="469"/>
    <col min="13317" max="13317" width="51.88671875" style="469" customWidth="1"/>
    <col min="13318" max="13321" width="24.33203125" style="469" customWidth="1"/>
    <col min="13322" max="13322" width="53.77734375" style="469" customWidth="1"/>
    <col min="13323" max="13323" width="12.6640625" style="469" customWidth="1"/>
    <col min="13324" max="13572" width="9" style="469"/>
    <col min="13573" max="13573" width="51.88671875" style="469" customWidth="1"/>
    <col min="13574" max="13577" width="24.33203125" style="469" customWidth="1"/>
    <col min="13578" max="13578" width="53.77734375" style="469" customWidth="1"/>
    <col min="13579" max="13579" width="12.6640625" style="469" customWidth="1"/>
    <col min="13580" max="13828" width="9" style="469"/>
    <col min="13829" max="13829" width="51.88671875" style="469" customWidth="1"/>
    <col min="13830" max="13833" width="24.33203125" style="469" customWidth="1"/>
    <col min="13834" max="13834" width="53.77734375" style="469" customWidth="1"/>
    <col min="13835" max="13835" width="12.6640625" style="469" customWidth="1"/>
    <col min="13836" max="14084" width="9" style="469"/>
    <col min="14085" max="14085" width="51.88671875" style="469" customWidth="1"/>
    <col min="14086" max="14089" width="24.33203125" style="469" customWidth="1"/>
    <col min="14090" max="14090" width="53.77734375" style="469" customWidth="1"/>
    <col min="14091" max="14091" width="12.6640625" style="469" customWidth="1"/>
    <col min="14092" max="14340" width="9" style="469"/>
    <col min="14341" max="14341" width="51.88671875" style="469" customWidth="1"/>
    <col min="14342" max="14345" width="24.33203125" style="469" customWidth="1"/>
    <col min="14346" max="14346" width="53.77734375" style="469" customWidth="1"/>
    <col min="14347" max="14347" width="12.6640625" style="469" customWidth="1"/>
    <col min="14348" max="14596" width="9" style="469"/>
    <col min="14597" max="14597" width="51.88671875" style="469" customWidth="1"/>
    <col min="14598" max="14601" width="24.33203125" style="469" customWidth="1"/>
    <col min="14602" max="14602" width="53.77734375" style="469" customWidth="1"/>
    <col min="14603" max="14603" width="12.6640625" style="469" customWidth="1"/>
    <col min="14604" max="14852" width="9" style="469"/>
    <col min="14853" max="14853" width="51.88671875" style="469" customWidth="1"/>
    <col min="14854" max="14857" width="24.33203125" style="469" customWidth="1"/>
    <col min="14858" max="14858" width="53.77734375" style="469" customWidth="1"/>
    <col min="14859" max="14859" width="12.6640625" style="469" customWidth="1"/>
    <col min="14860" max="15108" width="9" style="469"/>
    <col min="15109" max="15109" width="51.88671875" style="469" customWidth="1"/>
    <col min="15110" max="15113" width="24.33203125" style="469" customWidth="1"/>
    <col min="15114" max="15114" width="53.77734375" style="469" customWidth="1"/>
    <col min="15115" max="15115" width="12.6640625" style="469" customWidth="1"/>
    <col min="15116" max="15364" width="9" style="469"/>
    <col min="15365" max="15365" width="51.88671875" style="469" customWidth="1"/>
    <col min="15366" max="15369" width="24.33203125" style="469" customWidth="1"/>
    <col min="15370" max="15370" width="53.77734375" style="469" customWidth="1"/>
    <col min="15371" max="15371" width="12.6640625" style="469" customWidth="1"/>
    <col min="15372" max="15620" width="9" style="469"/>
    <col min="15621" max="15621" width="51.88671875" style="469" customWidth="1"/>
    <col min="15622" max="15625" width="24.33203125" style="469" customWidth="1"/>
    <col min="15626" max="15626" width="53.77734375" style="469" customWidth="1"/>
    <col min="15627" max="15627" width="12.6640625" style="469" customWidth="1"/>
    <col min="15628" max="15876" width="9" style="469"/>
    <col min="15877" max="15877" width="51.88671875" style="469" customWidth="1"/>
    <col min="15878" max="15881" width="24.33203125" style="469" customWidth="1"/>
    <col min="15882" max="15882" width="53.77734375" style="469" customWidth="1"/>
    <col min="15883" max="15883" width="12.6640625" style="469" customWidth="1"/>
    <col min="15884" max="16132" width="9" style="469"/>
    <col min="16133" max="16133" width="51.88671875" style="469" customWidth="1"/>
    <col min="16134" max="16137" width="24.33203125" style="469" customWidth="1"/>
    <col min="16138" max="16138" width="53.77734375" style="469" customWidth="1"/>
    <col min="16139" max="16139" width="12.6640625" style="469" customWidth="1"/>
    <col min="16140" max="16384" width="9" style="469"/>
  </cols>
  <sheetData>
    <row r="1" spans="1:23" ht="26.4" customHeight="1" thickBot="1">
      <c r="H1" s="2465" t="s">
        <v>1771</v>
      </c>
      <c r="I1" s="2465"/>
      <c r="J1" s="2465"/>
      <c r="K1" s="2465"/>
      <c r="L1" s="2465"/>
      <c r="M1" s="2465"/>
      <c r="N1" s="2465"/>
      <c r="O1" s="2465"/>
      <c r="P1" s="2465" t="s">
        <v>1586</v>
      </c>
      <c r="Q1" s="2465"/>
      <c r="R1" s="2465"/>
      <c r="S1" s="2465"/>
      <c r="T1" s="2465"/>
      <c r="U1" s="2465"/>
      <c r="V1" s="2465"/>
    </row>
    <row r="2" spans="1:23" s="878" customFormat="1" ht="22.2" customHeight="1">
      <c r="B2" s="2455"/>
      <c r="C2" s="2468" t="s">
        <v>1595</v>
      </c>
      <c r="D2" s="2468"/>
      <c r="E2" s="2468" t="s">
        <v>1596</v>
      </c>
      <c r="F2" s="2468"/>
      <c r="H2" s="879"/>
      <c r="I2" s="991">
        <f t="shared" ref="I2:P2" si="0">I21</f>
        <v>2016</v>
      </c>
      <c r="J2" s="991">
        <f t="shared" si="0"/>
        <v>2017</v>
      </c>
      <c r="K2" s="991">
        <f t="shared" si="0"/>
        <v>2018</v>
      </c>
      <c r="L2" s="991">
        <f t="shared" si="0"/>
        <v>2019</v>
      </c>
      <c r="M2" s="991">
        <f t="shared" si="0"/>
        <v>2020</v>
      </c>
      <c r="N2" s="991">
        <f t="shared" si="0"/>
        <v>2021</v>
      </c>
      <c r="O2" s="992">
        <f t="shared" si="0"/>
        <v>2022</v>
      </c>
      <c r="P2" s="882">
        <f t="shared" si="0"/>
        <v>2016</v>
      </c>
      <c r="Q2" s="880">
        <f t="shared" ref="Q2:V2" si="1">Q21</f>
        <v>2017</v>
      </c>
      <c r="R2" s="880">
        <f t="shared" si="1"/>
        <v>2018</v>
      </c>
      <c r="S2" s="880">
        <f t="shared" si="1"/>
        <v>2019</v>
      </c>
      <c r="T2" s="880">
        <f t="shared" si="1"/>
        <v>2020</v>
      </c>
      <c r="U2" s="880">
        <f t="shared" si="1"/>
        <v>2021</v>
      </c>
      <c r="V2" s="881">
        <f t="shared" si="1"/>
        <v>2022</v>
      </c>
    </row>
    <row r="3" spans="1:23" ht="22.2" customHeight="1">
      <c r="B3" s="2455"/>
      <c r="C3" s="864" t="s">
        <v>1594</v>
      </c>
      <c r="D3" s="864" t="s">
        <v>1597</v>
      </c>
      <c r="E3" s="864" t="s">
        <v>1594</v>
      </c>
      <c r="F3" s="864" t="s">
        <v>1597</v>
      </c>
      <c r="H3" s="630" t="s">
        <v>1577</v>
      </c>
      <c r="I3" s="631">
        <f>SUM(发展投入!E6,发展投入!E12,发展投入!E15:E17)*10000+I13</f>
        <v>2407109</v>
      </c>
      <c r="J3" s="631">
        <f>SUM(发展投入!F6,发展投入!F12,发展投入!F15:F17)*10000+J13</f>
        <v>1335337</v>
      </c>
      <c r="K3" s="631">
        <f>SUM(发展投入!G6,发展投入!G12,发展投入!G15:G17)*10000+K13</f>
        <v>1757300.0000000002</v>
      </c>
      <c r="L3" s="631">
        <f>SUM(发展投入!H6,发展投入!H12,发展投入!H15:H17)*10000+L13</f>
        <v>1757300.0000000002</v>
      </c>
      <c r="M3" s="623">
        <f>输配电价测算参数!G54</f>
        <v>1880000</v>
      </c>
      <c r="N3" s="623">
        <f>输配电价测算参数!H54</f>
        <v>1880000</v>
      </c>
      <c r="O3" s="623">
        <f>输配电价测算参数!I54</f>
        <v>1880000</v>
      </c>
      <c r="P3" s="642">
        <f>输配电价测算参数!C54</f>
        <v>2418000</v>
      </c>
      <c r="Q3" s="623">
        <f>输配电价测算参数!D54</f>
        <v>2200000</v>
      </c>
      <c r="R3" s="623">
        <f>输配电价测算参数!E54</f>
        <v>1950000</v>
      </c>
      <c r="S3" s="623">
        <f>输配电价测算参数!F54</f>
        <v>1880000</v>
      </c>
      <c r="T3" s="623">
        <f>输配电价测算参数!G54</f>
        <v>1880000</v>
      </c>
      <c r="U3" s="623">
        <f>输配电价测算参数!H54</f>
        <v>1880000</v>
      </c>
      <c r="V3" s="643">
        <f>输配电价测算参数!I54</f>
        <v>1880000</v>
      </c>
    </row>
    <row r="4" spans="1:23" ht="21.6" customHeight="1">
      <c r="B4" s="865" t="s">
        <v>1593</v>
      </c>
      <c r="C4" s="612">
        <f>J11</f>
        <v>557.60365147444804</v>
      </c>
      <c r="D4" s="612">
        <f>M11</f>
        <v>481.81080170500928</v>
      </c>
      <c r="E4" s="612">
        <f>J12</f>
        <v>476.58431749952825</v>
      </c>
      <c r="F4" s="612">
        <f>M12</f>
        <v>411.80410402137551</v>
      </c>
      <c r="H4" s="632" t="s">
        <v>1575</v>
      </c>
      <c r="I4" s="633">
        <v>7.0999999999999994E-2</v>
      </c>
      <c r="J4" s="633">
        <v>7.0999999999999994E-2</v>
      </c>
      <c r="K4" s="633">
        <v>7.0999999999999994E-2</v>
      </c>
      <c r="L4" s="633">
        <v>7.0999999999999994E-2</v>
      </c>
      <c r="M4" s="645">
        <f>输配电价测算参数!$C$45</f>
        <v>5.7000000000000002E-2</v>
      </c>
      <c r="N4" s="645">
        <f>输配电价测算参数!$C$45</f>
        <v>5.7000000000000002E-2</v>
      </c>
      <c r="O4" s="645">
        <f>输配电价测算参数!$C$45</f>
        <v>5.7000000000000002E-2</v>
      </c>
      <c r="P4" s="644">
        <f>输配电价测算参数!$C$45</f>
        <v>5.7000000000000002E-2</v>
      </c>
      <c r="Q4" s="645">
        <f>输配电价测算参数!$C$45</f>
        <v>5.7000000000000002E-2</v>
      </c>
      <c r="R4" s="645">
        <f>输配电价测算参数!$C$45</f>
        <v>5.7000000000000002E-2</v>
      </c>
      <c r="S4" s="645">
        <f>输配电价测算参数!$C$45</f>
        <v>5.7000000000000002E-2</v>
      </c>
      <c r="T4" s="645">
        <f>输配电价测算参数!$C$45</f>
        <v>5.7000000000000002E-2</v>
      </c>
      <c r="U4" s="645">
        <f>输配电价测算参数!$C$45</f>
        <v>5.7000000000000002E-2</v>
      </c>
      <c r="V4" s="646">
        <f>输配电价测算参数!$C$45</f>
        <v>5.7000000000000002E-2</v>
      </c>
    </row>
    <row r="5" spans="1:23" customFormat="1" ht="22.95" customHeight="1">
      <c r="A5" s="469"/>
      <c r="B5" s="865" t="s">
        <v>1598</v>
      </c>
      <c r="C5" s="612">
        <f>Q11</f>
        <v>266.683452088065</v>
      </c>
      <c r="D5" s="612">
        <f>T11</f>
        <v>253.1710824313484</v>
      </c>
      <c r="E5" s="612">
        <f>Q12</f>
        <v>227.93457443424359</v>
      </c>
      <c r="F5" s="612">
        <f>T12</f>
        <v>216.38554053961403</v>
      </c>
      <c r="G5" s="469"/>
      <c r="H5" s="634" t="s">
        <v>1576</v>
      </c>
      <c r="I5" s="32"/>
      <c r="J5" s="32"/>
      <c r="K5" s="32"/>
      <c r="L5" s="32"/>
      <c r="M5" s="32"/>
      <c r="N5" s="7"/>
      <c r="O5" s="570"/>
      <c r="P5" s="647"/>
      <c r="Q5" s="7"/>
      <c r="R5" s="7"/>
      <c r="S5" s="7"/>
      <c r="T5" s="7"/>
      <c r="U5" s="7"/>
      <c r="V5" s="570"/>
    </row>
    <row r="6" spans="1:23" customFormat="1" ht="22.95" customHeight="1">
      <c r="A6" s="469"/>
      <c r="B6" s="865" t="s">
        <v>1599</v>
      </c>
      <c r="C6" s="612">
        <f>C4-C5</f>
        <v>290.92019938638305</v>
      </c>
      <c r="D6" s="612">
        <f t="shared" ref="D6:F6" si="2">D4-D5</f>
        <v>228.63971927366089</v>
      </c>
      <c r="E6" s="612">
        <f t="shared" si="2"/>
        <v>248.64974306528467</v>
      </c>
      <c r="F6" s="612">
        <f t="shared" si="2"/>
        <v>195.41856348176148</v>
      </c>
      <c r="G6" s="469"/>
      <c r="H6" s="635" t="s">
        <v>1578</v>
      </c>
      <c r="I6" s="636">
        <v>786332.42302379862</v>
      </c>
      <c r="J6" s="636">
        <v>-147053.0783945992</v>
      </c>
      <c r="K6" s="636">
        <v>429447.45855115703</v>
      </c>
      <c r="L6" s="636">
        <v>263114.38239787094</v>
      </c>
      <c r="M6" s="649">
        <f>实际情况下输配电价Ⅰ!H25</f>
        <v>8676.923076923078</v>
      </c>
      <c r="N6" s="649">
        <f>实际情况下输配电价Ⅰ!I25</f>
        <v>8676.923076923078</v>
      </c>
      <c r="O6" s="649">
        <f>实际情况下输配电价Ⅰ!J25</f>
        <v>8676.923076923078</v>
      </c>
      <c r="P6" s="648">
        <f>输配电价测算模型!C25</f>
        <v>7544.16</v>
      </c>
      <c r="Q6" s="649">
        <f>输配电价测算模型!D25</f>
        <v>6556.0061538461532</v>
      </c>
      <c r="R6" s="649">
        <f>输配电价测算模型!E25</f>
        <v>4701.5999999999995</v>
      </c>
      <c r="S6" s="649">
        <f>输配电价测算模型!F25</f>
        <v>5077.6430769230774</v>
      </c>
      <c r="T6" s="649">
        <f>输配电价测算模型!H25</f>
        <v>8676.923076923078</v>
      </c>
      <c r="U6" s="649">
        <f>输配电价测算模型!I25</f>
        <v>8676.923076923078</v>
      </c>
      <c r="V6" s="650">
        <f>输配电价测算模型!J25</f>
        <v>8676.923076923078</v>
      </c>
    </row>
    <row r="7" spans="1:23" customFormat="1" ht="22.95" customHeight="1">
      <c r="A7" s="469"/>
      <c r="B7" s="469"/>
      <c r="C7" s="469"/>
      <c r="D7" s="469"/>
      <c r="E7" s="469"/>
      <c r="F7" s="469"/>
      <c r="G7" s="469"/>
      <c r="H7" s="635" t="s">
        <v>1579</v>
      </c>
      <c r="I7" s="636">
        <v>524221.6153491991</v>
      </c>
      <c r="J7" s="636">
        <v>-98035.385596399472</v>
      </c>
      <c r="K7" s="636">
        <v>286298.30570077139</v>
      </c>
      <c r="L7" s="636">
        <v>175409.58826524729</v>
      </c>
      <c r="M7" s="649">
        <f>实际情况下输配电价Ⅰ!H26</f>
        <v>6266.666666666667</v>
      </c>
      <c r="N7" s="649">
        <f>实际情况下输配电价Ⅰ!I26</f>
        <v>6266.666666666667</v>
      </c>
      <c r="O7" s="649">
        <f>实际情况下输配电价Ⅰ!J26</f>
        <v>6266.666666666667</v>
      </c>
      <c r="P7" s="648">
        <f>输配电价测算模型!C26</f>
        <v>5448.5599999999995</v>
      </c>
      <c r="Q7" s="649">
        <f>输配电价测算模型!D26</f>
        <v>4734.8933333333334</v>
      </c>
      <c r="R7" s="649">
        <f>输配电价测算模型!E26</f>
        <v>3395.6</v>
      </c>
      <c r="S7" s="649">
        <f>输配电价测算模型!F26</f>
        <v>3667.186666666667</v>
      </c>
      <c r="T7" s="649">
        <f>输配电价测算模型!H26</f>
        <v>6266.666666666667</v>
      </c>
      <c r="U7" s="649">
        <f>输配电价测算模型!I26</f>
        <v>6266.666666666667</v>
      </c>
      <c r="V7" s="650">
        <f>输配电价测算模型!J26</f>
        <v>6266.666666666667</v>
      </c>
    </row>
    <row r="8" spans="1:23" customFormat="1" ht="22.95" customHeight="1">
      <c r="A8" s="469"/>
      <c r="E8" s="469"/>
      <c r="F8" s="469"/>
      <c r="G8" s="469"/>
      <c r="H8" s="635" t="s">
        <v>1580</v>
      </c>
      <c r="I8" s="636">
        <v>127167.63742099373</v>
      </c>
      <c r="J8" s="636">
        <v>911009.13282200508</v>
      </c>
      <c r="K8" s="636">
        <v>578006.90401633573</v>
      </c>
      <c r="L8" s="636">
        <v>598278.92347145057</v>
      </c>
      <c r="M8" s="649">
        <f>实际情况下输配电价Ⅰ!H27</f>
        <v>0</v>
      </c>
      <c r="N8" s="649">
        <f>实际情况下输配电价Ⅰ!I27</f>
        <v>0</v>
      </c>
      <c r="O8" s="649">
        <f>实际情况下输配电价Ⅰ!J27</f>
        <v>0</v>
      </c>
      <c r="P8" s="648">
        <f>输配电价测算模型!C27</f>
        <v>13627</v>
      </c>
      <c r="Q8" s="649">
        <f>输配电价测算模型!D27</f>
        <v>0</v>
      </c>
      <c r="R8" s="649">
        <f>输配电价测算模型!E27</f>
        <v>0</v>
      </c>
      <c r="S8" s="649">
        <f>输配电价测算模型!F27</f>
        <v>0</v>
      </c>
      <c r="T8" s="649">
        <f>输配电价测算模型!H27</f>
        <v>0</v>
      </c>
      <c r="U8" s="649">
        <f>输配电价测算模型!I27</f>
        <v>0</v>
      </c>
      <c r="V8" s="650">
        <f>输配电价测算模型!J27</f>
        <v>0</v>
      </c>
    </row>
    <row r="9" spans="1:23" customFormat="1" ht="22.95" customHeight="1" thickBot="1">
      <c r="A9" s="469"/>
      <c r="B9" s="866"/>
      <c r="C9" s="865" t="s">
        <v>1600</v>
      </c>
      <c r="D9" s="865" t="s">
        <v>1601</v>
      </c>
      <c r="E9" s="469"/>
      <c r="F9" s="469"/>
      <c r="G9" s="469"/>
      <c r="H9" s="637" t="s">
        <v>1581</v>
      </c>
      <c r="I9" s="638">
        <v>917408.18657897308</v>
      </c>
      <c r="J9" s="638">
        <v>-810313.251014004</v>
      </c>
      <c r="K9" s="638">
        <v>-538563.79669056647</v>
      </c>
      <c r="L9" s="638">
        <v>722473.76359387545</v>
      </c>
      <c r="M9" s="649">
        <f>实际情况下输配电价Ⅰ!H28</f>
        <v>22294.871794871797</v>
      </c>
      <c r="N9" s="649">
        <f>实际情况下输配电价Ⅰ!I28</f>
        <v>22294.871794871797</v>
      </c>
      <c r="O9" s="649">
        <f>实际情况下输配电价Ⅰ!J28</f>
        <v>22294.871794871797</v>
      </c>
      <c r="P9" s="656">
        <f>输配电价测算模型!C28</f>
        <v>19384.3</v>
      </c>
      <c r="Q9" s="657">
        <f>输配电价测算模型!D28</f>
        <v>11791.705512820512</v>
      </c>
      <c r="R9" s="657">
        <f>输配电价测算模型!E28</f>
        <v>8456.35</v>
      </c>
      <c r="S9" s="657">
        <f>输配电价测算模型!F28</f>
        <v>9132.7052564102578</v>
      </c>
      <c r="T9" s="657">
        <f>输配电价测算模型!H28</f>
        <v>22294.871794871797</v>
      </c>
      <c r="U9" s="657">
        <f>输配电价测算模型!I28</f>
        <v>22294.871794871797</v>
      </c>
      <c r="V9" s="658">
        <f>输配电价测算模型!J28</f>
        <v>22294.871794871797</v>
      </c>
    </row>
    <row r="10" spans="1:23" customFormat="1" ht="22.95" customHeight="1">
      <c r="A10" s="469"/>
      <c r="B10" s="865" t="s">
        <v>1593</v>
      </c>
      <c r="C10" s="618">
        <f>SUM(J10:L10)</f>
        <v>18228277.283162236</v>
      </c>
      <c r="D10" s="618">
        <f>SUM(M10:O10)</f>
        <v>17586888.169338912</v>
      </c>
      <c r="E10" s="469"/>
      <c r="F10" s="469"/>
      <c r="G10" s="469"/>
      <c r="H10" s="640" t="s">
        <v>1582</v>
      </c>
      <c r="I10" s="652">
        <f>实际情况下输配电价Ⅰ!C43</f>
        <v>5078561.1138204206</v>
      </c>
      <c r="J10" s="652">
        <f>实际情况下输配电价Ⅰ!D43</f>
        <v>4955517.8062641714</v>
      </c>
      <c r="K10" s="652">
        <f>实际情况下输配电价Ⅰ!E43</f>
        <v>5730315.3195034834</v>
      </c>
      <c r="L10" s="652">
        <f>实际情况下输配电价Ⅰ!F43</f>
        <v>7542444.1573945805</v>
      </c>
      <c r="M10" s="652">
        <f>实际情况下输配电价Ⅰ!H43</f>
        <v>5746552.6495209159</v>
      </c>
      <c r="N10" s="652">
        <f>实际情况下输配电价Ⅰ!I43</f>
        <v>5863101.1144559113</v>
      </c>
      <c r="O10" s="655">
        <f>实际情况下输配电价Ⅰ!J43</f>
        <v>5977234.4053620864</v>
      </c>
      <c r="P10" s="653">
        <f>输配电价测算模型!C43</f>
        <v>2747824.7429989437</v>
      </c>
      <c r="Q10" s="652">
        <f>输配电价测算模型!D43</f>
        <v>2839479.0770789948</v>
      </c>
      <c r="R10" s="652">
        <f>输配电价测算模型!E43</f>
        <v>2902945.2270758604</v>
      </c>
      <c r="S10" s="652">
        <f>输配电价测算模型!F43</f>
        <v>2958937.0249308348</v>
      </c>
      <c r="T10" s="652">
        <f>输配电价测算模型!H43</f>
        <v>2982687.1617755448</v>
      </c>
      <c r="U10" s="652">
        <f>输配电价测算模型!I43</f>
        <v>3082269.349246698</v>
      </c>
      <c r="V10" s="655">
        <f>输配电价测算模型!J43</f>
        <v>3179912.5941876713</v>
      </c>
      <c r="W10" s="469"/>
    </row>
    <row r="11" spans="1:23" customFormat="1" ht="22.95" customHeight="1">
      <c r="A11" s="469"/>
      <c r="B11" s="865" t="s">
        <v>1598</v>
      </c>
      <c r="C11" s="618">
        <f>SUM(Q10:S10)</f>
        <v>8701361.329085689</v>
      </c>
      <c r="D11" s="618">
        <f>SUM(T10:V10)</f>
        <v>9244869.1052099131</v>
      </c>
      <c r="E11" s="469"/>
      <c r="F11" s="469"/>
      <c r="G11" s="469"/>
      <c r="H11" s="639" t="s">
        <v>1583</v>
      </c>
      <c r="I11" s="474"/>
      <c r="J11" s="2466">
        <f>实际情况下输配电价Ⅰ!C47</f>
        <v>557.60365147444804</v>
      </c>
      <c r="K11" s="2466"/>
      <c r="L11" s="2466"/>
      <c r="M11" s="2466">
        <f>实际情况下输配电价Ⅰ!G47</f>
        <v>481.81080170500928</v>
      </c>
      <c r="N11" s="2466"/>
      <c r="O11" s="2467"/>
      <c r="P11" s="651"/>
      <c r="Q11" s="2466">
        <f>输配电价测算模型!C47</f>
        <v>266.683452088065</v>
      </c>
      <c r="R11" s="2466"/>
      <c r="S11" s="2466"/>
      <c r="T11" s="2466">
        <f>输配电价测算模型!G47</f>
        <v>253.1710824313484</v>
      </c>
      <c r="U11" s="2466"/>
      <c r="V11" s="2467"/>
      <c r="W11" s="469"/>
    </row>
    <row r="12" spans="1:23" customFormat="1" ht="22.95" customHeight="1" thickBot="1">
      <c r="A12" s="469"/>
      <c r="B12" s="865" t="s">
        <v>1599</v>
      </c>
      <c r="C12" s="618">
        <f>C10-C11</f>
        <v>9526915.9540765472</v>
      </c>
      <c r="D12" s="618">
        <f t="shared" ref="D12" si="3">D10-D11</f>
        <v>8342019.0641289987</v>
      </c>
      <c r="E12" s="469"/>
      <c r="F12" s="469"/>
      <c r="G12" s="469"/>
      <c r="H12" s="641" t="s">
        <v>1584</v>
      </c>
      <c r="I12" s="654"/>
      <c r="J12" s="2463">
        <f>实际情况下输配电价Ⅰ!C48</f>
        <v>476.58431749952825</v>
      </c>
      <c r="K12" s="2463"/>
      <c r="L12" s="2463"/>
      <c r="M12" s="2463">
        <f>实际情况下输配电价Ⅰ!G48</f>
        <v>411.80410402137551</v>
      </c>
      <c r="N12" s="2463"/>
      <c r="O12" s="2464"/>
      <c r="P12" s="586"/>
      <c r="Q12" s="2463">
        <f>输配电价测算模型!C48</f>
        <v>227.93457443424359</v>
      </c>
      <c r="R12" s="2463"/>
      <c r="S12" s="2463"/>
      <c r="T12" s="2463">
        <f>输配电价测算模型!G48</f>
        <v>216.38554053961403</v>
      </c>
      <c r="U12" s="2463"/>
      <c r="V12" s="2464"/>
      <c r="W12" s="469"/>
    </row>
    <row r="13" spans="1:23" customFormat="1" ht="22.95" customHeight="1">
      <c r="A13" s="469"/>
      <c r="B13" s="469"/>
      <c r="C13" s="469"/>
      <c r="D13" s="469"/>
      <c r="E13" s="469"/>
      <c r="F13" s="469"/>
      <c r="G13" s="469"/>
      <c r="H13" s="659" t="s">
        <v>1587</v>
      </c>
      <c r="I13" s="663"/>
      <c r="J13" s="663"/>
      <c r="K13" s="663"/>
      <c r="L13" s="663"/>
      <c r="M13" s="664"/>
      <c r="N13" s="664"/>
      <c r="O13" s="583"/>
    </row>
    <row r="14" spans="1:23" customFormat="1" ht="22.95" customHeight="1">
      <c r="A14" s="469"/>
      <c r="B14" s="469"/>
      <c r="C14" s="469"/>
      <c r="D14" s="469"/>
      <c r="E14" s="469"/>
      <c r="F14" s="469"/>
      <c r="G14" s="469"/>
      <c r="H14" s="660" t="s">
        <v>1588</v>
      </c>
      <c r="I14" s="636"/>
      <c r="J14" s="636"/>
      <c r="K14" s="636"/>
      <c r="L14" s="636"/>
      <c r="M14" s="32"/>
      <c r="N14" s="32"/>
      <c r="O14" s="570"/>
    </row>
    <row r="15" spans="1:23" customFormat="1" ht="22.95" customHeight="1">
      <c r="A15" s="469"/>
      <c r="B15" s="469"/>
      <c r="C15" s="469"/>
      <c r="D15" s="469"/>
      <c r="E15" s="469"/>
      <c r="F15" s="469"/>
      <c r="G15" s="469"/>
      <c r="H15" s="661" t="s">
        <v>1589</v>
      </c>
      <c r="I15" s="636"/>
      <c r="J15" s="636"/>
      <c r="K15" s="636"/>
      <c r="L15" s="636"/>
      <c r="M15" s="32"/>
      <c r="N15" s="32"/>
      <c r="O15" s="570"/>
    </row>
    <row r="16" spans="1:23" customFormat="1" ht="22.95" customHeight="1">
      <c r="A16" s="469"/>
      <c r="B16" s="469"/>
      <c r="C16" s="469"/>
      <c r="D16" s="469"/>
      <c r="E16" s="469"/>
      <c r="F16" s="469"/>
      <c r="G16" s="469"/>
      <c r="H16" s="661" t="s">
        <v>1590</v>
      </c>
      <c r="I16" s="636"/>
      <c r="J16" s="636"/>
      <c r="K16" s="636"/>
      <c r="L16" s="636"/>
      <c r="M16" s="32"/>
      <c r="N16" s="32"/>
      <c r="O16" s="570"/>
    </row>
    <row r="17" spans="1:22" customFormat="1" ht="22.95" customHeight="1">
      <c r="A17" s="469"/>
      <c r="B17" s="469"/>
      <c r="C17" s="469"/>
      <c r="D17" s="469"/>
      <c r="E17" s="469"/>
      <c r="F17" s="469"/>
      <c r="G17" s="469"/>
      <c r="H17" s="661" t="s">
        <v>1591</v>
      </c>
      <c r="I17" s="636"/>
      <c r="J17" s="636"/>
      <c r="K17" s="636"/>
      <c r="L17" s="636"/>
      <c r="M17" s="32"/>
      <c r="N17" s="32"/>
      <c r="O17" s="570"/>
    </row>
    <row r="18" spans="1:22" customFormat="1" ht="22.95" customHeight="1" thickBot="1">
      <c r="A18" s="469"/>
      <c r="B18" s="469"/>
      <c r="C18" s="469"/>
      <c r="D18" s="469"/>
      <c r="E18" s="469"/>
      <c r="F18" s="469"/>
      <c r="G18" s="469"/>
      <c r="H18" s="662" t="s">
        <v>1592</v>
      </c>
      <c r="I18" s="638"/>
      <c r="J18" s="638"/>
      <c r="K18" s="638"/>
      <c r="L18" s="638"/>
      <c r="M18" s="665"/>
      <c r="N18" s="665"/>
      <c r="O18" s="574"/>
    </row>
    <row r="19" spans="1:22" ht="16.95" customHeight="1">
      <c r="A19" s="2450" t="s">
        <v>1291</v>
      </c>
      <c r="B19" s="2459" t="s">
        <v>1572</v>
      </c>
      <c r="C19" s="2459"/>
      <c r="D19" s="2459"/>
      <c r="E19" s="2459"/>
      <c r="F19" s="2459"/>
      <c r="G19" s="2459"/>
      <c r="H19" s="2457"/>
      <c r="I19" s="2457" t="s">
        <v>1573</v>
      </c>
      <c r="J19" s="2457"/>
      <c r="K19" s="2457"/>
      <c r="L19" s="2457"/>
      <c r="M19" s="2457"/>
      <c r="N19" s="2457"/>
      <c r="O19" s="2457"/>
      <c r="P19" s="2456" t="s">
        <v>1550</v>
      </c>
      <c r="Q19" s="2456"/>
      <c r="R19" s="2456"/>
      <c r="S19" s="2456"/>
      <c r="T19" s="2456"/>
      <c r="U19" s="2456"/>
      <c r="V19" s="2456"/>
    </row>
    <row r="20" spans="1:22" ht="16.95" customHeight="1">
      <c r="A20" s="2450"/>
      <c r="B20" s="615"/>
      <c r="C20" s="2455" t="s">
        <v>1367</v>
      </c>
      <c r="D20" s="2455"/>
      <c r="E20" s="2455"/>
      <c r="F20" s="2455" t="s">
        <v>1368</v>
      </c>
      <c r="G20" s="2455"/>
      <c r="H20" s="2455"/>
      <c r="I20" s="615"/>
      <c r="J20" s="2455" t="s">
        <v>1367</v>
      </c>
      <c r="K20" s="2455"/>
      <c r="L20" s="2455"/>
      <c r="M20" s="2455" t="s">
        <v>1368</v>
      </c>
      <c r="N20" s="2455"/>
      <c r="O20" s="2455"/>
      <c r="P20" s="616"/>
      <c r="Q20" s="2458" t="s">
        <v>1367</v>
      </c>
      <c r="R20" s="2458"/>
      <c r="S20" s="2458"/>
      <c r="T20" s="2458" t="s">
        <v>1368</v>
      </c>
      <c r="U20" s="2458"/>
      <c r="V20" s="2458"/>
    </row>
    <row r="21" spans="1:22" s="911" customFormat="1" ht="16.95" customHeight="1">
      <c r="A21" s="2451"/>
      <c r="B21" s="947">
        <f>C21-1</f>
        <v>2016</v>
      </c>
      <c r="C21" s="947">
        <f>D21-1</f>
        <v>2017</v>
      </c>
      <c r="D21" s="947">
        <f>测算年份</f>
        <v>2018</v>
      </c>
      <c r="E21" s="947">
        <f>D21+1</f>
        <v>2019</v>
      </c>
      <c r="F21" s="947">
        <f>E21+1</f>
        <v>2020</v>
      </c>
      <c r="G21" s="947">
        <f>F21+1</f>
        <v>2021</v>
      </c>
      <c r="H21" s="947">
        <f>G21+1</f>
        <v>2022</v>
      </c>
      <c r="I21" s="947">
        <f>J21-1</f>
        <v>2016</v>
      </c>
      <c r="J21" s="947">
        <f>K21-1</f>
        <v>2017</v>
      </c>
      <c r="K21" s="947">
        <f>测算年份</f>
        <v>2018</v>
      </c>
      <c r="L21" s="947">
        <f>K21+1</f>
        <v>2019</v>
      </c>
      <c r="M21" s="947">
        <f>L21+1</f>
        <v>2020</v>
      </c>
      <c r="N21" s="947">
        <f>M21+1</f>
        <v>2021</v>
      </c>
      <c r="O21" s="947">
        <f>N21+1</f>
        <v>2022</v>
      </c>
      <c r="P21" s="934">
        <f>Q21-1</f>
        <v>2016</v>
      </c>
      <c r="Q21" s="934">
        <f>R21-1</f>
        <v>2017</v>
      </c>
      <c r="R21" s="934">
        <f>测算年份</f>
        <v>2018</v>
      </c>
      <c r="S21" s="934">
        <f>R21+1</f>
        <v>2019</v>
      </c>
      <c r="T21" s="934">
        <f>S21+1</f>
        <v>2020</v>
      </c>
      <c r="U21" s="934">
        <f>T21+1</f>
        <v>2021</v>
      </c>
      <c r="V21" s="934">
        <f>U21+1</f>
        <v>2022</v>
      </c>
    </row>
    <row r="22" spans="1:22" ht="22.95" customHeight="1">
      <c r="A22" s="613" t="s">
        <v>1552</v>
      </c>
      <c r="B22" s="611" t="s">
        <v>1217</v>
      </c>
      <c r="C22" s="2452">
        <f>AVERAGE(C40:E40)</f>
        <v>290.92019938638305</v>
      </c>
      <c r="D22" s="2453"/>
      <c r="E22" s="2454"/>
      <c r="F22" s="2452">
        <f>AVERAGE(F40:H40)</f>
        <v>228.63971927366092</v>
      </c>
      <c r="G22" s="2453"/>
      <c r="H22" s="2454"/>
      <c r="I22" s="611" t="s">
        <v>1217</v>
      </c>
      <c r="J22" s="2452">
        <f>AVERAGE(J40:L40)</f>
        <v>557.60365147444804</v>
      </c>
      <c r="K22" s="2453"/>
      <c r="L22" s="2454"/>
      <c r="M22" s="2452">
        <f>AVERAGE(M40:O40)</f>
        <v>481.81080170500928</v>
      </c>
      <c r="N22" s="2453"/>
      <c r="O22" s="2454"/>
      <c r="P22" s="509" t="s">
        <v>1217</v>
      </c>
      <c r="Q22" s="2452">
        <f>AVERAGE(Q40:S40)</f>
        <v>266.683452088065</v>
      </c>
      <c r="R22" s="2453"/>
      <c r="S22" s="2454"/>
      <c r="T22" s="2452">
        <f>AVERAGE(T40:V40)</f>
        <v>253.1710824313484</v>
      </c>
      <c r="U22" s="2453"/>
      <c r="V22" s="2454"/>
    </row>
    <row r="23" spans="1:22" ht="22.95" customHeight="1">
      <c r="A23" s="613" t="s">
        <v>1553</v>
      </c>
      <c r="B23" s="611" t="s">
        <v>1217</v>
      </c>
      <c r="C23" s="2452">
        <f>AVERAGE(C41:E41)</f>
        <v>248.64974306528464</v>
      </c>
      <c r="D23" s="2453"/>
      <c r="E23" s="2454"/>
      <c r="F23" s="2452">
        <f>AVERAGE(F41:H41)</f>
        <v>195.41856348176148</v>
      </c>
      <c r="G23" s="2453"/>
      <c r="H23" s="2454"/>
      <c r="I23" s="611" t="s">
        <v>1217</v>
      </c>
      <c r="J23" s="2452">
        <f>AVERAGE(J41:L41)</f>
        <v>476.58431749952825</v>
      </c>
      <c r="K23" s="2453"/>
      <c r="L23" s="2454"/>
      <c r="M23" s="2452">
        <f>AVERAGE(M41:O41)</f>
        <v>411.80410402137551</v>
      </c>
      <c r="N23" s="2453"/>
      <c r="O23" s="2454"/>
      <c r="P23" s="509" t="s">
        <v>1217</v>
      </c>
      <c r="Q23" s="2452">
        <f>AVERAGE(Q41:S41)</f>
        <v>227.93457443424361</v>
      </c>
      <c r="R23" s="2453"/>
      <c r="S23" s="2454"/>
      <c r="T23" s="2452">
        <f>AVERAGE(T41:V41)</f>
        <v>216.38554053961403</v>
      </c>
      <c r="U23" s="2453"/>
      <c r="V23" s="2454"/>
    </row>
    <row r="24" spans="1:22" ht="22.95" customHeight="1">
      <c r="A24" s="613" t="s">
        <v>1551</v>
      </c>
      <c r="B24" s="509">
        <f t="shared" ref="B24:B41" si="4">I24-P24</f>
        <v>2330736.3708214769</v>
      </c>
      <c r="C24" s="509">
        <f t="shared" ref="C24:C41" si="5">J24-Q24</f>
        <v>2116038.7291851765</v>
      </c>
      <c r="D24" s="509">
        <f t="shared" ref="D24:D41" si="6">K24-R24</f>
        <v>2827370.092427623</v>
      </c>
      <c r="E24" s="509">
        <f t="shared" ref="E24:E41" si="7">L24-S24</f>
        <v>4583507.1324637458</v>
      </c>
      <c r="F24" s="509">
        <f t="shared" ref="F24:F41" si="8">M24-T24</f>
        <v>2763865.4877453712</v>
      </c>
      <c r="G24" s="509">
        <f t="shared" ref="G24:G41" si="9">N24-U24</f>
        <v>2780831.7652092134</v>
      </c>
      <c r="H24" s="509">
        <f t="shared" ref="H24:H41" si="10">O24-V24</f>
        <v>2797321.8111744151</v>
      </c>
      <c r="I24" s="509">
        <f t="shared" ref="I24:Q24" si="11">I38</f>
        <v>5078561.1138204206</v>
      </c>
      <c r="J24" s="509">
        <f t="shared" si="11"/>
        <v>4955517.8062641714</v>
      </c>
      <c r="K24" s="509">
        <f t="shared" si="11"/>
        <v>5730315.3195034834</v>
      </c>
      <c r="L24" s="509">
        <f t="shared" si="11"/>
        <v>7542444.1573945805</v>
      </c>
      <c r="M24" s="509">
        <f t="shared" si="11"/>
        <v>5746552.6495209159</v>
      </c>
      <c r="N24" s="509">
        <f t="shared" si="11"/>
        <v>5863101.1144559113</v>
      </c>
      <c r="O24" s="509">
        <f t="shared" si="11"/>
        <v>5977234.4053620864</v>
      </c>
      <c r="P24" s="509">
        <f t="shared" si="11"/>
        <v>2747824.7429989437</v>
      </c>
      <c r="Q24" s="509">
        <f t="shared" si="11"/>
        <v>2839479.0770789948</v>
      </c>
      <c r="R24" s="509">
        <f t="shared" ref="R24:V24" si="12">R38</f>
        <v>2902945.2270758604</v>
      </c>
      <c r="S24" s="509">
        <f t="shared" si="12"/>
        <v>2958937.0249308348</v>
      </c>
      <c r="T24" s="509">
        <f t="shared" si="12"/>
        <v>2982687.1617755448</v>
      </c>
      <c r="U24" s="509">
        <f t="shared" si="12"/>
        <v>3082269.349246698</v>
      </c>
      <c r="V24" s="509">
        <f t="shared" si="12"/>
        <v>3179912.5941876713</v>
      </c>
    </row>
    <row r="25" spans="1:22" ht="22.95" customHeight="1">
      <c r="A25" s="508" t="s">
        <v>1370</v>
      </c>
      <c r="B25" s="509">
        <f t="shared" si="4"/>
        <v>2302799.3622447597</v>
      </c>
      <c r="C25" s="509">
        <f t="shared" si="5"/>
        <v>2089943.7128822743</v>
      </c>
      <c r="D25" s="509">
        <f t="shared" si="6"/>
        <v>2811800.7139471513</v>
      </c>
      <c r="E25" s="509">
        <f t="shared" si="7"/>
        <v>4541238.6084704679</v>
      </c>
      <c r="F25" s="509">
        <f t="shared" si="8"/>
        <v>2750759.3476489848</v>
      </c>
      <c r="G25" s="509">
        <f t="shared" si="9"/>
        <v>2767631.1425207797</v>
      </c>
      <c r="H25" s="509">
        <f t="shared" si="10"/>
        <v>2784502.9373925747</v>
      </c>
      <c r="I25" s="611">
        <f>实际情况下输配电价Ⅰ!C6</f>
        <v>4773206.9822447598</v>
      </c>
      <c r="J25" s="611">
        <f>实际情况下输配电价Ⅰ!D6</f>
        <v>4654110.65326689</v>
      </c>
      <c r="K25" s="611">
        <f>实际情况下输配电价Ⅰ!E6</f>
        <v>5446892.2043317668</v>
      </c>
      <c r="L25" s="611">
        <f>实际情况下输配电价Ⅰ!F6</f>
        <v>7250655.6415473912</v>
      </c>
      <c r="M25" s="611">
        <f>实际情况下输配电价Ⅰ!H6</f>
        <v>5506400.3640592415</v>
      </c>
      <c r="N25" s="611">
        <f>实际情况下输配电价Ⅰ!I6</f>
        <v>5629202.9281618055</v>
      </c>
      <c r="O25" s="611">
        <f>实际情况下输配电价Ⅰ!J6</f>
        <v>5752005.4922643695</v>
      </c>
      <c r="P25" s="509">
        <f>输配电价测算模型!C6</f>
        <v>2470407.62</v>
      </c>
      <c r="Q25" s="509">
        <f>输配电价测算模型!D6</f>
        <v>2564166.9403846157</v>
      </c>
      <c r="R25" s="509">
        <f>输配电价测算模型!E6</f>
        <v>2635091.4903846155</v>
      </c>
      <c r="S25" s="509">
        <f>输配电价测算模型!F6</f>
        <v>2709417.0330769233</v>
      </c>
      <c r="T25" s="509">
        <f>输配电价测算模型!H6</f>
        <v>2755641.0164102567</v>
      </c>
      <c r="U25" s="509">
        <f>输配电价测算模型!I6</f>
        <v>2861571.7856410258</v>
      </c>
      <c r="V25" s="509">
        <f>输配电价测算模型!J6</f>
        <v>2967502.5548717948</v>
      </c>
    </row>
    <row r="26" spans="1:22" ht="22.95" customHeight="1">
      <c r="A26" s="508" t="s">
        <v>1371</v>
      </c>
      <c r="B26" s="509">
        <f t="shared" si="4"/>
        <v>0</v>
      </c>
      <c r="C26" s="509">
        <f t="shared" si="5"/>
        <v>2302799.3622447597</v>
      </c>
      <c r="D26" s="509">
        <f t="shared" si="6"/>
        <v>2089943.7128822743</v>
      </c>
      <c r="E26" s="509">
        <f t="shared" si="7"/>
        <v>2811800.7139471523</v>
      </c>
      <c r="F26" s="509">
        <f t="shared" si="8"/>
        <v>2733887.5527771902</v>
      </c>
      <c r="G26" s="509">
        <f t="shared" si="9"/>
        <v>2750759.3476489848</v>
      </c>
      <c r="H26" s="509">
        <f t="shared" si="10"/>
        <v>2767631.1425207797</v>
      </c>
      <c r="I26" s="611">
        <f>IF($I$19="实际情况——方案Ⅰ",实际情况下输配电价Ⅰ!C7,#REF!)</f>
        <v>2344179</v>
      </c>
      <c r="J26" s="611">
        <f>IF($I$19="实际情况——方案Ⅰ",实际情况下输配电价Ⅰ!D7,#REF!)</f>
        <v>4773206.9822447598</v>
      </c>
      <c r="K26" s="611">
        <f>IF($I$19="实际情况——方案Ⅰ",实际情况下输配电价Ⅰ!E7,#REF!)</f>
        <v>4654110.65326689</v>
      </c>
      <c r="L26" s="611">
        <f>IF($I$19="实际情况——方案Ⅰ",实际情况下输配电价Ⅰ!F7,#REF!)</f>
        <v>5446892.2043317677</v>
      </c>
      <c r="M26" s="611">
        <f>IF($I$19="实际情况——方案Ⅰ",实际情况下输配电价Ⅰ!H7,#REF!)</f>
        <v>5383597.7999566775</v>
      </c>
      <c r="N26" s="611">
        <f>IF($I$19="实际情况——方案Ⅰ",实际情况下输配电价Ⅰ!I7,#REF!)</f>
        <v>5506400.3640592415</v>
      </c>
      <c r="O26" s="611">
        <f>IF($I$19="实际情况——方案Ⅰ",实际情况下输配电价Ⅰ!J7,#REF!)</f>
        <v>5629202.9281618055</v>
      </c>
      <c r="P26" s="509">
        <f>输配电价测算模型!C7</f>
        <v>2344179</v>
      </c>
      <c r="Q26" s="509">
        <f>输配电价测算模型!D7</f>
        <v>2470407.62</v>
      </c>
      <c r="R26" s="509">
        <f>输配电价测算模型!E7</f>
        <v>2564166.9403846157</v>
      </c>
      <c r="S26" s="509">
        <f>输配电价测算模型!F7</f>
        <v>2635091.4903846155</v>
      </c>
      <c r="T26" s="509">
        <f>输配电价测算模型!H7</f>
        <v>2649710.2471794873</v>
      </c>
      <c r="U26" s="509">
        <f>输配电价测算模型!I7</f>
        <v>2755641.0164102567</v>
      </c>
      <c r="V26" s="509">
        <f>输配电价测算模型!J7</f>
        <v>2861571.7856410258</v>
      </c>
    </row>
    <row r="27" spans="1:22" ht="22.95" customHeight="1">
      <c r="A27" s="510" t="s">
        <v>1372</v>
      </c>
      <c r="B27" s="509">
        <f t="shared" si="4"/>
        <v>0</v>
      </c>
      <c r="C27" s="509">
        <f t="shared" si="5"/>
        <v>2309125.8423729646</v>
      </c>
      <c r="D27" s="509">
        <f t="shared" si="6"/>
        <v>2141650.6551899672</v>
      </c>
      <c r="E27" s="509">
        <f t="shared" si="7"/>
        <v>2880285.9767676648</v>
      </c>
      <c r="F27" s="509">
        <f t="shared" si="8"/>
        <v>2737370.272007959</v>
      </c>
      <c r="G27" s="509">
        <f t="shared" si="9"/>
        <v>2737370.272007959</v>
      </c>
      <c r="H27" s="509">
        <f t="shared" si="10"/>
        <v>2737370.272007959</v>
      </c>
      <c r="I27" s="611">
        <f>IF($I$19="实际情况——方案Ⅰ",实际情况下输配电价Ⅰ!C8,#REF!)</f>
        <v>1105937</v>
      </c>
      <c r="J27" s="611">
        <f>IF($I$19="实际情况——方案Ⅰ",实际情况下输配电价Ⅰ!D8,#REF!)</f>
        <v>3461066.8623729646</v>
      </c>
      <c r="K27" s="611">
        <f>IF($I$19="实际情况——方案Ⅰ",实际情况下输配电价Ⅰ!E8,#REF!)</f>
        <v>3316674.2801899672</v>
      </c>
      <c r="L27" s="611">
        <f>IF($I$19="实际情况——方案Ⅰ",实际情况下输配电价Ⅰ!F8,#REF!)</f>
        <v>4071863.1517676651</v>
      </c>
      <c r="M27" s="611">
        <f>IF($I$19="实际情况——方案Ⅰ",实际情况下输配电价Ⅰ!H8,#REF!)</f>
        <v>3919595.1884182151</v>
      </c>
      <c r="N27" s="611">
        <f>IF($I$19="实际情况——方案Ⅰ",实际情况下输配电价Ⅰ!I8,#REF!)</f>
        <v>3956833.6499566766</v>
      </c>
      <c r="O27" s="611">
        <f>IF($I$19="实际情况——方案Ⅰ",实际情况下输配电价Ⅰ!J8,#REF!)</f>
        <v>3994072.1114951381</v>
      </c>
      <c r="P27" s="509">
        <f>输配电价测算模型!C8</f>
        <v>1105937</v>
      </c>
      <c r="Q27" s="509">
        <f>输配电价测算模型!D8</f>
        <v>1151941.02</v>
      </c>
      <c r="R27" s="509">
        <f>输配电价测算模型!E8</f>
        <v>1175023.625</v>
      </c>
      <c r="S27" s="509">
        <f>输配电价测算模型!F8</f>
        <v>1191577.175</v>
      </c>
      <c r="T27" s="509">
        <f>输配电价测算模型!H8</f>
        <v>1182224.9164102564</v>
      </c>
      <c r="U27" s="509">
        <f>输配电价测算模型!I8</f>
        <v>1219463.3779487179</v>
      </c>
      <c r="V27" s="509">
        <f>输配电价测算模型!J8</f>
        <v>1256701.8394871794</v>
      </c>
    </row>
    <row r="28" spans="1:22" ht="22.95" customHeight="1">
      <c r="A28" s="510" t="s">
        <v>1375</v>
      </c>
      <c r="B28" s="509">
        <f t="shared" si="4"/>
        <v>0</v>
      </c>
      <c r="C28" s="509">
        <f t="shared" si="5"/>
        <v>14173.519871794851</v>
      </c>
      <c r="D28" s="509">
        <f t="shared" si="6"/>
        <v>-12431.942307692254</v>
      </c>
      <c r="E28" s="509">
        <f t="shared" si="7"/>
        <v>-12060.262820512755</v>
      </c>
      <c r="F28" s="509">
        <f t="shared" si="8"/>
        <v>-3482.7192307689693</v>
      </c>
      <c r="G28" s="509">
        <f t="shared" si="9"/>
        <v>13389.075641025789</v>
      </c>
      <c r="H28" s="509">
        <f t="shared" si="10"/>
        <v>30260.870512820547</v>
      </c>
      <c r="I28" s="611">
        <f>IF($I$19="实际情况——方案Ⅰ",实际情况下输配电价Ⅰ!C14,#REF!)</f>
        <v>1238242</v>
      </c>
      <c r="J28" s="611">
        <f>IF($I$19="实际情况——方案Ⅰ",实际情况下输配电价Ⅰ!D14,#REF!)</f>
        <v>1312140.1198717949</v>
      </c>
      <c r="K28" s="611">
        <f>IF($I$19="实际情况——方案Ⅰ",实际情况下输配电价Ⅰ!E14,#REF!)</f>
        <v>1337436.3730769232</v>
      </c>
      <c r="L28" s="611">
        <f>IF($I$19="实际情况——方案Ⅰ",实际情况下输配电价Ⅰ!F14,#REF!)</f>
        <v>1375029.0525641027</v>
      </c>
      <c r="M28" s="611">
        <f>IF($I$19="实际情况——方案Ⅰ",实际情况下输配电价Ⅰ!H14,#REF!)</f>
        <v>1464002.6115384619</v>
      </c>
      <c r="N28" s="611">
        <f>IF($I$19="实际情况——方案Ⅰ",实际情况下输配电价Ⅰ!I14,#REF!)</f>
        <v>1549566.7141025644</v>
      </c>
      <c r="O28" s="611">
        <f>IF($I$19="实际情况——方案Ⅰ",实际情况下输配电价Ⅰ!J14,#REF!)</f>
        <v>1635130.8166666669</v>
      </c>
      <c r="P28" s="509">
        <f>输配电价测算模型!C14</f>
        <v>1238242</v>
      </c>
      <c r="Q28" s="509">
        <f>输配电价测算模型!D14</f>
        <v>1297966.6000000001</v>
      </c>
      <c r="R28" s="509">
        <f>输配电价测算模型!E14</f>
        <v>1349868.3153846154</v>
      </c>
      <c r="S28" s="509">
        <f>输配电价测算模型!F14</f>
        <v>1387089.3153846154</v>
      </c>
      <c r="T28" s="509">
        <f>输配电价测算模型!H14</f>
        <v>1467485.3307692308</v>
      </c>
      <c r="U28" s="509">
        <f>输配电价测算模型!I14</f>
        <v>1536177.6384615386</v>
      </c>
      <c r="V28" s="509">
        <f>输配电价测算模型!J14</f>
        <v>1604869.9461538463</v>
      </c>
    </row>
    <row r="29" spans="1:22" ht="22.95" customHeight="1">
      <c r="A29" s="508" t="s">
        <v>1379</v>
      </c>
      <c r="B29" s="509">
        <f t="shared" si="4"/>
        <v>2302799.3622447592</v>
      </c>
      <c r="C29" s="509">
        <f t="shared" si="5"/>
        <v>-212855.64936248478</v>
      </c>
      <c r="D29" s="509">
        <f t="shared" si="6"/>
        <v>721857.00106487726</v>
      </c>
      <c r="E29" s="509">
        <f t="shared" si="7"/>
        <v>1729437.8945233163</v>
      </c>
      <c r="F29" s="509">
        <f t="shared" si="8"/>
        <v>16871.79487179486</v>
      </c>
      <c r="G29" s="509">
        <f t="shared" si="9"/>
        <v>16871.79487179486</v>
      </c>
      <c r="H29" s="509">
        <f t="shared" si="10"/>
        <v>16871.79487179486</v>
      </c>
      <c r="I29" s="611">
        <f>IF($I$19="实际情况——方案Ⅰ",实际情况下输配电价Ⅰ!C17,#REF!)</f>
        <v>2429027.9822447593</v>
      </c>
      <c r="J29" s="611">
        <f>IF($I$19="实际情况——方案Ⅰ",实际情况下输配电价Ⅰ!D17,#REF!)</f>
        <v>-119096.32897786939</v>
      </c>
      <c r="K29" s="611">
        <f>IF($I$19="实际情况——方案Ⅰ",实际情况下输配电价Ⅰ!E17,#REF!)</f>
        <v>792781.55106487731</v>
      </c>
      <c r="L29" s="611">
        <f>IF($I$19="实际情况——方案Ⅰ",实际情况下输配电价Ⅰ!F17,#REF!)</f>
        <v>1803763.4372156239</v>
      </c>
      <c r="M29" s="611">
        <f>IF($I$19="实际情况——方案Ⅰ",实际情况下输配电价Ⅰ!H17,#REF!)</f>
        <v>122802.56410256411</v>
      </c>
      <c r="N29" s="611">
        <f>IF($I$19="实际情况——方案Ⅰ",实际情况下输配电价Ⅰ!I17,#REF!)</f>
        <v>122802.56410256411</v>
      </c>
      <c r="O29" s="611">
        <f>IF($I$19="实际情况——方案Ⅰ",实际情况下输配电价Ⅰ!J17,#REF!)</f>
        <v>122802.56410256411</v>
      </c>
      <c r="P29" s="509">
        <f>输配电价测算模型!C17</f>
        <v>126228.62</v>
      </c>
      <c r="Q29" s="509">
        <f>输配电价测算模型!D17</f>
        <v>93759.320384615392</v>
      </c>
      <c r="R29" s="509">
        <f>输配电价测算模型!E17</f>
        <v>70924.55</v>
      </c>
      <c r="S29" s="509">
        <f>输配电价测算模型!F17</f>
        <v>74325.542692307703</v>
      </c>
      <c r="T29" s="509">
        <f>输配电价测算模型!H17</f>
        <v>105930.76923076925</v>
      </c>
      <c r="U29" s="509">
        <f>输配电价测算模型!I17</f>
        <v>105930.76923076925</v>
      </c>
      <c r="V29" s="509">
        <f>输配电价测算模型!J17</f>
        <v>105930.76923076925</v>
      </c>
    </row>
    <row r="30" spans="1:22" ht="22.95" customHeight="1">
      <c r="A30" s="510" t="s">
        <v>1380</v>
      </c>
      <c r="B30" s="509">
        <f t="shared" si="4"/>
        <v>14173.519871794873</v>
      </c>
      <c r="C30" s="509">
        <f t="shared" si="5"/>
        <v>-26605.462179487178</v>
      </c>
      <c r="D30" s="509">
        <f t="shared" si="6"/>
        <v>371.67948717949912</v>
      </c>
      <c r="E30" s="509">
        <f t="shared" si="7"/>
        <v>4288.7717948718055</v>
      </c>
      <c r="F30" s="509">
        <f t="shared" si="8"/>
        <v>16871.79487179486</v>
      </c>
      <c r="G30" s="509">
        <f t="shared" si="9"/>
        <v>16871.79487179486</v>
      </c>
      <c r="H30" s="509">
        <f t="shared" si="10"/>
        <v>16871.79487179486</v>
      </c>
      <c r="I30" s="611">
        <f>IF($I$19="实际情况——方案Ⅰ",实际情况下输配电价Ⅰ!C18,#REF!)</f>
        <v>73898.119871794872</v>
      </c>
      <c r="J30" s="611">
        <f>IF($I$19="实际情况——方案Ⅰ",实际情况下输配电价Ⅰ!D18,#REF!)</f>
        <v>25296.253205128211</v>
      </c>
      <c r="K30" s="611">
        <f>IF($I$19="实际情况——方案Ⅰ",实际情况下输配电价Ⅰ!E18,#REF!)</f>
        <v>37592.679487179499</v>
      </c>
      <c r="L30" s="611">
        <f>IF($I$19="实际情况——方案Ⅰ",实际情况下输配电价Ⅰ!F18,#REF!)</f>
        <v>44486.779487179505</v>
      </c>
      <c r="M30" s="611">
        <f>IF($I$19="实际情况——方案Ⅰ",实际情况下输配电价Ⅰ!H18,#REF!)</f>
        <v>85564.102564102563</v>
      </c>
      <c r="N30" s="611">
        <f>IF($I$19="实际情况——方案Ⅰ",实际情况下输配电价Ⅰ!I18,#REF!)</f>
        <v>85564.102564102563</v>
      </c>
      <c r="O30" s="611">
        <f>IF($I$19="实际情况——方案Ⅰ",实际情况下输配电价Ⅰ!J18,#REF!)</f>
        <v>85564.102564102563</v>
      </c>
      <c r="P30" s="509">
        <f>输配电价测算模型!C18</f>
        <v>59724.6</v>
      </c>
      <c r="Q30" s="509">
        <f>输配电价测算模型!D18</f>
        <v>51901.715384615389</v>
      </c>
      <c r="R30" s="509">
        <f>输配电价测算模型!E18</f>
        <v>37221</v>
      </c>
      <c r="S30" s="509">
        <f>输配电价测算模型!F18</f>
        <v>40198.007692307699</v>
      </c>
      <c r="T30" s="509">
        <f>输配电价测算模型!H18</f>
        <v>68692.307692307702</v>
      </c>
      <c r="U30" s="509">
        <f>输配电价测算模型!I18</f>
        <v>68692.307692307702</v>
      </c>
      <c r="V30" s="509">
        <f>输配电价测算模型!J18</f>
        <v>68692.307692307702</v>
      </c>
    </row>
    <row r="31" spans="1:22" ht="22.95" customHeight="1">
      <c r="A31" s="510" t="s">
        <v>1386</v>
      </c>
      <c r="B31" s="509">
        <f t="shared" si="4"/>
        <v>2288625.8423729646</v>
      </c>
      <c r="C31" s="509">
        <f t="shared" si="5"/>
        <v>-186250.18718299759</v>
      </c>
      <c r="D31" s="509">
        <f t="shared" si="6"/>
        <v>721485.32157769776</v>
      </c>
      <c r="E31" s="509">
        <f t="shared" si="7"/>
        <v>1725149.1227284444</v>
      </c>
      <c r="F31" s="509">
        <f t="shared" si="8"/>
        <v>0</v>
      </c>
      <c r="G31" s="509">
        <f t="shared" si="9"/>
        <v>0</v>
      </c>
      <c r="H31" s="509">
        <f t="shared" si="10"/>
        <v>0</v>
      </c>
      <c r="I31" s="611">
        <f>IF($I$19="实际情况——方案Ⅰ",实际情况下输配电价Ⅰ!C24,#REF!)</f>
        <v>2355129.8623729646</v>
      </c>
      <c r="J31" s="611">
        <f>IF($I$19="实际情况——方案Ⅰ",实际情况下输配电价Ⅰ!D24,#REF!)</f>
        <v>-144392.5821829976</v>
      </c>
      <c r="K31" s="611">
        <f>IF($I$19="实际情况——方案Ⅰ",实际情况下输配电价Ⅰ!E24,#REF!)</f>
        <v>755188.87157769781</v>
      </c>
      <c r="L31" s="611">
        <f>IF($I$19="实际情况——方案Ⅰ",实际情况下输配电价Ⅰ!F24,#REF!)</f>
        <v>1759276.6577284443</v>
      </c>
      <c r="M31" s="611">
        <f>IF($I$19="实际情况——方案Ⅰ",实际情况下输配电价Ⅰ!H24,#REF!)</f>
        <v>37238.461538461546</v>
      </c>
      <c r="N31" s="611">
        <f>IF($I$19="实际情况——方案Ⅰ",实际情况下输配电价Ⅰ!I24,#REF!)</f>
        <v>37238.461538461546</v>
      </c>
      <c r="O31" s="611">
        <f>IF($I$19="实际情况——方案Ⅰ",实际情况下输配电价Ⅰ!J24,#REF!)</f>
        <v>37238.461538461546</v>
      </c>
      <c r="P31" s="509">
        <f>输配电价测算模型!C24</f>
        <v>66504.02</v>
      </c>
      <c r="Q31" s="509">
        <f>输配电价测算模型!D24</f>
        <v>41857.604999999996</v>
      </c>
      <c r="R31" s="509">
        <f>输配电价测算模型!E24</f>
        <v>33703.550000000003</v>
      </c>
      <c r="S31" s="509">
        <f>输配电价测算模型!F24</f>
        <v>34127.535000000003</v>
      </c>
      <c r="T31" s="509">
        <f>输配电价测算模型!H24</f>
        <v>37238.461538461546</v>
      </c>
      <c r="U31" s="509">
        <f>输配电价测算模型!I24</f>
        <v>37238.461538461546</v>
      </c>
      <c r="V31" s="509">
        <f>输配电价测算模型!J24</f>
        <v>37238.461538461546</v>
      </c>
    </row>
    <row r="32" spans="1:22" ht="22.95" customHeight="1">
      <c r="A32" s="508" t="s">
        <v>1392</v>
      </c>
      <c r="B32" s="509">
        <f t="shared" si="4"/>
        <v>0</v>
      </c>
      <c r="C32" s="509">
        <f t="shared" si="5"/>
        <v>-442.84672983878409</v>
      </c>
      <c r="D32" s="509">
        <f t="shared" si="6"/>
        <v>-11785.437864579173</v>
      </c>
      <c r="E32" s="509">
        <f t="shared" si="7"/>
        <v>-14118.798359236243</v>
      </c>
      <c r="F32" s="509">
        <f>M32-T32</f>
        <v>-15602.614140312537</v>
      </c>
      <c r="G32" s="509">
        <f t="shared" si="9"/>
        <v>-15793.115350876004</v>
      </c>
      <c r="H32" s="509">
        <f t="shared" si="10"/>
        <v>-16336.802279388183</v>
      </c>
      <c r="I32" s="611">
        <f>IF($I$19="实际情况——方案Ⅰ",实际情况下输配电价Ⅰ!C29,#REF!)</f>
        <v>247335.0173455</v>
      </c>
      <c r="J32" s="611">
        <f>IF($I$19="实际情况——方案Ⅰ",实际情况下输配电价Ⅰ!D29,#REF!)</f>
        <v>241550.64059456124</v>
      </c>
      <c r="K32" s="611">
        <f>IF($I$19="实际情况——方案Ⅰ",实际情况下输配电价Ⅰ!E29,#REF!)</f>
        <v>220907.04619381955</v>
      </c>
      <c r="L32" s="611">
        <f>IF($I$19="实际情况——方案Ⅰ",实际情况下输配电价Ⅰ!F29,#REF!)</f>
        <v>203101.95951555864</v>
      </c>
      <c r="M32" s="611">
        <f>IF($I$19="实际情况——方案Ⅰ",实际情况下输配电价Ⅰ!H29,#REF!)</f>
        <v>186398.25168890291</v>
      </c>
      <c r="N32" s="611">
        <f>IF($I$19="实际情况——方案Ⅰ",实际情况下输配电价Ⅰ!I29,#REF!)</f>
        <v>180014.54465968304</v>
      </c>
      <c r="O32" s="611">
        <f>IF($I$19="实际情况——方案Ⅰ",实际情况下输配电价Ⅰ!J29,#REF!)</f>
        <v>171839.68148943756</v>
      </c>
      <c r="P32" s="509">
        <f>输配电价测算模型!C29</f>
        <v>247335.0173455</v>
      </c>
      <c r="Q32" s="509">
        <f>输配电价测算模型!D29</f>
        <v>241993.48732440002</v>
      </c>
      <c r="R32" s="509">
        <f>输配电价测算模型!E29</f>
        <v>232692.48405839872</v>
      </c>
      <c r="S32" s="509">
        <f>输配电价测算模型!F29</f>
        <v>217220.75787479489</v>
      </c>
      <c r="T32" s="509">
        <f>输配电价测算模型!H29</f>
        <v>202000.86582921544</v>
      </c>
      <c r="U32" s="509">
        <f>输配电价测算模型!I29</f>
        <v>195807.66001055905</v>
      </c>
      <c r="V32" s="509">
        <f>输配电价测算模型!J29</f>
        <v>188176.48376882574</v>
      </c>
    </row>
    <row r="33" spans="1:22" ht="22.95" customHeight="1">
      <c r="A33" s="508" t="s">
        <v>1393</v>
      </c>
      <c r="B33" s="509">
        <f t="shared" si="4"/>
        <v>0</v>
      </c>
      <c r="C33" s="509">
        <f t="shared" si="5"/>
        <v>-442.84672983878409</v>
      </c>
      <c r="D33" s="509">
        <f t="shared" si="6"/>
        <v>-11785.437864579173</v>
      </c>
      <c r="E33" s="509">
        <f t="shared" si="7"/>
        <v>-14118.798359236243</v>
      </c>
      <c r="F33" s="509">
        <f t="shared" si="8"/>
        <v>-15602.614140312537</v>
      </c>
      <c r="G33" s="509">
        <f t="shared" si="9"/>
        <v>-15793.115350876004</v>
      </c>
      <c r="H33" s="509">
        <f t="shared" si="10"/>
        <v>-16336.802279388183</v>
      </c>
      <c r="I33" s="611">
        <f>IF($I$19="实际情况——方案Ⅰ",实际情况下输配电价Ⅰ!C30,#REF!)</f>
        <v>247335.0173455</v>
      </c>
      <c r="J33" s="611">
        <f>IF($I$19="实际情况——方案Ⅰ",实际情况下输配电价Ⅰ!D30,#REF!)</f>
        <v>241550.64059456124</v>
      </c>
      <c r="K33" s="611">
        <f>IF($I$19="实际情况——方案Ⅰ",实际情况下输配电价Ⅰ!E30,#REF!)</f>
        <v>220907.04619381955</v>
      </c>
      <c r="L33" s="611">
        <f>IF($I$19="实际情况——方案Ⅰ",实际情况下输配电价Ⅰ!F30,#REF!)</f>
        <v>203101.95951555864</v>
      </c>
      <c r="M33" s="611">
        <f>IF($I$19="实际情况——方案Ⅰ",实际情况下输配电价Ⅰ!H30,#REF!)</f>
        <v>186398.25168890291</v>
      </c>
      <c r="N33" s="611">
        <f>IF($I$19="实际情况——方案Ⅰ",实际情况下输配电价Ⅰ!I30,#REF!)</f>
        <v>180014.54465968304</v>
      </c>
      <c r="O33" s="611">
        <f>IF($I$19="实际情况——方案Ⅰ",实际情况下输配电价Ⅰ!J30,#REF!)</f>
        <v>171839.68148943756</v>
      </c>
      <c r="P33" s="509">
        <f>输配电价测算模型!C30</f>
        <v>247335.0173455</v>
      </c>
      <c r="Q33" s="509">
        <f>输配电价测算模型!D30</f>
        <v>241993.48732440002</v>
      </c>
      <c r="R33" s="509">
        <f>输配电价测算模型!E30</f>
        <v>232692.48405839872</v>
      </c>
      <c r="S33" s="509">
        <f>输配电价测算模型!F30</f>
        <v>217220.75787479489</v>
      </c>
      <c r="T33" s="509">
        <f>输配电价测算模型!H30</f>
        <v>202000.86582921544</v>
      </c>
      <c r="U33" s="509">
        <f>输配电价测算模型!I30</f>
        <v>195807.66001055905</v>
      </c>
      <c r="V33" s="509">
        <f>输配电价测算模型!J30</f>
        <v>188176.48376882574</v>
      </c>
    </row>
    <row r="34" spans="1:22" ht="22.95" customHeight="1">
      <c r="A34" s="508" t="s">
        <v>1397</v>
      </c>
      <c r="B34" s="509">
        <f t="shared" si="4"/>
        <v>0</v>
      </c>
      <c r="C34" s="509">
        <f t="shared" si="5"/>
        <v>0</v>
      </c>
      <c r="D34" s="509">
        <f t="shared" si="6"/>
        <v>0</v>
      </c>
      <c r="E34" s="509">
        <f t="shared" si="7"/>
        <v>0</v>
      </c>
      <c r="F34" s="509">
        <f t="shared" si="8"/>
        <v>0</v>
      </c>
      <c r="G34" s="509">
        <f t="shared" si="9"/>
        <v>0</v>
      </c>
      <c r="H34" s="509">
        <f t="shared" si="10"/>
        <v>0</v>
      </c>
      <c r="I34" s="611">
        <f>IF($I$19="实际情况——方案Ⅰ",实际情况下输配电价Ⅰ!C35,#REF!)</f>
        <v>0</v>
      </c>
      <c r="J34" s="611">
        <f>IF($I$19="实际情况——方案Ⅰ",实际情况下输配电价Ⅰ!D35,#REF!)</f>
        <v>0</v>
      </c>
      <c r="K34" s="611">
        <f>IF($I$19="实际情况——方案Ⅰ",实际情况下输配电价Ⅰ!E35,#REF!)</f>
        <v>0</v>
      </c>
      <c r="L34" s="611">
        <f>IF($I$19="实际情况——方案Ⅰ",实际情况下输配电价Ⅰ!F35,#REF!)</f>
        <v>0</v>
      </c>
      <c r="M34" s="611">
        <f>IF($I$19="实际情况——方案Ⅰ",实际情况下输配电价Ⅰ!H35,#REF!)</f>
        <v>0</v>
      </c>
      <c r="N34" s="611">
        <f>IF($I$19="实际情况——方案Ⅰ",实际情况下输配电价Ⅰ!I35,#REF!)</f>
        <v>0</v>
      </c>
      <c r="O34" s="611">
        <f>IF($I$19="实际情况——方案Ⅰ",实际情况下输配电价Ⅰ!J35,#REF!)</f>
        <v>0</v>
      </c>
      <c r="P34" s="509">
        <f>输配电价测算模型!C35</f>
        <v>0</v>
      </c>
      <c r="Q34" s="509">
        <f>输配电价测算模型!D35</f>
        <v>0</v>
      </c>
      <c r="R34" s="509">
        <f>输配电价测算模型!E35</f>
        <v>0</v>
      </c>
      <c r="S34" s="509">
        <f>输配电价测算模型!F35</f>
        <v>0</v>
      </c>
      <c r="T34" s="509">
        <f>输配电价测算模型!H35</f>
        <v>0</v>
      </c>
      <c r="U34" s="509">
        <f>输配电价测算模型!I35</f>
        <v>0</v>
      </c>
      <c r="V34" s="509">
        <f>输配电价测算模型!J35</f>
        <v>0</v>
      </c>
    </row>
    <row r="35" spans="1:22" ht="22.95" customHeight="1">
      <c r="A35" s="508" t="s">
        <v>1399</v>
      </c>
      <c r="B35" s="509">
        <f t="shared" si="4"/>
        <v>27937.0085767173</v>
      </c>
      <c r="C35" s="509">
        <f t="shared" si="5"/>
        <v>26537.863032740614</v>
      </c>
      <c r="D35" s="509">
        <f t="shared" si="6"/>
        <v>27354.816345050465</v>
      </c>
      <c r="E35" s="509">
        <f t="shared" si="7"/>
        <v>56387.322352513496</v>
      </c>
      <c r="F35" s="509">
        <f t="shared" si="8"/>
        <v>28708.754236699111</v>
      </c>
      <c r="G35" s="509">
        <f t="shared" si="9"/>
        <v>28993.738039309552</v>
      </c>
      <c r="H35" s="509">
        <f t="shared" si="10"/>
        <v>29155.676061228092</v>
      </c>
      <c r="I35" s="611">
        <f>IF($I$19="实际情况——方案Ⅰ",实际情况下输配电价Ⅰ!C38,#REF!)</f>
        <v>131419.11423016063</v>
      </c>
      <c r="J35" s="611">
        <f>IF($I$19="实际情况——方案Ⅰ",实际情况下输配电价Ⅰ!D38,#REF!)</f>
        <v>133256.51240271973</v>
      </c>
      <c r="K35" s="611">
        <f>IF($I$19="实际情况——方案Ⅰ",实际情况下输配电价Ⅰ!E38,#REF!)</f>
        <v>135916.06897789665</v>
      </c>
      <c r="L35" s="611">
        <f>IF($I$19="实际情况——方案Ⅰ",实际情况下输配电价Ⅰ!F38,#REF!)</f>
        <v>162086.55633163027</v>
      </c>
      <c r="M35" s="611">
        <f>IF($I$19="实际情况——方案Ⅰ",实际情况下输配电价Ⅰ!H38,#REF!)</f>
        <v>127154.03377277151</v>
      </c>
      <c r="N35" s="611">
        <f>IF($I$19="实际情况——方案Ⅰ",实际情况下输配电价Ⅰ!I38,#REF!)</f>
        <v>127283.64163442256</v>
      </c>
      <c r="O35" s="611">
        <f>IF($I$19="实际情况——方案Ⅰ",实际情况下输配电价Ⅰ!J38,#REF!)</f>
        <v>126789.23160827885</v>
      </c>
      <c r="P35" s="509">
        <f>输配电价测算模型!C38</f>
        <v>103482.10565344333</v>
      </c>
      <c r="Q35" s="509">
        <f>输配电价测算模型!D38</f>
        <v>106718.64936997912</v>
      </c>
      <c r="R35" s="509">
        <f>输配电价测算模型!E38</f>
        <v>108561.25263284618</v>
      </c>
      <c r="S35" s="509">
        <f>输配电价测算模型!F38</f>
        <v>105699.23397911678</v>
      </c>
      <c r="T35" s="509">
        <f>输配电价测算模型!H38</f>
        <v>98445.279536072398</v>
      </c>
      <c r="U35" s="509">
        <f>输配电价测算模型!I38</f>
        <v>98289.903595113006</v>
      </c>
      <c r="V35" s="509">
        <f>输配电价测算模型!J38</f>
        <v>97633.555547050753</v>
      </c>
    </row>
    <row r="36" spans="1:22" ht="22.95" customHeight="1">
      <c r="A36" s="508" t="s">
        <v>1403</v>
      </c>
      <c r="B36" s="509">
        <f t="shared" si="4"/>
        <v>2330736.3708214769</v>
      </c>
      <c r="C36" s="509">
        <f t="shared" si="5"/>
        <v>2116038.7291851765</v>
      </c>
      <c r="D36" s="509">
        <f t="shared" si="6"/>
        <v>2827370.092427623</v>
      </c>
      <c r="E36" s="509">
        <f t="shared" si="7"/>
        <v>4583507.1324637458</v>
      </c>
      <c r="F36" s="509">
        <f t="shared" si="8"/>
        <v>2763865.4877453712</v>
      </c>
      <c r="G36" s="509">
        <f t="shared" si="9"/>
        <v>2780831.7652092134</v>
      </c>
      <c r="H36" s="509">
        <f t="shared" si="10"/>
        <v>2797321.8111744151</v>
      </c>
      <c r="I36" s="611">
        <f>IF($I$19="实际情况——方案Ⅰ",实际情况下输配电价Ⅰ!C41,#REF!)</f>
        <v>5151961.1138204206</v>
      </c>
      <c r="J36" s="611">
        <f>IF($I$19="实际情况——方案Ⅰ",实际情况下输配电价Ⅰ!D41,#REF!)</f>
        <v>5028917.8062641714</v>
      </c>
      <c r="K36" s="611">
        <f>IF($I$19="实际情况——方案Ⅰ",实际情况下输配电价Ⅰ!E41,#REF!)</f>
        <v>5803715.3195034834</v>
      </c>
      <c r="L36" s="611">
        <f>IF($I$19="实际情况——方案Ⅰ",实际情况下输配电价Ⅰ!F41,#REF!)</f>
        <v>7615844.1573945805</v>
      </c>
      <c r="M36" s="611">
        <f>IF($I$19="实际情况——方案Ⅰ",实际情况下输配电价Ⅰ!H41,#REF!)</f>
        <v>5819952.6495209159</v>
      </c>
      <c r="N36" s="611">
        <f>IF($I$19="实际情况——方案Ⅰ",实际情况下输配电价Ⅰ!I41,#REF!)</f>
        <v>5936501.1144559113</v>
      </c>
      <c r="O36" s="611">
        <f>IF($I$19="实际情况——方案Ⅰ",实际情况下输配电价Ⅰ!J41,#REF!)</f>
        <v>6050634.4053620864</v>
      </c>
      <c r="P36" s="509">
        <f>输配电价测算模型!C41</f>
        <v>2821224.7429989437</v>
      </c>
      <c r="Q36" s="509">
        <f>输配电价测算模型!D41</f>
        <v>2912879.0770789948</v>
      </c>
      <c r="R36" s="509">
        <f>输配电价测算模型!E41</f>
        <v>2976345.2270758604</v>
      </c>
      <c r="S36" s="509">
        <f>输配电价测算模型!F41</f>
        <v>3032337.0249308348</v>
      </c>
      <c r="T36" s="509">
        <f>输配电价测算模型!H41</f>
        <v>3056087.1617755448</v>
      </c>
      <c r="U36" s="509">
        <f>输配电价测算模型!I41</f>
        <v>3155669.349246698</v>
      </c>
      <c r="V36" s="509">
        <f>输配电价测算模型!J41</f>
        <v>3253312.5941876713</v>
      </c>
    </row>
    <row r="37" spans="1:22" ht="22.95" customHeight="1">
      <c r="A37" s="508" t="s">
        <v>1404</v>
      </c>
      <c r="B37" s="509">
        <f t="shared" si="4"/>
        <v>0</v>
      </c>
      <c r="C37" s="509">
        <f t="shared" si="5"/>
        <v>0</v>
      </c>
      <c r="D37" s="509">
        <f t="shared" si="6"/>
        <v>0</v>
      </c>
      <c r="E37" s="509">
        <f t="shared" si="7"/>
        <v>0</v>
      </c>
      <c r="F37" s="509">
        <f t="shared" si="8"/>
        <v>0</v>
      </c>
      <c r="G37" s="509">
        <f t="shared" si="9"/>
        <v>0</v>
      </c>
      <c r="H37" s="509">
        <f t="shared" si="10"/>
        <v>0</v>
      </c>
      <c r="I37" s="611">
        <f>IF($I$19="实际情况——方案Ⅰ",实际情况下输配电价Ⅰ!C42,#REF!)</f>
        <v>73400</v>
      </c>
      <c r="J37" s="611">
        <f>IF($I$19="实际情况——方案Ⅰ",实际情况下输配电价Ⅰ!D42,#REF!)</f>
        <v>73400</v>
      </c>
      <c r="K37" s="611">
        <f>IF($I$19="实际情况——方案Ⅰ",实际情况下输配电价Ⅰ!E42,#REF!)</f>
        <v>73400</v>
      </c>
      <c r="L37" s="611">
        <f>IF($I$19="实际情况——方案Ⅰ",实际情况下输配电价Ⅰ!F42,#REF!)</f>
        <v>73400</v>
      </c>
      <c r="M37" s="611">
        <f>IF($I$19="实际情况——方案Ⅰ",实际情况下输配电价Ⅰ!H42,#REF!)</f>
        <v>73400</v>
      </c>
      <c r="N37" s="611">
        <f>IF($I$19="实际情况——方案Ⅰ",实际情况下输配电价Ⅰ!I42,#REF!)</f>
        <v>73400</v>
      </c>
      <c r="O37" s="611">
        <f>IF($I$19="实际情况——方案Ⅰ",实际情况下输配电价Ⅰ!J42,#REF!)</f>
        <v>73400</v>
      </c>
      <c r="P37" s="509">
        <f>输配电价测算模型!C42</f>
        <v>73400</v>
      </c>
      <c r="Q37" s="509">
        <f>输配电价测算模型!D42</f>
        <v>73400</v>
      </c>
      <c r="R37" s="509">
        <f>输配电价测算模型!E42</f>
        <v>73400</v>
      </c>
      <c r="S37" s="509">
        <f>输配电价测算模型!F42</f>
        <v>73400</v>
      </c>
      <c r="T37" s="509">
        <f>输配电价测算模型!H42</f>
        <v>73400</v>
      </c>
      <c r="U37" s="509">
        <f>输配电价测算模型!I42</f>
        <v>73400</v>
      </c>
      <c r="V37" s="509">
        <f>输配电价测算模型!J42</f>
        <v>73400</v>
      </c>
    </row>
    <row r="38" spans="1:22" ht="22.95" customHeight="1">
      <c r="A38" s="508" t="s">
        <v>1545</v>
      </c>
      <c r="B38" s="509">
        <f t="shared" si="4"/>
        <v>2330736.3708214769</v>
      </c>
      <c r="C38" s="509">
        <f t="shared" si="5"/>
        <v>2116038.7291851765</v>
      </c>
      <c r="D38" s="509">
        <f t="shared" si="6"/>
        <v>2827370.092427623</v>
      </c>
      <c r="E38" s="509">
        <f t="shared" si="7"/>
        <v>4583507.1324637458</v>
      </c>
      <c r="F38" s="509">
        <f t="shared" si="8"/>
        <v>2763865.4877453712</v>
      </c>
      <c r="G38" s="509">
        <f t="shared" si="9"/>
        <v>2780831.7652092134</v>
      </c>
      <c r="H38" s="509">
        <f t="shared" si="10"/>
        <v>2797321.8111744151</v>
      </c>
      <c r="I38" s="611">
        <f>IF($I$19="实际情况——方案Ⅰ",实际情况下输配电价Ⅰ!C43,#REF!)</f>
        <v>5078561.1138204206</v>
      </c>
      <c r="J38" s="611">
        <f>IF($I$19="实际情况——方案Ⅰ",实际情况下输配电价Ⅰ!D43,#REF!)</f>
        <v>4955517.8062641714</v>
      </c>
      <c r="K38" s="611">
        <f>IF($I$19="实际情况——方案Ⅰ",实际情况下输配电价Ⅰ!E43,#REF!)</f>
        <v>5730315.3195034834</v>
      </c>
      <c r="L38" s="611">
        <f>IF($I$19="实际情况——方案Ⅰ",实际情况下输配电价Ⅰ!F43,#REF!)</f>
        <v>7542444.1573945805</v>
      </c>
      <c r="M38" s="611">
        <f>IF($I$19="实际情况——方案Ⅰ",实际情况下输配电价Ⅰ!H43,#REF!)</f>
        <v>5746552.6495209159</v>
      </c>
      <c r="N38" s="611">
        <f>IF($I$19="实际情况——方案Ⅰ",实际情况下输配电价Ⅰ!I43,#REF!)</f>
        <v>5863101.1144559113</v>
      </c>
      <c r="O38" s="611">
        <f>IF($I$19="实际情况——方案Ⅰ",实际情况下输配电价Ⅰ!J43,#REF!)</f>
        <v>5977234.4053620864</v>
      </c>
      <c r="P38" s="509">
        <f>输配电价测算模型!C43</f>
        <v>2747824.7429989437</v>
      </c>
      <c r="Q38" s="509">
        <f>输配电价测算模型!D43</f>
        <v>2839479.0770789948</v>
      </c>
      <c r="R38" s="509">
        <f>输配电价测算模型!E43</f>
        <v>2902945.2270758604</v>
      </c>
      <c r="S38" s="509">
        <f>输配电价测算模型!F43</f>
        <v>2958937.0249308348</v>
      </c>
      <c r="T38" s="509">
        <f>输配电价测算模型!H43</f>
        <v>2982687.1617755448</v>
      </c>
      <c r="U38" s="509">
        <f>输配电价测算模型!I43</f>
        <v>3082269.349246698</v>
      </c>
      <c r="V38" s="509">
        <f>输配电价测算模型!J43</f>
        <v>3179912.5941876713</v>
      </c>
    </row>
    <row r="39" spans="1:22" ht="22.95" customHeight="1">
      <c r="A39" s="508" t="s">
        <v>1546</v>
      </c>
      <c r="B39" s="509">
        <f t="shared" si="4"/>
        <v>0</v>
      </c>
      <c r="C39" s="509">
        <f t="shared" si="5"/>
        <v>0</v>
      </c>
      <c r="D39" s="509">
        <f t="shared" si="6"/>
        <v>0</v>
      </c>
      <c r="E39" s="509">
        <f t="shared" si="7"/>
        <v>0</v>
      </c>
      <c r="F39" s="509">
        <f t="shared" si="8"/>
        <v>0</v>
      </c>
      <c r="G39" s="509">
        <f t="shared" si="9"/>
        <v>0</v>
      </c>
      <c r="H39" s="509">
        <f t="shared" si="10"/>
        <v>0</v>
      </c>
      <c r="I39" s="611">
        <f>IF($I$19="实际情况——方案Ⅰ",实际情况下输配电价Ⅰ!C44,#REF!)</f>
        <v>12350000</v>
      </c>
      <c r="J39" s="611">
        <f>IF($I$19="实际情况——方案Ⅰ",实际情况下输配电价Ⅰ!D44,#REF!)</f>
        <v>12535249.999999998</v>
      </c>
      <c r="K39" s="611">
        <f>IF($I$19="实际情况——方案Ⅰ",实际情况下输配电价Ⅰ!E44,#REF!)</f>
        <v>12723278.749999996</v>
      </c>
      <c r="L39" s="611">
        <f>IF($I$19="实际情况——方案Ⅰ",实际情况下输配电价Ⅰ!F44,#REF!)</f>
        <v>12914127.931249995</v>
      </c>
      <c r="M39" s="611">
        <f>IF($I$19="实际情况——方案Ⅰ",实际情况下输配电价Ⅰ!H44,#REF!)</f>
        <v>13559834.327812495</v>
      </c>
      <c r="N39" s="611">
        <f>IF($I$19="实际情况——方案Ⅰ",实际情况下输配电价Ⅰ!I44,#REF!)</f>
        <v>14237826.044203119</v>
      </c>
      <c r="O39" s="611">
        <f>IF($I$19="实际情况——方案Ⅰ",实际情况下输配电价Ⅰ!J44,#REF!)</f>
        <v>14949717.346413275</v>
      </c>
      <c r="P39" s="509">
        <f>输配电价测算模型!C44</f>
        <v>12350000</v>
      </c>
      <c r="Q39" s="509">
        <f>输配电价测算模型!D44</f>
        <v>12535249.999999998</v>
      </c>
      <c r="R39" s="509">
        <f>输配电价测算模型!E44</f>
        <v>12723278.749999996</v>
      </c>
      <c r="S39" s="509">
        <f>输配电价测算模型!F44</f>
        <v>12914127.931249995</v>
      </c>
      <c r="T39" s="509">
        <f>输配电价测算模型!H44</f>
        <v>13559834.327812495</v>
      </c>
      <c r="U39" s="509">
        <f>输配电价测算模型!I44</f>
        <v>14237826.044203119</v>
      </c>
      <c r="V39" s="509">
        <f>输配电价测算模型!J44</f>
        <v>14949717.346413275</v>
      </c>
    </row>
    <row r="40" spans="1:22" ht="22.95" customHeight="1">
      <c r="A40" s="508" t="s">
        <v>1406</v>
      </c>
      <c r="B40" s="509">
        <f t="shared" si="4"/>
        <v>220.80660355150837</v>
      </c>
      <c r="C40" s="509">
        <f t="shared" si="5"/>
        <v>197.50426302998801</v>
      </c>
      <c r="D40" s="509">
        <f t="shared" si="6"/>
        <v>259.99768401995595</v>
      </c>
      <c r="E40" s="509">
        <f t="shared" si="7"/>
        <v>415.25865110920512</v>
      </c>
      <c r="F40" s="509">
        <f t="shared" si="8"/>
        <v>238.4780331740053</v>
      </c>
      <c r="G40" s="509">
        <f t="shared" si="9"/>
        <v>228.51614812497726</v>
      </c>
      <c r="H40" s="509">
        <f t="shared" si="10"/>
        <v>218.92497652200018</v>
      </c>
      <c r="I40" s="611">
        <f>IF($I$19="实际情况——方案Ⅰ",实际情况下输配电价Ⅰ!C45,#REF!)</f>
        <v>481.12684236193456</v>
      </c>
      <c r="J40" s="611">
        <f>IF($I$19="实际情况——方案Ⅰ",实际情况下输配电价Ⅰ!D45,#REF!)</f>
        <v>462.53212607080684</v>
      </c>
      <c r="K40" s="611">
        <f>IF($I$19="实际情况——方案Ⅰ",实际情况下输配电价Ⅰ!E45,#REF!)</f>
        <v>526.94506310482882</v>
      </c>
      <c r="L40" s="611">
        <f>IF($I$19="实际情况——方案Ⅰ",实际情况下输配电价Ⅰ!F45,#REF!)</f>
        <v>683.33376524770847</v>
      </c>
      <c r="M40" s="611">
        <f>IF($I$19="实际情况——方案Ⅰ",实际情况下输配电价Ⅰ!H45,#REF!)</f>
        <v>495.83692819528108</v>
      </c>
      <c r="N40" s="611">
        <f>IF($I$19="实际情况——方案Ⅰ",实际情况下输配电价Ⅰ!I45,#REF!)</f>
        <v>481.80307039966755</v>
      </c>
      <c r="O40" s="611">
        <f>IF($I$19="实际情况——方案Ⅰ",实际情况下输配电价Ⅰ!J45,#REF!)</f>
        <v>467.79240652007934</v>
      </c>
      <c r="P40" s="509">
        <f>输配电价测算模型!C45</f>
        <v>260.32023881042619</v>
      </c>
      <c r="Q40" s="509">
        <f>输配电价测算模型!D45</f>
        <v>265.02786304081883</v>
      </c>
      <c r="R40" s="509">
        <f>输配电价测算模型!E45</f>
        <v>266.94737908487286</v>
      </c>
      <c r="S40" s="509">
        <f>输配电价测算模型!F45</f>
        <v>268.07511413850335</v>
      </c>
      <c r="T40" s="509">
        <f>输配电价测算模型!H45</f>
        <v>257.35889502127577</v>
      </c>
      <c r="U40" s="509">
        <f>输配电价测算模型!I45</f>
        <v>253.28692227469028</v>
      </c>
      <c r="V40" s="509">
        <f>输配电价测算模型!J45</f>
        <v>248.86742999807916</v>
      </c>
    </row>
    <row r="41" spans="1:22" ht="22.95" customHeight="1">
      <c r="A41" s="508" t="s">
        <v>1407</v>
      </c>
      <c r="B41" s="509">
        <f t="shared" si="4"/>
        <v>188.72359277906696</v>
      </c>
      <c r="C41" s="509">
        <f t="shared" si="5"/>
        <v>168.80706241879318</v>
      </c>
      <c r="D41" s="509">
        <f t="shared" si="6"/>
        <v>222.2202427520991</v>
      </c>
      <c r="E41" s="509">
        <f t="shared" si="7"/>
        <v>354.92192402496164</v>
      </c>
      <c r="F41" s="509">
        <f t="shared" si="8"/>
        <v>203.82737878120113</v>
      </c>
      <c r="G41" s="509">
        <f t="shared" si="9"/>
        <v>195.3129471153652</v>
      </c>
      <c r="H41" s="509">
        <f t="shared" si="10"/>
        <v>187.11536454871811</v>
      </c>
      <c r="I41" s="611">
        <f>IF($I$19="实际情况——方案Ⅰ",实际情况下输配电价Ⅰ!C46,#REF!)</f>
        <v>411.21952338626886</v>
      </c>
      <c r="J41" s="611">
        <f>IF($I$19="实际情况——方案Ⅰ",实际情况下输配电价Ⅰ!D46,#REF!)</f>
        <v>395.3266034793221</v>
      </c>
      <c r="K41" s="611">
        <f>IF($I$19="实际情况——方案Ⅰ",实际情况下输配电价Ⅰ!E46,#REF!)</f>
        <v>450.38039581609303</v>
      </c>
      <c r="L41" s="611">
        <f>IF($I$19="实际情况——方案Ⅰ",实际情况下输配电价Ⅰ!F46,#REF!)</f>
        <v>584.04595320316969</v>
      </c>
      <c r="M41" s="611">
        <f>IF($I$19="实际情况——方案Ⅰ",实际情况下输配电价Ⅰ!H46,#REF!)</f>
        <v>423.79224632075307</v>
      </c>
      <c r="N41" s="611">
        <f>IF($I$19="实际情况——方案Ⅰ",实际情况下输配电价Ⅰ!I46,#REF!)</f>
        <v>411.79749606809196</v>
      </c>
      <c r="O41" s="611">
        <f>IF($I$19="实际情况——方案Ⅰ",实际情况下输配电价Ⅰ!J46,#REF!)</f>
        <v>399.8225696752815</v>
      </c>
      <c r="P41" s="509">
        <f>输配电价测算模型!C46</f>
        <v>222.4959306072019</v>
      </c>
      <c r="Q41" s="509">
        <f>输配电价测算模型!D46</f>
        <v>226.51954106052892</v>
      </c>
      <c r="R41" s="509">
        <f>输配电价测算模型!E46</f>
        <v>228.16015306399393</v>
      </c>
      <c r="S41" s="509">
        <f>输配电价测算模型!F46</f>
        <v>229.12402917820802</v>
      </c>
      <c r="T41" s="509">
        <f>输配电价测算模型!H46</f>
        <v>219.96486753955193</v>
      </c>
      <c r="U41" s="509">
        <f>输配电价测算模型!I46</f>
        <v>216.48454895272675</v>
      </c>
      <c r="V41" s="509">
        <f>输配电价测算模型!J46</f>
        <v>212.70720512656339</v>
      </c>
    </row>
    <row r="42" spans="1:22" ht="22.95" customHeight="1">
      <c r="A42" s="668"/>
      <c r="B42" s="669"/>
      <c r="C42" s="669"/>
      <c r="D42" s="669"/>
      <c r="E42" s="669"/>
      <c r="F42" s="669"/>
      <c r="G42" s="669"/>
      <c r="H42" s="669"/>
      <c r="I42" s="669"/>
      <c r="J42" s="669"/>
      <c r="K42" s="669"/>
      <c r="L42" s="669"/>
      <c r="M42" s="669"/>
      <c r="N42" s="669"/>
      <c r="O42" s="669"/>
      <c r="P42" s="669"/>
      <c r="Q42" s="669"/>
      <c r="R42" s="669"/>
      <c r="S42" s="669"/>
      <c r="T42" s="669"/>
      <c r="U42" s="669"/>
      <c r="V42" s="669"/>
    </row>
    <row r="43" spans="1:22" customFormat="1" ht="22.95" customHeight="1">
      <c r="A43" s="621" t="s">
        <v>1555</v>
      </c>
      <c r="B43" s="626"/>
      <c r="C43" s="626"/>
      <c r="D43" s="626"/>
      <c r="E43" s="626"/>
      <c r="F43" s="626"/>
      <c r="G43" s="626"/>
      <c r="H43" s="626"/>
    </row>
    <row r="44" spans="1:22" customFormat="1" ht="22.95" customHeight="1">
      <c r="A44" s="621" t="s">
        <v>1556</v>
      </c>
    </row>
    <row r="45" spans="1:22" ht="22.95" customHeight="1">
      <c r="A45" s="614"/>
      <c r="B45" s="737">
        <f>C45-1</f>
        <v>2016</v>
      </c>
      <c r="C45" s="737">
        <f>D45-1</f>
        <v>2017</v>
      </c>
      <c r="D45" s="737">
        <f>测算年份</f>
        <v>2018</v>
      </c>
      <c r="E45" s="737">
        <f>D45+1</f>
        <v>2019</v>
      </c>
      <c r="F45" s="737">
        <f>E45+1</f>
        <v>2020</v>
      </c>
      <c r="G45" s="737">
        <f>F45+1</f>
        <v>2021</v>
      </c>
      <c r="H45" s="737">
        <f>G45+1</f>
        <v>2022</v>
      </c>
    </row>
    <row r="46" spans="1:22" ht="22.95" customHeight="1">
      <c r="A46" s="619" t="s">
        <v>1557</v>
      </c>
      <c r="B46" s="622">
        <v>52087667.399999999</v>
      </c>
      <c r="C46" s="622">
        <v>50761320</v>
      </c>
      <c r="D46" s="622">
        <v>52383558.000000007</v>
      </c>
      <c r="E46" s="622">
        <v>51578155.240430072</v>
      </c>
      <c r="F46" s="622">
        <v>49466736</v>
      </c>
      <c r="G46" s="622">
        <v>49466736</v>
      </c>
      <c r="H46" s="622">
        <v>49466736</v>
      </c>
      <c r="I46" s="525"/>
      <c r="M46" s="525"/>
      <c r="N46" s="525"/>
      <c r="O46" s="525"/>
    </row>
    <row r="47" spans="1:22" ht="22.95" customHeight="1">
      <c r="A47" s="619" t="s">
        <v>1559</v>
      </c>
      <c r="B47" s="618">
        <v>81388886.778537229</v>
      </c>
      <c r="C47" s="618">
        <v>85693189.753618464</v>
      </c>
      <c r="D47" s="618">
        <v>89905368.955950409</v>
      </c>
      <c r="E47" s="618">
        <v>93983073.948614031</v>
      </c>
      <c r="F47" s="618">
        <v>89682020.850512579</v>
      </c>
      <c r="G47" s="618">
        <v>93422361.997012541</v>
      </c>
      <c r="H47" s="618">
        <v>97014501.883172423</v>
      </c>
      <c r="I47" s="525"/>
      <c r="M47" s="525"/>
      <c r="N47" s="525"/>
      <c r="O47" s="525"/>
    </row>
    <row r="48" spans="1:22" ht="22.95" customHeight="1">
      <c r="A48" s="619" t="s">
        <v>1558</v>
      </c>
      <c r="B48" s="622">
        <f>发展投入!E18*10000</f>
        <v>2430530</v>
      </c>
      <c r="C48" s="622">
        <f>发展投入!F18*10000</f>
        <v>1345641</v>
      </c>
      <c r="D48" s="622">
        <f>发展投入!G18*10000</f>
        <v>1765799.9999999998</v>
      </c>
      <c r="E48" s="622">
        <f>发展投入!H18*10000</f>
        <v>1765799.9999999998</v>
      </c>
      <c r="F48" s="622">
        <f>发展投入!I18*10000</f>
        <v>1765799.9999999998</v>
      </c>
      <c r="G48" s="622">
        <f>发展投入!J18*10000</f>
        <v>1765799.9999999998</v>
      </c>
      <c r="H48" s="622">
        <f>发展投入!K18*10000</f>
        <v>1765799.9999999998</v>
      </c>
      <c r="I48" s="525"/>
      <c r="N48" s="525"/>
      <c r="O48" s="525"/>
    </row>
    <row r="49" spans="1:8" ht="19.2" customHeight="1">
      <c r="A49" s="619" t="s">
        <v>1560</v>
      </c>
      <c r="B49" s="618">
        <v>81380080.298935428</v>
      </c>
      <c r="C49" s="618">
        <v>85670225.902810752</v>
      </c>
      <c r="D49" s="618">
        <v>89868520.398352072</v>
      </c>
      <c r="E49" s="618">
        <v>93932697.880450606</v>
      </c>
      <c r="F49" s="618">
        <v>89645647.692392364</v>
      </c>
      <c r="G49" s="618">
        <v>93373134.709257677</v>
      </c>
      <c r="H49" s="618">
        <v>96952805.061311156</v>
      </c>
    </row>
    <row r="50" spans="1:8">
      <c r="A50" s="619" t="s">
        <v>1561</v>
      </c>
      <c r="B50" s="618">
        <f>MAX(B47-B49,0)</f>
        <v>8806.4796018004417</v>
      </c>
      <c r="C50" s="618">
        <f t="shared" ref="C50:H50" si="13">MAX(C47-C49,0)</f>
        <v>22963.850807711482</v>
      </c>
      <c r="D50" s="618">
        <f t="shared" si="13"/>
        <v>36848.557598337531</v>
      </c>
      <c r="E50" s="618">
        <f t="shared" si="13"/>
        <v>50376.06816342473</v>
      </c>
      <c r="F50" s="618">
        <f t="shared" si="13"/>
        <v>36373.158120214939</v>
      </c>
      <c r="G50" s="618">
        <f t="shared" si="13"/>
        <v>49227.287754863501</v>
      </c>
      <c r="H50" s="618">
        <f t="shared" si="13"/>
        <v>61696.82186126709</v>
      </c>
    </row>
    <row r="51" spans="1:8">
      <c r="A51" s="619" t="s">
        <v>1569</v>
      </c>
      <c r="B51" s="618">
        <f>B50*0.7</f>
        <v>6164.5357212603085</v>
      </c>
      <c r="C51" s="618">
        <f t="shared" ref="C51:H51" si="14">C50*0.7</f>
        <v>16074.695565398037</v>
      </c>
      <c r="D51" s="618">
        <f t="shared" si="14"/>
        <v>25793.99031883627</v>
      </c>
      <c r="E51" s="618">
        <f t="shared" si="14"/>
        <v>35263.247714397308</v>
      </c>
      <c r="F51" s="618">
        <f t="shared" si="14"/>
        <v>25461.210684150457</v>
      </c>
      <c r="G51" s="618">
        <f t="shared" si="14"/>
        <v>34459.10142840445</v>
      </c>
      <c r="H51" s="618">
        <f t="shared" si="14"/>
        <v>43187.775302886963</v>
      </c>
    </row>
    <row r="52" spans="1:8" ht="21" customHeight="1">
      <c r="A52" s="619" t="s">
        <v>1570</v>
      </c>
      <c r="B52" s="618">
        <f>输配电价测算参数!C70</f>
        <v>0</v>
      </c>
      <c r="C52" s="618">
        <f>输配电价测算参数!D70</f>
        <v>12350000</v>
      </c>
      <c r="D52" s="618">
        <f>输配电价测算参数!E70</f>
        <v>12535249.999999998</v>
      </c>
      <c r="E52" s="618">
        <f>输配电价测算参数!F70</f>
        <v>12723278.749999996</v>
      </c>
      <c r="F52" s="618">
        <f>输配电价测算参数!G70</f>
        <v>12914127.931249995</v>
      </c>
      <c r="G52" s="618">
        <f>输配电价测算参数!H70</f>
        <v>13559834.327812495</v>
      </c>
      <c r="H52" s="618">
        <f>输配电价测算参数!I70</f>
        <v>14237826.044203119</v>
      </c>
    </row>
    <row r="53" spans="1:8">
      <c r="A53" s="619" t="s">
        <v>1571</v>
      </c>
      <c r="B53" s="612" t="e">
        <f>B51/B52*1000</f>
        <v>#DIV/0!</v>
      </c>
      <c r="C53" s="612">
        <f t="shared" ref="C53:H53" si="15">C51/C52*1000</f>
        <v>1.3015947826233227</v>
      </c>
      <c r="D53" s="612">
        <f t="shared" si="15"/>
        <v>2.0577164650753894</v>
      </c>
      <c r="E53" s="612">
        <f t="shared" si="15"/>
        <v>2.7715534971201756</v>
      </c>
      <c r="F53" s="612">
        <f t="shared" si="15"/>
        <v>1.9715780128318734</v>
      </c>
      <c r="G53" s="612">
        <f t="shared" si="15"/>
        <v>2.541262717179781</v>
      </c>
      <c r="H53" s="612">
        <f t="shared" si="15"/>
        <v>3.0333124712161177</v>
      </c>
    </row>
    <row r="54" spans="1:8">
      <c r="A54" s="619" t="s">
        <v>1568</v>
      </c>
      <c r="B54" s="614"/>
      <c r="C54" s="2460">
        <f>SUM(C51:E51)/SUM(C52:E52)*1000</f>
        <v>2.0509160066154308</v>
      </c>
      <c r="D54" s="2461"/>
      <c r="E54" s="2462"/>
      <c r="F54" s="2460">
        <f>SUM(F51:H51)/SUM(F52:H52)*1000</f>
        <v>2.5326346916372446</v>
      </c>
      <c r="G54" s="2461"/>
      <c r="H54" s="2462"/>
    </row>
    <row r="56" spans="1:8" ht="21" hidden="1" customHeight="1">
      <c r="A56" s="621" t="s">
        <v>1564</v>
      </c>
    </row>
    <row r="57" spans="1:8" ht="21" hidden="1" customHeight="1">
      <c r="A57" s="614"/>
      <c r="B57" s="617">
        <f>C57-1</f>
        <v>2016</v>
      </c>
      <c r="C57" s="617">
        <f>D57-1</f>
        <v>2017</v>
      </c>
      <c r="D57" s="617">
        <f>测算年份</f>
        <v>2018</v>
      </c>
      <c r="E57" s="617">
        <f>D57+1</f>
        <v>2019</v>
      </c>
      <c r="F57" s="617">
        <f>E57+1</f>
        <v>2020</v>
      </c>
      <c r="G57" s="617">
        <f>F57+1</f>
        <v>2021</v>
      </c>
      <c r="H57" s="617">
        <f>G57+1</f>
        <v>2022</v>
      </c>
    </row>
    <row r="58" spans="1:8" ht="21" hidden="1" customHeight="1">
      <c r="A58" s="619" t="s">
        <v>1565</v>
      </c>
      <c r="B58" s="618">
        <f>输配电价测算模型!C6</f>
        <v>2470407.62</v>
      </c>
      <c r="C58" s="618">
        <f>输配电价测算模型!D6</f>
        <v>2564166.9403846157</v>
      </c>
      <c r="D58" s="618">
        <f>输配电价测算模型!E6</f>
        <v>2635091.4903846155</v>
      </c>
      <c r="E58" s="618">
        <f>输配电价测算模型!F6</f>
        <v>2709417.0330769233</v>
      </c>
      <c r="F58" s="618">
        <f>输配电价测算模型!G6</f>
        <v>2649710.2471794877</v>
      </c>
      <c r="G58" s="618">
        <f>输配电价测算模型!H6</f>
        <v>2755641.0164102567</v>
      </c>
      <c r="H58" s="618">
        <f>输配电价测算模型!I6</f>
        <v>2861571.7856410258</v>
      </c>
    </row>
    <row r="59" spans="1:8" ht="21" hidden="1" customHeight="1">
      <c r="A59" s="619" t="s">
        <v>1566</v>
      </c>
      <c r="B59" s="622">
        <f t="shared" ref="B59:H59" si="16">I25</f>
        <v>4773206.9822447598</v>
      </c>
      <c r="C59" s="622">
        <f t="shared" si="16"/>
        <v>4654110.65326689</v>
      </c>
      <c r="D59" s="622">
        <f t="shared" si="16"/>
        <v>5446892.2043317668</v>
      </c>
      <c r="E59" s="622">
        <f t="shared" si="16"/>
        <v>7250655.6415473912</v>
      </c>
      <c r="F59" s="622">
        <f t="shared" si="16"/>
        <v>5506400.3640592415</v>
      </c>
      <c r="G59" s="622">
        <f t="shared" si="16"/>
        <v>5629202.9281618055</v>
      </c>
      <c r="H59" s="622">
        <f t="shared" si="16"/>
        <v>5752005.4922643695</v>
      </c>
    </row>
    <row r="60" spans="1:8" ht="21" hidden="1" customHeight="1">
      <c r="A60" s="619" t="s">
        <v>1567</v>
      </c>
      <c r="B60" s="618">
        <f>B59-B58</f>
        <v>2302799.3622447597</v>
      </c>
      <c r="C60" s="618">
        <f t="shared" ref="C60:H60" si="17">C59-C58</f>
        <v>2089943.7128822743</v>
      </c>
      <c r="D60" s="618">
        <f t="shared" si="17"/>
        <v>2811800.7139471513</v>
      </c>
      <c r="E60" s="618">
        <f t="shared" si="17"/>
        <v>4541238.6084704679</v>
      </c>
      <c r="F60" s="618">
        <f t="shared" si="17"/>
        <v>2856690.1168797538</v>
      </c>
      <c r="G60" s="618">
        <f t="shared" si="17"/>
        <v>2873561.9117515488</v>
      </c>
      <c r="H60" s="618">
        <f t="shared" si="17"/>
        <v>2890433.7066233438</v>
      </c>
    </row>
    <row r="61" spans="1:8" ht="21" hidden="1" customHeight="1">
      <c r="A61" s="619" t="s">
        <v>1569</v>
      </c>
      <c r="B61" s="618">
        <f>MIN(0,B60*0.5)</f>
        <v>0</v>
      </c>
      <c r="C61" s="618">
        <f>MIN(0,C60*0.5)</f>
        <v>0</v>
      </c>
      <c r="D61" s="618">
        <f t="shared" ref="D61:H61" si="18">MIN(0,D60*0.5)</f>
        <v>0</v>
      </c>
      <c r="E61" s="618">
        <f t="shared" si="18"/>
        <v>0</v>
      </c>
      <c r="F61" s="618">
        <f t="shared" si="18"/>
        <v>0</v>
      </c>
      <c r="G61" s="618">
        <f t="shared" si="18"/>
        <v>0</v>
      </c>
      <c r="H61" s="618">
        <f t="shared" si="18"/>
        <v>0</v>
      </c>
    </row>
    <row r="62" spans="1:8" ht="21" hidden="1" customHeight="1">
      <c r="A62" s="619" t="s">
        <v>1570</v>
      </c>
      <c r="B62" s="618">
        <f>输配电价测算参数!C70</f>
        <v>0</v>
      </c>
      <c r="C62" s="618">
        <f>输配电价测算参数!D70</f>
        <v>12350000</v>
      </c>
      <c r="D62" s="618">
        <f>输配电价测算参数!E70</f>
        <v>12535249.999999998</v>
      </c>
      <c r="E62" s="618">
        <f>输配电价测算参数!F70</f>
        <v>12723278.749999996</v>
      </c>
      <c r="F62" s="618">
        <f>输配电价测算参数!G70</f>
        <v>12914127.931249995</v>
      </c>
      <c r="G62" s="618">
        <f>输配电价测算参数!H70</f>
        <v>13559834.327812495</v>
      </c>
      <c r="H62" s="618">
        <f>输配电价测算参数!I70</f>
        <v>14237826.044203119</v>
      </c>
    </row>
    <row r="63" spans="1:8" ht="21" hidden="1" customHeight="1">
      <c r="A63" s="619" t="s">
        <v>1571</v>
      </c>
      <c r="B63" s="612" t="e">
        <f>B61/B62*1000</f>
        <v>#DIV/0!</v>
      </c>
      <c r="C63" s="612">
        <f t="shared" ref="C63" si="19">C61/C62*1000</f>
        <v>0</v>
      </c>
      <c r="D63" s="612">
        <f t="shared" ref="D63" si="20">D61/D62*1000</f>
        <v>0</v>
      </c>
      <c r="E63" s="612">
        <f t="shared" ref="E63" si="21">E61/E62*1000</f>
        <v>0</v>
      </c>
      <c r="F63" s="612">
        <f t="shared" ref="F63" si="22">F61/F62*1000</f>
        <v>0</v>
      </c>
      <c r="G63" s="612">
        <f t="shared" ref="G63" si="23">G61/G62*1000</f>
        <v>0</v>
      </c>
      <c r="H63" s="612">
        <f t="shared" ref="H63" si="24">H61/H62*1000</f>
        <v>0</v>
      </c>
    </row>
    <row r="64" spans="1:8" ht="21" hidden="1" customHeight="1">
      <c r="A64" s="619" t="s">
        <v>1568</v>
      </c>
      <c r="B64" s="614"/>
      <c r="C64" s="2460">
        <f>SUM(C61:E61)/SUM(C62:E62)*1000</f>
        <v>0</v>
      </c>
      <c r="D64" s="2461"/>
      <c r="E64" s="2462"/>
      <c r="F64" s="2460">
        <f>SUM(F61:H61)/SUM(F62:H62)*1000</f>
        <v>0</v>
      </c>
      <c r="G64" s="2461"/>
      <c r="H64" s="2462"/>
    </row>
    <row r="65" spans="1:1" hidden="1">
      <c r="A65" s="620" t="s">
        <v>1562</v>
      </c>
    </row>
    <row r="66" spans="1:1" hidden="1">
      <c r="A66" s="620" t="s">
        <v>1563</v>
      </c>
    </row>
  </sheetData>
  <mergeCells count="39">
    <mergeCell ref="C2:D2"/>
    <mergeCell ref="E2:F2"/>
    <mergeCell ref="B2:B3"/>
    <mergeCell ref="Q11:S11"/>
    <mergeCell ref="T11:V11"/>
    <mergeCell ref="Q12:S12"/>
    <mergeCell ref="T12:V12"/>
    <mergeCell ref="H1:O1"/>
    <mergeCell ref="P1:V1"/>
    <mergeCell ref="J11:L11"/>
    <mergeCell ref="J12:L12"/>
    <mergeCell ref="M11:O11"/>
    <mergeCell ref="M12:O12"/>
    <mergeCell ref="C54:E54"/>
    <mergeCell ref="F54:H54"/>
    <mergeCell ref="C64:E64"/>
    <mergeCell ref="F64:H64"/>
    <mergeCell ref="C23:E23"/>
    <mergeCell ref="Q23:S23"/>
    <mergeCell ref="T23:V23"/>
    <mergeCell ref="J23:L23"/>
    <mergeCell ref="M23:O23"/>
    <mergeCell ref="B19:H19"/>
    <mergeCell ref="C20:E20"/>
    <mergeCell ref="F20:H20"/>
    <mergeCell ref="C22:E22"/>
    <mergeCell ref="F22:H22"/>
    <mergeCell ref="F23:H23"/>
    <mergeCell ref="A19:A21"/>
    <mergeCell ref="Q22:S22"/>
    <mergeCell ref="M20:O20"/>
    <mergeCell ref="P19:V19"/>
    <mergeCell ref="I19:O19"/>
    <mergeCell ref="Q20:S20"/>
    <mergeCell ref="T20:V20"/>
    <mergeCell ref="J20:L20"/>
    <mergeCell ref="T22:V22"/>
    <mergeCell ref="J22:L22"/>
    <mergeCell ref="M22:O22"/>
  </mergeCells>
  <phoneticPr fontId="20" type="noConversion"/>
  <conditionalFormatting sqref="B24:O42">
    <cfRule type="cellIs" dxfId="24" priority="1" operator="lessThan">
      <formula>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6501" r:id="rId3" name="Button 5">
              <controlPr defaultSize="0" print="0" autoFill="0" autoPict="0" macro="[0]!测算">
                <anchor moveWithCells="1" sizeWithCells="1">
                  <from>
                    <xdr:col>9</xdr:col>
                    <xdr:colOff>60960</xdr:colOff>
                    <xdr:row>44</xdr:row>
                    <xdr:rowOff>259080</xdr:rowOff>
                  </from>
                  <to>
                    <xdr:col>9</xdr:col>
                    <xdr:colOff>952500</xdr:colOff>
                    <xdr:row>46</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2">
    <tabColor theme="8" tint="0.59999389629810485"/>
  </sheetPr>
  <dimension ref="B1:P96"/>
  <sheetViews>
    <sheetView showGridLines="0" zoomScale="90" zoomScaleNormal="90" workbookViewId="0">
      <selection activeCell="D8" sqref="D8"/>
    </sheetView>
  </sheetViews>
  <sheetFormatPr defaultRowHeight="14.4" outlineLevelRow="1"/>
  <cols>
    <col min="2" max="2" width="15.21875" customWidth="1"/>
    <col min="3" max="3" width="16.88671875" customWidth="1"/>
    <col min="4" max="8" width="16.44140625" customWidth="1"/>
    <col min="9" max="9" width="17.33203125" customWidth="1"/>
    <col min="10" max="10" width="8.88671875" style="380"/>
    <col min="11" max="11" width="20.6640625" style="380" bestFit="1" customWidth="1"/>
    <col min="12" max="12" width="15.33203125" bestFit="1" customWidth="1"/>
    <col min="13" max="13" width="17.6640625" bestFit="1" customWidth="1"/>
    <col min="14" max="14" width="19.77734375" bestFit="1" customWidth="1"/>
    <col min="15" max="15" width="17.21875" bestFit="1" customWidth="1"/>
  </cols>
  <sheetData>
    <row r="1" spans="2:11" ht="20.399999999999999">
      <c r="B1" s="529" t="s">
        <v>1727</v>
      </c>
      <c r="D1" s="551"/>
      <c r="E1" s="551"/>
      <c r="F1" s="551"/>
      <c r="G1" s="551"/>
      <c r="H1" s="551"/>
    </row>
    <row r="2" spans="2:11" ht="21" thickBot="1">
      <c r="B2" s="529" t="s">
        <v>1433</v>
      </c>
      <c r="C2" s="584" t="str">
        <f>多维联动分析!B7</f>
        <v>NO</v>
      </c>
      <c r="E2" s="2099"/>
      <c r="I2" s="380"/>
    </row>
    <row r="3" spans="2:11" s="723" customFormat="1" ht="15.6" outlineLevel="1">
      <c r="B3" s="719" t="s">
        <v>1419</v>
      </c>
      <c r="C3" s="720" t="s">
        <v>1433</v>
      </c>
      <c r="D3" s="948">
        <f>发展投入!G3</f>
        <v>2018</v>
      </c>
      <c r="E3" s="948">
        <f>发展投入!H3</f>
        <v>2019</v>
      </c>
      <c r="F3" s="948">
        <f>发展投入!I3</f>
        <v>2020</v>
      </c>
      <c r="G3" s="948">
        <f>发展投入!J3</f>
        <v>2021</v>
      </c>
      <c r="H3" s="948">
        <f>发展投入!K3</f>
        <v>2022</v>
      </c>
      <c r="I3" s="721" t="s">
        <v>1460</v>
      </c>
      <c r="J3" s="722"/>
      <c r="K3" s="722"/>
    </row>
    <row r="4" spans="2:11" ht="15.6" outlineLevel="1">
      <c r="B4" s="552" t="s">
        <v>1461</v>
      </c>
      <c r="C4" s="553" t="s">
        <v>1437</v>
      </c>
      <c r="D4" s="554">
        <v>147</v>
      </c>
      <c r="E4" s="554">
        <v>145.8786796052446</v>
      </c>
      <c r="F4" s="554">
        <v>144.75735921048923</v>
      </c>
      <c r="G4" s="554"/>
      <c r="H4" s="554"/>
      <c r="I4" s="555">
        <f>SUM(D4:H4)-_xlfn.STDEV.P(D4:H4)</f>
        <v>436.72048454729156</v>
      </c>
    </row>
    <row r="5" spans="2:11" ht="15.6" outlineLevel="1">
      <c r="B5" s="552" t="s">
        <v>1205</v>
      </c>
      <c r="C5" s="556"/>
      <c r="D5" s="557">
        <f ca="1">国资委考核指标!G9</f>
        <v>31.379227543914535</v>
      </c>
      <c r="E5" s="557">
        <f ca="1">国资委考核指标!H9</f>
        <v>33.589492451987645</v>
      </c>
      <c r="F5" s="557">
        <f ca="1">国资委考核指标!I9</f>
        <v>36.550563830357724</v>
      </c>
      <c r="G5" s="557">
        <f ca="1">国资委考核指标!J9</f>
        <v>39.427679361125456</v>
      </c>
      <c r="H5" s="557">
        <f ca="1">国资委考核指标!K9</f>
        <v>42.92256277473647</v>
      </c>
      <c r="I5" s="555">
        <f ca="1">SUM(D5:H5)</f>
        <v>183.86952596212183</v>
      </c>
    </row>
    <row r="6" spans="2:11" ht="15" outlineLevel="1">
      <c r="B6" s="558" t="s">
        <v>1462</v>
      </c>
      <c r="C6" s="556"/>
      <c r="D6" s="559">
        <v>50</v>
      </c>
      <c r="E6" s="559">
        <f>D6</f>
        <v>50</v>
      </c>
      <c r="F6" s="559">
        <f t="shared" ref="F6:G6" si="0">E6</f>
        <v>50</v>
      </c>
      <c r="G6" s="559">
        <f t="shared" si="0"/>
        <v>50</v>
      </c>
      <c r="H6" s="559">
        <v>55</v>
      </c>
      <c r="I6" s="560"/>
    </row>
    <row r="7" spans="2:11" ht="15" outlineLevel="1">
      <c r="B7" s="558" t="s">
        <v>1463</v>
      </c>
      <c r="C7" s="556"/>
      <c r="D7" s="559">
        <v>30</v>
      </c>
      <c r="E7" s="559">
        <f>D7</f>
        <v>30</v>
      </c>
      <c r="F7" s="559">
        <v>30</v>
      </c>
      <c r="G7" s="559">
        <v>30</v>
      </c>
      <c r="H7" s="559">
        <v>30</v>
      </c>
      <c r="I7" s="560"/>
    </row>
    <row r="8" spans="2:11" ht="15.6" outlineLevel="1">
      <c r="B8" s="552" t="s">
        <v>426</v>
      </c>
      <c r="C8" s="561"/>
      <c r="D8" s="562">
        <f ca="1">国资委考核指标!G5</f>
        <v>0.30373616747300303</v>
      </c>
      <c r="E8" s="562">
        <f ca="1">国资委考核指标!H5</f>
        <v>0.30520206782534742</v>
      </c>
      <c r="F8" s="562">
        <f ca="1">国资委考核指标!I5</f>
        <v>0.30632105910564117</v>
      </c>
      <c r="G8" s="562">
        <f ca="1">国资委考核指标!J5</f>
        <v>0.30704123380030457</v>
      </c>
      <c r="H8" s="562">
        <f ca="1">国资委考核指标!K5</f>
        <v>0.30759530870891794</v>
      </c>
      <c r="I8" s="560"/>
    </row>
    <row r="9" spans="2:11" ht="15" outlineLevel="1">
      <c r="B9" s="558" t="s">
        <v>1462</v>
      </c>
      <c r="C9" s="561"/>
      <c r="D9" s="563">
        <v>0.3</v>
      </c>
      <c r="E9" s="563">
        <v>0.3</v>
      </c>
      <c r="F9" s="563">
        <v>0.3</v>
      </c>
      <c r="G9" s="563">
        <v>0.3</v>
      </c>
      <c r="H9" s="563">
        <v>0.3</v>
      </c>
      <c r="I9" s="560"/>
    </row>
    <row r="10" spans="2:11" ht="15" outlineLevel="1">
      <c r="B10" s="558" t="s">
        <v>1463</v>
      </c>
      <c r="C10" s="561"/>
      <c r="D10" s="563">
        <v>0.2</v>
      </c>
      <c r="E10" s="563">
        <f>D10</f>
        <v>0.2</v>
      </c>
      <c r="F10" s="563">
        <v>0.18</v>
      </c>
      <c r="G10" s="563">
        <v>0.18</v>
      </c>
      <c r="H10" s="563">
        <v>0.16</v>
      </c>
      <c r="I10" s="564"/>
    </row>
    <row r="11" spans="2:11" ht="15.6" outlineLevel="1">
      <c r="B11" s="565" t="s">
        <v>1464</v>
      </c>
      <c r="C11" s="566"/>
      <c r="D11" s="577">
        <f ca="1">国资委考核指标!G23</f>
        <v>-24.199425139865632</v>
      </c>
      <c r="E11" s="577">
        <f ca="1">国资委考核指标!H23</f>
        <v>-25.168996008603905</v>
      </c>
      <c r="F11" s="577">
        <f ca="1">国资委考核指标!I23</f>
        <v>-23.89796345004946</v>
      </c>
      <c r="G11" s="577">
        <f ca="1">国资委考核指标!J23</f>
        <v>-22.388175295474618</v>
      </c>
      <c r="H11" s="577">
        <f ca="1">国资委考核指标!K23</f>
        <v>-20.40207221658892</v>
      </c>
      <c r="I11" s="555">
        <f ca="1">SUM(D11:H11)</f>
        <v>-116.05663211058254</v>
      </c>
    </row>
    <row r="12" spans="2:11" ht="15" outlineLevel="1">
      <c r="B12" s="558" t="s">
        <v>1462</v>
      </c>
      <c r="C12" s="566"/>
      <c r="D12" s="578">
        <v>10</v>
      </c>
      <c r="E12" s="578">
        <f>D12</f>
        <v>10</v>
      </c>
      <c r="F12" s="578">
        <f t="shared" ref="F12:H12" si="1">E12</f>
        <v>10</v>
      </c>
      <c r="G12" s="578">
        <f t="shared" si="1"/>
        <v>10</v>
      </c>
      <c r="H12" s="578">
        <f t="shared" si="1"/>
        <v>10</v>
      </c>
      <c r="I12" s="560"/>
    </row>
    <row r="13" spans="2:11" ht="15" outlineLevel="1">
      <c r="B13" s="558" t="s">
        <v>1463</v>
      </c>
      <c r="C13" s="566"/>
      <c r="D13" s="578">
        <v>-60</v>
      </c>
      <c r="E13" s="578">
        <f>D13</f>
        <v>-60</v>
      </c>
      <c r="F13" s="578">
        <f t="shared" ref="F13:G13" si="2">E13</f>
        <v>-60</v>
      </c>
      <c r="G13" s="578">
        <f t="shared" si="2"/>
        <v>-60</v>
      </c>
      <c r="H13" s="578">
        <v>-65</v>
      </c>
      <c r="I13" s="560"/>
    </row>
    <row r="14" spans="2:11" ht="15.6" outlineLevel="1">
      <c r="B14" s="565"/>
      <c r="C14" s="567"/>
      <c r="D14" s="568"/>
      <c r="E14" s="568"/>
      <c r="F14" s="568"/>
      <c r="G14" s="568"/>
      <c r="H14" s="568"/>
      <c r="I14" s="555">
        <f>SUM(D14:H14)</f>
        <v>0</v>
      </c>
    </row>
    <row r="15" spans="2:11" ht="15.6" outlineLevel="1">
      <c r="B15" s="558" t="s">
        <v>1462</v>
      </c>
      <c r="C15" s="567"/>
      <c r="D15" s="559"/>
      <c r="E15" s="559"/>
      <c r="F15" s="559"/>
      <c r="G15" s="559"/>
      <c r="H15" s="559"/>
      <c r="I15" s="560"/>
    </row>
    <row r="16" spans="2:11" ht="15.6" outlineLevel="1">
      <c r="B16" s="558" t="s">
        <v>1463</v>
      </c>
      <c r="C16" s="567"/>
      <c r="D16" s="559"/>
      <c r="E16" s="559"/>
      <c r="F16" s="559"/>
      <c r="G16" s="559"/>
      <c r="H16" s="559"/>
      <c r="I16" s="560"/>
    </row>
    <row r="17" spans="2:16" ht="15.6" outlineLevel="1">
      <c r="B17" s="552"/>
      <c r="C17" s="7"/>
      <c r="D17" s="568"/>
      <c r="E17" s="568"/>
      <c r="F17" s="568"/>
      <c r="G17" s="568"/>
      <c r="H17" s="568"/>
      <c r="I17" s="555">
        <f>SUM(D17:H17)</f>
        <v>0</v>
      </c>
    </row>
    <row r="18" spans="2:16" ht="15" outlineLevel="1">
      <c r="B18" s="558" t="s">
        <v>1462</v>
      </c>
      <c r="C18" s="7"/>
      <c r="D18" s="569"/>
      <c r="E18" s="569"/>
      <c r="F18" s="569"/>
      <c r="G18" s="569"/>
      <c r="H18" s="569"/>
      <c r="I18" s="570"/>
    </row>
    <row r="19" spans="2:16" ht="15.6" outlineLevel="1" thickBot="1">
      <c r="B19" s="571" t="s">
        <v>1463</v>
      </c>
      <c r="C19" s="572"/>
      <c r="D19" s="573"/>
      <c r="E19" s="573"/>
      <c r="F19" s="573"/>
      <c r="G19" s="573"/>
      <c r="H19" s="573"/>
      <c r="I19" s="574"/>
    </row>
    <row r="20" spans="2:16" outlineLevel="1"/>
    <row r="21" spans="2:16" ht="16.2" outlineLevel="1">
      <c r="B21" s="575" t="s">
        <v>1467</v>
      </c>
    </row>
    <row r="22" spans="2:16" ht="15.6" outlineLevel="1">
      <c r="B22" s="576"/>
      <c r="M22" s="531"/>
    </row>
    <row r="23" spans="2:16" outlineLevel="1"/>
    <row r="24" spans="2:16" outlineLevel="1"/>
    <row r="25" spans="2:16" ht="20.399999999999999">
      <c r="B25" s="529" t="s">
        <v>1728</v>
      </c>
      <c r="D25" s="551"/>
      <c r="E25" s="551"/>
      <c r="F25" s="551"/>
      <c r="G25" s="551"/>
      <c r="H25" s="551"/>
    </row>
    <row r="26" spans="2:16" ht="21" thickBot="1">
      <c r="B26" s="529" t="s">
        <v>1433</v>
      </c>
      <c r="C26" s="584" t="str">
        <f>多维联动分析!B8</f>
        <v>NO</v>
      </c>
      <c r="I26" s="380"/>
    </row>
    <row r="27" spans="2:16" s="723" customFormat="1" ht="15.6" outlineLevel="1">
      <c r="B27" s="719" t="s">
        <v>1419</v>
      </c>
      <c r="C27" s="720" t="s">
        <v>1433</v>
      </c>
      <c r="D27" s="720">
        <f>D3</f>
        <v>2018</v>
      </c>
      <c r="E27" s="720">
        <f t="shared" ref="E27:H27" si="3">E3</f>
        <v>2019</v>
      </c>
      <c r="F27" s="720">
        <f t="shared" si="3"/>
        <v>2020</v>
      </c>
      <c r="G27" s="720">
        <f t="shared" si="3"/>
        <v>2021</v>
      </c>
      <c r="H27" s="720">
        <f t="shared" si="3"/>
        <v>2022</v>
      </c>
      <c r="I27" s="721" t="s">
        <v>1460</v>
      </c>
      <c r="J27" s="722"/>
      <c r="K27" s="722"/>
    </row>
    <row r="28" spans="2:16" ht="15.6" outlineLevel="1">
      <c r="B28" s="552" t="s">
        <v>1461</v>
      </c>
      <c r="C28" s="553" t="s">
        <v>1437</v>
      </c>
      <c r="D28" s="554">
        <v>108.2588667273114</v>
      </c>
      <c r="E28" s="554">
        <v>107.98541832443092</v>
      </c>
      <c r="F28" s="554">
        <v>107.84142071872175</v>
      </c>
      <c r="G28" s="554">
        <v>107.7297858860301</v>
      </c>
      <c r="H28" s="554">
        <v>107.55342554150327</v>
      </c>
      <c r="I28" s="555">
        <f>SUM(D28:H28)-_xlfn.STDEV.P(D28:H28)</f>
        <v>539.13010207703758</v>
      </c>
    </row>
    <row r="29" spans="2:16" ht="15.6" outlineLevel="1">
      <c r="B29" s="552" t="s">
        <v>1205</v>
      </c>
      <c r="C29" s="556"/>
      <c r="D29" s="557">
        <f ca="1">国资委考核指标!G$9</f>
        <v>31.379227543914535</v>
      </c>
      <c r="E29" s="557">
        <f ca="1">国资委考核指标!H$9</f>
        <v>33.589492451987645</v>
      </c>
      <c r="F29" s="557">
        <f ca="1">国资委考核指标!I$9</f>
        <v>36.550563830357724</v>
      </c>
      <c r="G29" s="557">
        <f ca="1">国资委考核指标!J$9</f>
        <v>39.427679361125456</v>
      </c>
      <c r="H29" s="557">
        <f ca="1">国资委考核指标!K$9</f>
        <v>42.92256277473647</v>
      </c>
      <c r="I29" s="555">
        <f ca="1">SUM(D29:H29)</f>
        <v>183.86952596212183</v>
      </c>
    </row>
    <row r="30" spans="2:16" ht="15" outlineLevel="1">
      <c r="B30" s="558" t="s">
        <v>1462</v>
      </c>
      <c r="C30" s="556"/>
      <c r="D30" s="559">
        <v>50</v>
      </c>
      <c r="E30" s="559">
        <f>D30</f>
        <v>50</v>
      </c>
      <c r="F30" s="559">
        <f t="shared" ref="F30" si="4">E30</f>
        <v>50</v>
      </c>
      <c r="G30" s="559">
        <f t="shared" ref="G30" si="5">F30</f>
        <v>50</v>
      </c>
      <c r="H30" s="559">
        <v>70</v>
      </c>
      <c r="I30" s="560"/>
      <c r="J30" s="827"/>
      <c r="K30" s="829"/>
      <c r="L30" s="679"/>
      <c r="M30" s="679"/>
      <c r="N30" s="679"/>
      <c r="O30" s="679"/>
      <c r="P30" s="828"/>
    </row>
    <row r="31" spans="2:16" ht="15" outlineLevel="1">
      <c r="B31" s="558" t="s">
        <v>1463</v>
      </c>
      <c r="C31" s="556"/>
      <c r="D31" s="559">
        <v>30</v>
      </c>
      <c r="E31" s="559">
        <f>D31</f>
        <v>30</v>
      </c>
      <c r="F31" s="559">
        <v>30</v>
      </c>
      <c r="G31" s="559">
        <v>30</v>
      </c>
      <c r="H31" s="559">
        <v>30</v>
      </c>
      <c r="I31" s="560"/>
      <c r="J31" s="827"/>
      <c r="K31" s="829"/>
      <c r="L31" s="679"/>
      <c r="M31" s="679"/>
      <c r="N31" s="830"/>
      <c r="O31" s="679"/>
      <c r="P31" s="828"/>
    </row>
    <row r="32" spans="2:16" ht="15.6" outlineLevel="1">
      <c r="B32" s="552" t="s">
        <v>426</v>
      </c>
      <c r="C32" s="561"/>
      <c r="D32" s="562">
        <f ca="1">国资委考核指标!G$5</f>
        <v>0.30373616747300303</v>
      </c>
      <c r="E32" s="562">
        <f ca="1">国资委考核指标!H$5</f>
        <v>0.30520206782534742</v>
      </c>
      <c r="F32" s="562">
        <f ca="1">国资委考核指标!I$5</f>
        <v>0.30632105910564117</v>
      </c>
      <c r="G32" s="562">
        <f ca="1">国资委考核指标!J$5</f>
        <v>0.30704123380030457</v>
      </c>
      <c r="H32" s="562">
        <f ca="1">国资委考核指标!K$5</f>
        <v>0.30759530870891794</v>
      </c>
      <c r="I32" s="560"/>
      <c r="J32" s="827"/>
      <c r="K32" s="829"/>
      <c r="L32" s="679"/>
      <c r="M32" s="679"/>
      <c r="N32" s="830"/>
      <c r="O32" s="679"/>
      <c r="P32" s="828"/>
    </row>
    <row r="33" spans="2:16" ht="15" outlineLevel="1">
      <c r="B33" s="558" t="s">
        <v>1462</v>
      </c>
      <c r="C33" s="561"/>
      <c r="D33" s="563">
        <v>0.3</v>
      </c>
      <c r="E33" s="563">
        <v>0.3</v>
      </c>
      <c r="F33" s="563">
        <v>0.3</v>
      </c>
      <c r="G33" s="563">
        <v>0.3</v>
      </c>
      <c r="H33" s="563">
        <v>0.3</v>
      </c>
      <c r="I33" s="560"/>
      <c r="J33" s="827"/>
      <c r="K33" s="829"/>
      <c r="L33" s="679"/>
      <c r="M33" s="679"/>
      <c r="N33" s="679"/>
      <c r="O33" s="679"/>
      <c r="P33" s="828"/>
    </row>
    <row r="34" spans="2:16" ht="15" outlineLevel="1">
      <c r="B34" s="558" t="s">
        <v>1463</v>
      </c>
      <c r="C34" s="561"/>
      <c r="D34" s="563">
        <v>0.2</v>
      </c>
      <c r="E34" s="563">
        <f>D34</f>
        <v>0.2</v>
      </c>
      <c r="F34" s="563">
        <v>0.18</v>
      </c>
      <c r="G34" s="563">
        <v>0.18</v>
      </c>
      <c r="H34" s="563">
        <v>0.16</v>
      </c>
      <c r="I34" s="564"/>
      <c r="J34" s="827"/>
      <c r="K34" s="827"/>
      <c r="L34" s="828"/>
      <c r="M34" s="828"/>
      <c r="N34" s="828"/>
      <c r="O34" s="828"/>
      <c r="P34" s="828"/>
    </row>
    <row r="35" spans="2:16" ht="15.6" outlineLevel="1">
      <c r="B35" s="565" t="s">
        <v>1464</v>
      </c>
      <c r="C35" s="566"/>
      <c r="D35" s="577">
        <f ca="1">国资委考核指标!G$23</f>
        <v>-24.199425139865632</v>
      </c>
      <c r="E35" s="577">
        <f ca="1">国资委考核指标!H$23</f>
        <v>-25.168996008603905</v>
      </c>
      <c r="F35" s="577">
        <f ca="1">国资委考核指标!I$23</f>
        <v>-23.89796345004946</v>
      </c>
      <c r="G35" s="577">
        <f ca="1">国资委考核指标!J$23</f>
        <v>-22.388175295474618</v>
      </c>
      <c r="H35" s="577">
        <f ca="1">国资委考核指标!K$23</f>
        <v>-20.40207221658892</v>
      </c>
      <c r="I35" s="555">
        <f ca="1">SUM(D35:H35)</f>
        <v>-116.05663211058254</v>
      </c>
      <c r="J35" s="827"/>
      <c r="K35" s="827"/>
      <c r="L35" s="828"/>
      <c r="M35" s="828"/>
      <c r="N35" s="828"/>
      <c r="O35" s="828"/>
      <c r="P35" s="828"/>
    </row>
    <row r="36" spans="2:16" ht="15" outlineLevel="1">
      <c r="B36" s="558" t="s">
        <v>1462</v>
      </c>
      <c r="C36" s="566"/>
      <c r="D36" s="578">
        <v>10</v>
      </c>
      <c r="E36" s="578">
        <f>D36</f>
        <v>10</v>
      </c>
      <c r="F36" s="578">
        <f t="shared" ref="F36:F37" si="6">E36</f>
        <v>10</v>
      </c>
      <c r="G36" s="578">
        <f t="shared" ref="G36:G37" si="7">F36</f>
        <v>10</v>
      </c>
      <c r="H36" s="578">
        <f t="shared" ref="H36" si="8">G36</f>
        <v>10</v>
      </c>
      <c r="I36" s="560"/>
      <c r="J36" s="827"/>
      <c r="K36" s="827"/>
      <c r="L36" s="828"/>
      <c r="M36" s="828"/>
      <c r="N36" s="828"/>
      <c r="O36" s="828"/>
      <c r="P36" s="828"/>
    </row>
    <row r="37" spans="2:16" ht="15" outlineLevel="1">
      <c r="B37" s="558" t="s">
        <v>1463</v>
      </c>
      <c r="C37" s="566"/>
      <c r="D37" s="578">
        <v>-60</v>
      </c>
      <c r="E37" s="578">
        <f>D37</f>
        <v>-60</v>
      </c>
      <c r="F37" s="578">
        <f t="shared" si="6"/>
        <v>-60</v>
      </c>
      <c r="G37" s="578">
        <f t="shared" si="7"/>
        <v>-60</v>
      </c>
      <c r="H37" s="578">
        <v>-65</v>
      </c>
      <c r="I37" s="560"/>
      <c r="J37" s="827"/>
      <c r="K37" s="827"/>
      <c r="L37" s="828"/>
      <c r="M37" s="828"/>
      <c r="N37" s="828"/>
      <c r="O37" s="828"/>
      <c r="P37" s="828"/>
    </row>
    <row r="38" spans="2:16" ht="15.6" outlineLevel="1">
      <c r="B38" s="565"/>
      <c r="C38" s="567"/>
      <c r="D38" s="568"/>
      <c r="E38" s="568"/>
      <c r="F38" s="568"/>
      <c r="G38" s="568"/>
      <c r="H38" s="568"/>
      <c r="I38" s="555">
        <f>SUM(D38:H38)</f>
        <v>0</v>
      </c>
    </row>
    <row r="39" spans="2:16" ht="15.6" outlineLevel="1">
      <c r="B39" s="558" t="s">
        <v>1462</v>
      </c>
      <c r="C39" s="567"/>
      <c r="D39" s="559"/>
      <c r="E39" s="559"/>
      <c r="F39" s="559"/>
      <c r="G39" s="559"/>
      <c r="H39" s="559"/>
      <c r="I39" s="560"/>
    </row>
    <row r="40" spans="2:16" ht="15.6" outlineLevel="1">
      <c r="B40" s="558" t="s">
        <v>1463</v>
      </c>
      <c r="C40" s="567"/>
      <c r="D40" s="559"/>
      <c r="E40" s="559"/>
      <c r="F40" s="559"/>
      <c r="G40" s="559"/>
      <c r="H40" s="559"/>
      <c r="I40" s="560"/>
    </row>
    <row r="41" spans="2:16" ht="15.6" outlineLevel="1">
      <c r="B41" s="552"/>
      <c r="C41" s="7"/>
      <c r="D41" s="568"/>
      <c r="E41" s="568"/>
      <c r="F41" s="568"/>
      <c r="G41" s="568"/>
      <c r="H41" s="568"/>
      <c r="I41" s="555">
        <f>SUM(D41:H41)</f>
        <v>0</v>
      </c>
    </row>
    <row r="42" spans="2:16" ht="15" outlineLevel="1">
      <c r="B42" s="558" t="s">
        <v>1462</v>
      </c>
      <c r="C42" s="7"/>
      <c r="D42" s="569"/>
      <c r="E42" s="569"/>
      <c r="F42" s="569"/>
      <c r="G42" s="569"/>
      <c r="H42" s="569"/>
      <c r="I42" s="570"/>
    </row>
    <row r="43" spans="2:16" ht="15.6" outlineLevel="1" thickBot="1">
      <c r="B43" s="571" t="s">
        <v>1463</v>
      </c>
      <c r="C43" s="572"/>
      <c r="D43" s="573"/>
      <c r="E43" s="573"/>
      <c r="F43" s="573"/>
      <c r="G43" s="573"/>
      <c r="H43" s="573"/>
      <c r="I43" s="574"/>
    </row>
    <row r="44" spans="2:16" outlineLevel="1"/>
    <row r="45" spans="2:16" ht="16.2" outlineLevel="1">
      <c r="B45" s="575" t="s">
        <v>1467</v>
      </c>
    </row>
    <row r="46" spans="2:16" ht="15.6" outlineLevel="1">
      <c r="B46" s="576"/>
    </row>
    <row r="47" spans="2:16" outlineLevel="1"/>
    <row r="48" spans="2:16" outlineLevel="1"/>
    <row r="49" spans="2:11" ht="20.399999999999999">
      <c r="B49" s="529" t="s">
        <v>1729</v>
      </c>
      <c r="D49" s="551"/>
      <c r="E49" s="551"/>
      <c r="F49" s="551"/>
      <c r="G49" s="551"/>
      <c r="H49" s="551"/>
    </row>
    <row r="50" spans="2:11" ht="21" thickBot="1">
      <c r="B50" s="529" t="s">
        <v>1433</v>
      </c>
      <c r="C50" s="584" t="str">
        <f>多维联动分析!B9</f>
        <v>NO</v>
      </c>
      <c r="I50" s="380"/>
    </row>
    <row r="51" spans="2:11" s="723" customFormat="1" ht="15.6" outlineLevel="1">
      <c r="B51" s="719" t="s">
        <v>1419</v>
      </c>
      <c r="C51" s="720" t="s">
        <v>1433</v>
      </c>
      <c r="D51" s="720">
        <f>D27</f>
        <v>2018</v>
      </c>
      <c r="E51" s="720">
        <f t="shared" ref="E51:H51" si="9">E27</f>
        <v>2019</v>
      </c>
      <c r="F51" s="720">
        <f t="shared" si="9"/>
        <v>2020</v>
      </c>
      <c r="G51" s="720">
        <f t="shared" si="9"/>
        <v>2021</v>
      </c>
      <c r="H51" s="720">
        <f t="shared" si="9"/>
        <v>2022</v>
      </c>
      <c r="I51" s="721" t="s">
        <v>1460</v>
      </c>
      <c r="J51" s="722"/>
      <c r="K51" s="722"/>
    </row>
    <row r="52" spans="2:11" ht="15.6" outlineLevel="1">
      <c r="B52" s="552" t="s">
        <v>1461</v>
      </c>
      <c r="C52" s="553" t="s">
        <v>1437</v>
      </c>
      <c r="D52" s="554"/>
      <c r="E52" s="554"/>
      <c r="F52" s="554"/>
      <c r="G52" s="554"/>
      <c r="H52" s="554"/>
      <c r="I52" s="555" t="e">
        <f>SUM(D52:H52)-_xlfn.STDEV.P(D52:H52)</f>
        <v>#DIV/0!</v>
      </c>
    </row>
    <row r="53" spans="2:11" ht="15.6" outlineLevel="1">
      <c r="B53" s="552" t="s">
        <v>1205</v>
      </c>
      <c r="C53" s="556"/>
      <c r="D53" s="557">
        <f ca="1">国资委考核指标!G$9</f>
        <v>31.379227543914535</v>
      </c>
      <c r="E53" s="557">
        <f ca="1">国资委考核指标!H$9</f>
        <v>33.589492451987645</v>
      </c>
      <c r="F53" s="557">
        <f ca="1">国资委考核指标!I$9</f>
        <v>36.550563830357724</v>
      </c>
      <c r="G53" s="557">
        <f ca="1">国资委考核指标!J$9</f>
        <v>39.427679361125456</v>
      </c>
      <c r="H53" s="557">
        <f ca="1">国资委考核指标!K$9</f>
        <v>42.92256277473647</v>
      </c>
      <c r="I53" s="555">
        <f ca="1">SUM(D53:H53)</f>
        <v>183.86952596212183</v>
      </c>
    </row>
    <row r="54" spans="2:11" ht="15" outlineLevel="1">
      <c r="B54" s="558" t="s">
        <v>1462</v>
      </c>
      <c r="C54" s="556"/>
      <c r="D54" s="559"/>
      <c r="E54" s="559"/>
      <c r="F54" s="559"/>
      <c r="G54" s="559"/>
      <c r="H54" s="559"/>
      <c r="I54" s="560"/>
    </row>
    <row r="55" spans="2:11" ht="15" outlineLevel="1">
      <c r="B55" s="558" t="s">
        <v>1463</v>
      </c>
      <c r="C55" s="556"/>
      <c r="D55" s="559">
        <v>30</v>
      </c>
      <c r="E55" s="559">
        <v>30</v>
      </c>
      <c r="F55" s="559">
        <v>30</v>
      </c>
      <c r="G55" s="559">
        <v>30</v>
      </c>
      <c r="H55" s="559">
        <v>30</v>
      </c>
      <c r="I55" s="560"/>
    </row>
    <row r="56" spans="2:11" ht="15.6" outlineLevel="1">
      <c r="B56" s="552" t="s">
        <v>426</v>
      </c>
      <c r="C56" s="561"/>
      <c r="D56" s="562">
        <f ca="1">国资委考核指标!G$5</f>
        <v>0.30373616747300303</v>
      </c>
      <c r="E56" s="562">
        <f ca="1">国资委考核指标!H$5</f>
        <v>0.30520206782534742</v>
      </c>
      <c r="F56" s="562">
        <f ca="1">国资委考核指标!I$5</f>
        <v>0.30632105910564117</v>
      </c>
      <c r="G56" s="562">
        <f ca="1">国资委考核指标!J$5</f>
        <v>0.30704123380030457</v>
      </c>
      <c r="H56" s="562">
        <f ca="1">国资委考核指标!K$5</f>
        <v>0.30759530870891794</v>
      </c>
      <c r="I56" s="560"/>
    </row>
    <row r="57" spans="2:11" ht="15" outlineLevel="1">
      <c r="B57" s="558" t="s">
        <v>1462</v>
      </c>
      <c r="C57" s="561"/>
      <c r="D57" s="563">
        <v>0.3</v>
      </c>
      <c r="E57" s="563">
        <v>0.3</v>
      </c>
      <c r="F57" s="563">
        <v>0.3</v>
      </c>
      <c r="G57" s="563">
        <v>0.3</v>
      </c>
      <c r="H57" s="563">
        <v>0.3</v>
      </c>
      <c r="I57" s="560"/>
    </row>
    <row r="58" spans="2:11" ht="15" outlineLevel="1">
      <c r="B58" s="558" t="s">
        <v>1463</v>
      </c>
      <c r="C58" s="561"/>
      <c r="D58" s="563"/>
      <c r="E58" s="563"/>
      <c r="F58" s="563"/>
      <c r="G58" s="563"/>
      <c r="H58" s="563"/>
      <c r="I58" s="564"/>
    </row>
    <row r="59" spans="2:11" ht="15.6" outlineLevel="1">
      <c r="B59" s="565" t="s">
        <v>1464</v>
      </c>
      <c r="C59" s="566"/>
      <c r="D59" s="577">
        <f ca="1">国资委考核指标!G$23</f>
        <v>-24.199425139865632</v>
      </c>
      <c r="E59" s="577">
        <f ca="1">国资委考核指标!H$23</f>
        <v>-25.168996008603905</v>
      </c>
      <c r="F59" s="577">
        <f ca="1">国资委考核指标!I$23</f>
        <v>-23.89796345004946</v>
      </c>
      <c r="G59" s="577">
        <f ca="1">国资委考核指标!J$23</f>
        <v>-22.388175295474618</v>
      </c>
      <c r="H59" s="577">
        <f ca="1">国资委考核指标!K$23</f>
        <v>-20.40207221658892</v>
      </c>
      <c r="I59" s="555">
        <f ca="1">SUM(D59:H59)</f>
        <v>-116.05663211058254</v>
      </c>
    </row>
    <row r="60" spans="2:11" ht="15" outlineLevel="1">
      <c r="B60" s="558" t="s">
        <v>1462</v>
      </c>
      <c r="C60" s="566"/>
      <c r="D60" s="578"/>
      <c r="E60" s="578"/>
      <c r="F60" s="578"/>
      <c r="G60" s="578"/>
      <c r="H60" s="578"/>
      <c r="I60" s="560"/>
    </row>
    <row r="61" spans="2:11" ht="15" outlineLevel="1">
      <c r="B61" s="558" t="s">
        <v>1463</v>
      </c>
      <c r="C61" s="566"/>
      <c r="D61" s="578"/>
      <c r="E61" s="578"/>
      <c r="F61" s="578"/>
      <c r="G61" s="578"/>
      <c r="H61" s="578"/>
      <c r="I61" s="560"/>
    </row>
    <row r="62" spans="2:11" ht="15.6" outlineLevel="1">
      <c r="B62" s="565"/>
      <c r="C62" s="567"/>
      <c r="D62" s="568"/>
      <c r="E62" s="568"/>
      <c r="F62" s="568"/>
      <c r="G62" s="568"/>
      <c r="H62" s="568"/>
      <c r="I62" s="555">
        <f>SUM(D62:H62)</f>
        <v>0</v>
      </c>
    </row>
    <row r="63" spans="2:11" ht="15.6" outlineLevel="1">
      <c r="B63" s="558" t="s">
        <v>1462</v>
      </c>
      <c r="C63" s="567"/>
      <c r="D63" s="559"/>
      <c r="E63" s="559"/>
      <c r="F63" s="559"/>
      <c r="G63" s="559"/>
      <c r="H63" s="559"/>
      <c r="I63" s="560"/>
    </row>
    <row r="64" spans="2:11" ht="15.6" outlineLevel="1">
      <c r="B64" s="558" t="s">
        <v>1463</v>
      </c>
      <c r="C64" s="567"/>
      <c r="D64" s="559"/>
      <c r="E64" s="559"/>
      <c r="F64" s="559"/>
      <c r="G64" s="559"/>
      <c r="H64" s="559"/>
      <c r="I64" s="560"/>
    </row>
    <row r="65" spans="2:11" ht="15.6" outlineLevel="1">
      <c r="B65" s="552"/>
      <c r="C65" s="7"/>
      <c r="D65" s="568"/>
      <c r="E65" s="568"/>
      <c r="F65" s="568"/>
      <c r="G65" s="568"/>
      <c r="H65" s="568"/>
      <c r="I65" s="555">
        <f>SUM(D65:H65)</f>
        <v>0</v>
      </c>
    </row>
    <row r="66" spans="2:11" ht="15" outlineLevel="1">
      <c r="B66" s="558" t="s">
        <v>1462</v>
      </c>
      <c r="C66" s="7"/>
      <c r="D66" s="569"/>
      <c r="E66" s="569"/>
      <c r="F66" s="569"/>
      <c r="G66" s="569"/>
      <c r="H66" s="569"/>
      <c r="I66" s="570"/>
    </row>
    <row r="67" spans="2:11" ht="15.6" outlineLevel="1" thickBot="1">
      <c r="B67" s="571" t="s">
        <v>1463</v>
      </c>
      <c r="C67" s="572"/>
      <c r="D67" s="573"/>
      <c r="E67" s="573"/>
      <c r="F67" s="573"/>
      <c r="G67" s="573"/>
      <c r="H67" s="573"/>
      <c r="I67" s="574"/>
    </row>
    <row r="68" spans="2:11" outlineLevel="1"/>
    <row r="69" spans="2:11" ht="16.2" outlineLevel="1">
      <c r="B69" s="575" t="s">
        <v>1467</v>
      </c>
    </row>
    <row r="70" spans="2:11" ht="15.6" outlineLevel="1">
      <c r="B70" s="576"/>
    </row>
    <row r="71" spans="2:11" outlineLevel="1"/>
    <row r="72" spans="2:11" outlineLevel="1"/>
    <row r="73" spans="2:11" ht="20.399999999999999">
      <c r="B73" s="529" t="s">
        <v>1730</v>
      </c>
      <c r="D73" s="551"/>
      <c r="E73" s="551"/>
      <c r="F73" s="551"/>
      <c r="G73" s="551"/>
      <c r="H73" s="551"/>
    </row>
    <row r="74" spans="2:11" ht="21" thickBot="1">
      <c r="B74" s="529" t="s">
        <v>1433</v>
      </c>
      <c r="C74" s="584" t="str">
        <f>多维联动分析!B10</f>
        <v>NO</v>
      </c>
      <c r="I74" s="380"/>
    </row>
    <row r="75" spans="2:11" s="723" customFormat="1" ht="15.6" outlineLevel="1">
      <c r="B75" s="719" t="s">
        <v>1419</v>
      </c>
      <c r="C75" s="720" t="s">
        <v>1433</v>
      </c>
      <c r="D75" s="720">
        <f>D51</f>
        <v>2018</v>
      </c>
      <c r="E75" s="720">
        <f t="shared" ref="E75:H75" si="10">E51</f>
        <v>2019</v>
      </c>
      <c r="F75" s="720">
        <f t="shared" si="10"/>
        <v>2020</v>
      </c>
      <c r="G75" s="720">
        <f t="shared" si="10"/>
        <v>2021</v>
      </c>
      <c r="H75" s="720">
        <f t="shared" si="10"/>
        <v>2022</v>
      </c>
      <c r="I75" s="721" t="s">
        <v>1460</v>
      </c>
      <c r="J75" s="722"/>
      <c r="K75" s="722"/>
    </row>
    <row r="76" spans="2:11" ht="15.6" outlineLevel="1">
      <c r="B76" s="552" t="s">
        <v>1461</v>
      </c>
      <c r="C76" s="553" t="s">
        <v>1437</v>
      </c>
      <c r="D76" s="554"/>
      <c r="E76" s="554"/>
      <c r="F76" s="554"/>
      <c r="G76" s="554"/>
      <c r="H76" s="554"/>
      <c r="I76" s="555" t="e">
        <f>SUM(D76:H76)-_xlfn.STDEV.P(D76:H76)</f>
        <v>#DIV/0!</v>
      </c>
    </row>
    <row r="77" spans="2:11" ht="15.6" outlineLevel="1">
      <c r="B77" s="552" t="s">
        <v>1205</v>
      </c>
      <c r="C77" s="556"/>
      <c r="D77" s="557">
        <f ca="1">国资委考核指标!G$9</f>
        <v>31.379227543914535</v>
      </c>
      <c r="E77" s="557">
        <f ca="1">国资委考核指标!H$9</f>
        <v>33.589492451987645</v>
      </c>
      <c r="F77" s="557">
        <f ca="1">国资委考核指标!I$9</f>
        <v>36.550563830357724</v>
      </c>
      <c r="G77" s="557">
        <f ca="1">国资委考核指标!J$9</f>
        <v>39.427679361125456</v>
      </c>
      <c r="H77" s="557">
        <f ca="1">国资委考核指标!K$9</f>
        <v>42.92256277473647</v>
      </c>
      <c r="I77" s="555">
        <f ca="1">SUM(D77:H77)</f>
        <v>183.86952596212183</v>
      </c>
    </row>
    <row r="78" spans="2:11" ht="15" outlineLevel="1">
      <c r="B78" s="558" t="s">
        <v>1462</v>
      </c>
      <c r="C78" s="556"/>
      <c r="D78" s="559"/>
      <c r="E78" s="559"/>
      <c r="F78" s="559"/>
      <c r="G78" s="559"/>
      <c r="H78" s="559"/>
      <c r="I78" s="560"/>
    </row>
    <row r="79" spans="2:11" ht="15" outlineLevel="1">
      <c r="B79" s="558" t="s">
        <v>1463</v>
      </c>
      <c r="C79" s="556"/>
      <c r="D79" s="559">
        <v>30</v>
      </c>
      <c r="E79" s="559">
        <v>30</v>
      </c>
      <c r="F79" s="559">
        <v>30</v>
      </c>
      <c r="G79" s="559">
        <v>30</v>
      </c>
      <c r="H79" s="559">
        <v>30</v>
      </c>
      <c r="I79" s="560"/>
    </row>
    <row r="80" spans="2:11" ht="15.6" outlineLevel="1">
      <c r="B80" s="552" t="s">
        <v>426</v>
      </c>
      <c r="C80" s="561"/>
      <c r="D80" s="562">
        <f ca="1">国资委考核指标!G$5</f>
        <v>0.30373616747300303</v>
      </c>
      <c r="E80" s="562">
        <f ca="1">国资委考核指标!H$5</f>
        <v>0.30520206782534742</v>
      </c>
      <c r="F80" s="562">
        <f ca="1">国资委考核指标!I$5</f>
        <v>0.30632105910564117</v>
      </c>
      <c r="G80" s="562">
        <f ca="1">国资委考核指标!J$5</f>
        <v>0.30704123380030457</v>
      </c>
      <c r="H80" s="562">
        <f ca="1">国资委考核指标!K$5</f>
        <v>0.30759530870891794</v>
      </c>
      <c r="I80" s="560"/>
    </row>
    <row r="81" spans="2:9" ht="15" outlineLevel="1">
      <c r="B81" s="558" t="s">
        <v>1462</v>
      </c>
      <c r="C81" s="561"/>
      <c r="D81" s="563">
        <v>0.3</v>
      </c>
      <c r="E81" s="563">
        <v>0.3</v>
      </c>
      <c r="F81" s="563">
        <v>0.3</v>
      </c>
      <c r="G81" s="563">
        <v>0.3</v>
      </c>
      <c r="H81" s="563">
        <v>0.3</v>
      </c>
      <c r="I81" s="560"/>
    </row>
    <row r="82" spans="2:9" ht="15" outlineLevel="1">
      <c r="B82" s="558" t="s">
        <v>1463</v>
      </c>
      <c r="C82" s="561"/>
      <c r="D82" s="563"/>
      <c r="E82" s="563"/>
      <c r="F82" s="563"/>
      <c r="G82" s="563"/>
      <c r="H82" s="563"/>
      <c r="I82" s="564"/>
    </row>
    <row r="83" spans="2:9" ht="15.6" outlineLevel="1">
      <c r="B83" s="565" t="s">
        <v>1464</v>
      </c>
      <c r="C83" s="566"/>
      <c r="D83" s="577">
        <f ca="1">国资委考核指标!G$23</f>
        <v>-24.199425139865632</v>
      </c>
      <c r="E83" s="577">
        <f ca="1">国资委考核指标!H$23</f>
        <v>-25.168996008603905</v>
      </c>
      <c r="F83" s="577">
        <f ca="1">国资委考核指标!I$23</f>
        <v>-23.89796345004946</v>
      </c>
      <c r="G83" s="577">
        <f ca="1">国资委考核指标!J$23</f>
        <v>-22.388175295474618</v>
      </c>
      <c r="H83" s="577">
        <f ca="1">国资委考核指标!K$23</f>
        <v>-20.40207221658892</v>
      </c>
      <c r="I83" s="555">
        <f ca="1">SUM(D83:H83)</f>
        <v>-116.05663211058254</v>
      </c>
    </row>
    <row r="84" spans="2:9" ht="15" outlineLevel="1">
      <c r="B84" s="558" t="s">
        <v>1462</v>
      </c>
      <c r="C84" s="566"/>
      <c r="D84" s="578"/>
      <c r="E84" s="578"/>
      <c r="F84" s="578"/>
      <c r="G84" s="578"/>
      <c r="H84" s="578"/>
      <c r="I84" s="560"/>
    </row>
    <row r="85" spans="2:9" ht="15" outlineLevel="1">
      <c r="B85" s="558" t="s">
        <v>1463</v>
      </c>
      <c r="C85" s="566"/>
      <c r="D85" s="578"/>
      <c r="E85" s="578"/>
      <c r="F85" s="578"/>
      <c r="G85" s="578"/>
      <c r="H85" s="578"/>
      <c r="I85" s="560"/>
    </row>
    <row r="86" spans="2:9" ht="15.6" outlineLevel="1">
      <c r="B86" s="565"/>
      <c r="C86" s="567"/>
      <c r="D86" s="568"/>
      <c r="E86" s="568"/>
      <c r="F86" s="568"/>
      <c r="G86" s="568"/>
      <c r="H86" s="568"/>
      <c r="I86" s="555">
        <f>SUM(D86:H86)</f>
        <v>0</v>
      </c>
    </row>
    <row r="87" spans="2:9" ht="15.6" outlineLevel="1">
      <c r="B87" s="558" t="s">
        <v>1462</v>
      </c>
      <c r="C87" s="567"/>
      <c r="D87" s="559"/>
      <c r="E87" s="559"/>
      <c r="F87" s="559"/>
      <c r="G87" s="559"/>
      <c r="H87" s="559"/>
      <c r="I87" s="560"/>
    </row>
    <row r="88" spans="2:9" ht="15.6" outlineLevel="1">
      <c r="B88" s="558" t="s">
        <v>1463</v>
      </c>
      <c r="C88" s="567"/>
      <c r="D88" s="559"/>
      <c r="E88" s="559"/>
      <c r="F88" s="559"/>
      <c r="G88" s="559"/>
      <c r="H88" s="559"/>
      <c r="I88" s="560"/>
    </row>
    <row r="89" spans="2:9" ht="15.6" outlineLevel="1">
      <c r="B89" s="552"/>
      <c r="C89" s="7"/>
      <c r="D89" s="568"/>
      <c r="E89" s="568"/>
      <c r="F89" s="568"/>
      <c r="G89" s="568"/>
      <c r="H89" s="568"/>
      <c r="I89" s="555">
        <f>SUM(D89:H89)</f>
        <v>0</v>
      </c>
    </row>
    <row r="90" spans="2:9" ht="15" outlineLevel="1">
      <c r="B90" s="558" t="s">
        <v>1462</v>
      </c>
      <c r="C90" s="7"/>
      <c r="D90" s="569"/>
      <c r="E90" s="569"/>
      <c r="F90" s="569"/>
      <c r="G90" s="569"/>
      <c r="H90" s="569"/>
      <c r="I90" s="570"/>
    </row>
    <row r="91" spans="2:9" ht="15.6" outlineLevel="1" thickBot="1">
      <c r="B91" s="571" t="s">
        <v>1463</v>
      </c>
      <c r="C91" s="572"/>
      <c r="D91" s="573"/>
      <c r="E91" s="573"/>
      <c r="F91" s="573"/>
      <c r="G91" s="573"/>
      <c r="H91" s="573"/>
      <c r="I91" s="574"/>
    </row>
    <row r="92" spans="2:9" outlineLevel="1"/>
    <row r="93" spans="2:9" ht="16.2" outlineLevel="1">
      <c r="B93" s="575" t="s">
        <v>1467</v>
      </c>
    </row>
    <row r="94" spans="2:9" ht="15.6" outlineLevel="1">
      <c r="B94" s="576"/>
    </row>
    <row r="95" spans="2:9" outlineLevel="1"/>
    <row r="96" spans="2:9" outlineLevel="1"/>
  </sheetData>
  <phoneticPr fontId="20" type="noConversion"/>
  <dataValidations count="1">
    <dataValidation type="list" allowBlank="1" showInputMessage="1" showErrorMessage="1" sqref="C74 C26 C50" xr:uid="{00000000-0002-0000-0C00-000000000000}">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9329" r:id="rId3" name="Button 1">
              <controlPr defaultSize="0" print="0" autoPict="0" macro="[0]!场景5">
                <anchor moveWithCells="1" sizeWithCells="1">
                  <from>
                    <xdr:col>9</xdr:col>
                    <xdr:colOff>121920</xdr:colOff>
                    <xdr:row>2</xdr:row>
                    <xdr:rowOff>114300</xdr:rowOff>
                  </from>
                  <to>
                    <xdr:col>10</xdr:col>
                    <xdr:colOff>617220</xdr:colOff>
                    <xdr:row>3</xdr:row>
                    <xdr:rowOff>182880</xdr:rowOff>
                  </to>
                </anchor>
              </controlPr>
            </control>
          </mc:Choice>
        </mc:AlternateContent>
        <mc:AlternateContent xmlns:mc="http://schemas.openxmlformats.org/markup-compatibility/2006">
          <mc:Choice Requires="x14">
            <control shapeId="99333" r:id="rId4" name="Button 5">
              <controlPr defaultSize="0" print="0" autoPict="0" macro="[0]!场景6">
                <anchor moveWithCells="1" sizeWithCells="1">
                  <from>
                    <xdr:col>9</xdr:col>
                    <xdr:colOff>121920</xdr:colOff>
                    <xdr:row>26</xdr:row>
                    <xdr:rowOff>114300</xdr:rowOff>
                  </from>
                  <to>
                    <xdr:col>10</xdr:col>
                    <xdr:colOff>617220</xdr:colOff>
                    <xdr:row>27</xdr:row>
                    <xdr:rowOff>182880</xdr:rowOff>
                  </to>
                </anchor>
              </controlPr>
            </control>
          </mc:Choice>
        </mc:AlternateContent>
        <mc:AlternateContent xmlns:mc="http://schemas.openxmlformats.org/markup-compatibility/2006">
          <mc:Choice Requires="x14">
            <control shapeId="99337" r:id="rId5" name="Button 9">
              <controlPr defaultSize="0" print="0" autoPict="0" macro="[0]!场景7">
                <anchor moveWithCells="1" sizeWithCells="1">
                  <from>
                    <xdr:col>9</xdr:col>
                    <xdr:colOff>121920</xdr:colOff>
                    <xdr:row>50</xdr:row>
                    <xdr:rowOff>114300</xdr:rowOff>
                  </from>
                  <to>
                    <xdr:col>10</xdr:col>
                    <xdr:colOff>617220</xdr:colOff>
                    <xdr:row>51</xdr:row>
                    <xdr:rowOff>182880</xdr:rowOff>
                  </to>
                </anchor>
              </controlPr>
            </control>
          </mc:Choice>
        </mc:AlternateContent>
        <mc:AlternateContent xmlns:mc="http://schemas.openxmlformats.org/markup-compatibility/2006">
          <mc:Choice Requires="x14">
            <control shapeId="99340" r:id="rId6" name="Button 12">
              <controlPr defaultSize="0" print="0" autoPict="0" macro="[0]!场景8">
                <anchor moveWithCells="1" sizeWithCells="1">
                  <from>
                    <xdr:col>9</xdr:col>
                    <xdr:colOff>121920</xdr:colOff>
                    <xdr:row>74</xdr:row>
                    <xdr:rowOff>114300</xdr:rowOff>
                  </from>
                  <to>
                    <xdr:col>10</xdr:col>
                    <xdr:colOff>617220</xdr:colOff>
                    <xdr:row>75</xdr:row>
                    <xdr:rowOff>182880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9" tint="0.59999389629810485"/>
    <pageSetUpPr fitToPage="1"/>
  </sheetPr>
  <dimension ref="A1:N58"/>
  <sheetViews>
    <sheetView showGridLines="0" zoomScale="80" zoomScaleNormal="80" workbookViewId="0">
      <pane xSplit="2" ySplit="15" topLeftCell="C16" activePane="bottomRight" state="frozen"/>
      <selection activeCell="K8" sqref="K8"/>
      <selection pane="topRight" activeCell="K8" sqref="K8"/>
      <selection pane="bottomLeft" activeCell="K8" sqref="K8"/>
      <selection pane="bottomRight" activeCell="I18" sqref="I18"/>
    </sheetView>
  </sheetViews>
  <sheetFormatPr defaultColWidth="8.88671875" defaultRowHeight="14.4" outlineLevelRow="1"/>
  <cols>
    <col min="1" max="1" width="2.6640625" style="117" customWidth="1"/>
    <col min="2" max="2" width="49.6640625" style="117" customWidth="1"/>
    <col min="3" max="3" width="15.109375" style="174" bestFit="1" customWidth="1"/>
    <col min="4" max="6" width="11.77734375" style="117" customWidth="1"/>
    <col min="7" max="10" width="14.77734375" style="117" customWidth="1"/>
    <col min="11" max="11" width="11.77734375" style="117" customWidth="1"/>
    <col min="12" max="13" width="12.77734375" style="117" customWidth="1"/>
    <col min="14" max="14" width="9.21875" style="117" bestFit="1" customWidth="1"/>
    <col min="15" max="15" width="9.88671875" style="117" bestFit="1" customWidth="1"/>
    <col min="16" max="16384" width="8.88671875" style="117"/>
  </cols>
  <sheetData>
    <row r="1" spans="1:14" ht="19.95" customHeight="1">
      <c r="A1" s="160"/>
      <c r="B1" s="161" t="s">
        <v>415</v>
      </c>
      <c r="C1" s="162"/>
      <c r="D1" s="261"/>
      <c r="E1" s="261"/>
      <c r="F1" s="261"/>
      <c r="G1" s="160"/>
      <c r="H1" s="160"/>
      <c r="I1" s="160"/>
      <c r="J1" s="160"/>
      <c r="K1" s="160"/>
    </row>
    <row r="2" spans="1:14" ht="26.4" customHeight="1">
      <c r="A2" s="163"/>
      <c r="B2" s="164" t="str">
        <f>CONCATENATE(测算年份,"年核心假设参数调整项")</f>
        <v>2018年核心假设参数调整项</v>
      </c>
      <c r="C2" s="165" t="s">
        <v>1220</v>
      </c>
      <c r="D2" s="2471" t="s">
        <v>416</v>
      </c>
      <c r="E2" s="2471"/>
      <c r="F2" s="2471"/>
      <c r="G2" s="166" t="s">
        <v>1254</v>
      </c>
      <c r="H2" s="166" t="s">
        <v>1255</v>
      </c>
      <c r="I2" s="2476" t="s">
        <v>432</v>
      </c>
      <c r="J2" s="2476"/>
      <c r="K2" s="193"/>
    </row>
    <row r="3" spans="1:14" ht="18.600000000000001" customHeight="1">
      <c r="A3" s="167"/>
      <c r="B3" s="168" t="s">
        <v>421</v>
      </c>
      <c r="C3" s="189">
        <v>0</v>
      </c>
      <c r="D3" s="588">
        <v>10000</v>
      </c>
      <c r="E3" s="262"/>
      <c r="F3" s="260"/>
      <c r="G3" s="444">
        <v>5227.9000000000005</v>
      </c>
      <c r="H3" s="445">
        <f>固定资产结构及折旧参数!C70</f>
        <v>150.09303532984927</v>
      </c>
      <c r="I3" s="2477" t="s">
        <v>1224</v>
      </c>
      <c r="J3" s="2477"/>
      <c r="K3" s="194"/>
      <c r="M3" s="268"/>
    </row>
    <row r="4" spans="1:14" ht="18.600000000000001" customHeight="1">
      <c r="A4" s="167"/>
      <c r="B4" s="168" t="s">
        <v>430</v>
      </c>
      <c r="C4" s="169">
        <f t="shared" ref="C4:C11" si="0">(D4-100)/100</f>
        <v>0</v>
      </c>
      <c r="D4" s="588">
        <v>100</v>
      </c>
      <c r="E4" s="262"/>
      <c r="F4" s="260"/>
      <c r="G4" s="421">
        <v>5.0458123628855267E-2</v>
      </c>
      <c r="H4" s="188">
        <f>假设!G7+售电量变动</f>
        <v>2.0502245854707724E-2</v>
      </c>
      <c r="I4" s="2477" t="s">
        <v>1221</v>
      </c>
      <c r="J4" s="2477"/>
      <c r="K4" s="194"/>
      <c r="M4" s="269"/>
    </row>
    <row r="5" spans="1:14" ht="18.600000000000001" customHeight="1">
      <c r="A5" s="167"/>
      <c r="B5" s="168" t="s">
        <v>1191</v>
      </c>
      <c r="C5" s="189">
        <f>(D5-200)/10</f>
        <v>0</v>
      </c>
      <c r="D5" s="588">
        <v>200</v>
      </c>
      <c r="E5" s="262"/>
      <c r="F5" s="260"/>
      <c r="G5" s="420">
        <v>198.25</v>
      </c>
      <c r="H5" s="186">
        <f>假设!G20+输配电价变动</f>
        <v>219.2</v>
      </c>
      <c r="I5" s="2477" t="s">
        <v>1218</v>
      </c>
      <c r="J5" s="2477"/>
      <c r="K5" s="194"/>
      <c r="M5" s="269"/>
    </row>
    <row r="6" spans="1:14" ht="18.600000000000001" customHeight="1">
      <c r="A6" s="167"/>
      <c r="B6" s="168" t="s">
        <v>422</v>
      </c>
      <c r="C6" s="169">
        <f t="shared" si="0"/>
        <v>0</v>
      </c>
      <c r="D6" s="588">
        <v>100</v>
      </c>
      <c r="E6" s="262"/>
      <c r="F6" s="260"/>
      <c r="G6" s="421">
        <v>7.0500917781901762E-2</v>
      </c>
      <c r="H6" s="188">
        <f ca="1">固定资产结构及折旧参数!F35</f>
        <v>6.0979590666698502E-2</v>
      </c>
      <c r="I6" s="2477" t="s">
        <v>653</v>
      </c>
      <c r="J6" s="2477"/>
      <c r="K6" s="194"/>
    </row>
    <row r="7" spans="1:14" ht="18.600000000000001" customHeight="1">
      <c r="A7" s="167"/>
      <c r="B7" s="168" t="s">
        <v>1189</v>
      </c>
      <c r="C7" s="169">
        <f t="shared" si="0"/>
        <v>0</v>
      </c>
      <c r="D7" s="588">
        <v>100</v>
      </c>
      <c r="E7" s="262"/>
      <c r="F7" s="260"/>
      <c r="G7" s="421">
        <v>2.1736999999999999E-2</v>
      </c>
      <c r="H7" s="2069" t="e">
        <f>实际收入!#REF!</f>
        <v>#REF!</v>
      </c>
      <c r="I7" s="2477" t="s">
        <v>654</v>
      </c>
      <c r="J7" s="2477"/>
      <c r="K7" s="194"/>
    </row>
    <row r="8" spans="1:14" ht="18.600000000000001" hidden="1" customHeight="1" outlineLevel="1">
      <c r="A8" s="167"/>
      <c r="B8" s="168" t="s">
        <v>431</v>
      </c>
      <c r="C8" s="169">
        <f t="shared" si="0"/>
        <v>0</v>
      </c>
      <c r="D8" s="167">
        <v>100</v>
      </c>
      <c r="E8" s="167"/>
      <c r="F8" s="170"/>
      <c r="G8" s="170"/>
      <c r="H8" s="171"/>
      <c r="I8" s="171"/>
      <c r="J8" s="171"/>
      <c r="K8" s="171"/>
    </row>
    <row r="9" spans="1:14" ht="18.600000000000001" hidden="1" customHeight="1" outlineLevel="1">
      <c r="A9" s="167"/>
      <c r="B9" s="168" t="s">
        <v>423</v>
      </c>
      <c r="C9" s="169">
        <f t="shared" si="0"/>
        <v>0</v>
      </c>
      <c r="D9" s="167">
        <v>100</v>
      </c>
      <c r="E9" s="167"/>
      <c r="F9" s="170"/>
      <c r="G9" s="170"/>
      <c r="H9" s="175"/>
      <c r="I9" s="175"/>
      <c r="J9" s="171"/>
      <c r="K9" s="171"/>
    </row>
    <row r="10" spans="1:14" ht="18.600000000000001" hidden="1" customHeight="1" outlineLevel="1">
      <c r="A10" s="167"/>
      <c r="B10" s="168" t="s">
        <v>424</v>
      </c>
      <c r="C10" s="169">
        <f t="shared" si="0"/>
        <v>0</v>
      </c>
      <c r="D10" s="167">
        <v>100</v>
      </c>
      <c r="E10" s="167"/>
      <c r="F10" s="170"/>
      <c r="G10" s="170"/>
      <c r="H10" s="175"/>
      <c r="I10" s="175"/>
      <c r="J10" s="171"/>
      <c r="K10" s="171"/>
    </row>
    <row r="11" spans="1:14" ht="18.600000000000001" hidden="1" customHeight="1" outlineLevel="1">
      <c r="A11" s="167"/>
      <c r="B11" s="168" t="s">
        <v>425</v>
      </c>
      <c r="C11" s="169">
        <f t="shared" si="0"/>
        <v>0</v>
      </c>
      <c r="D11" s="167">
        <v>100</v>
      </c>
      <c r="E11" s="167"/>
      <c r="F11" s="170"/>
      <c r="G11" s="170"/>
      <c r="H11" s="175"/>
      <c r="I11" s="175"/>
      <c r="J11" s="171"/>
      <c r="K11" s="171"/>
    </row>
    <row r="12" spans="1:14" ht="18.600000000000001" customHeight="1" collapsed="1">
      <c r="A12" s="167"/>
      <c r="B12" s="168"/>
      <c r="C12" s="267"/>
      <c r="D12" s="167"/>
      <c r="E12" s="167"/>
      <c r="F12" s="170"/>
      <c r="G12" s="170"/>
      <c r="H12" s="175"/>
      <c r="I12" s="175"/>
      <c r="J12" s="171"/>
      <c r="K12" s="171"/>
    </row>
    <row r="13" spans="1:14" ht="15.6">
      <c r="A13" s="167"/>
      <c r="B13" s="172"/>
      <c r="C13" s="267"/>
      <c r="D13" s="268"/>
      <c r="E13" s="167"/>
      <c r="F13" s="167"/>
      <c r="G13" s="167"/>
      <c r="H13" s="167"/>
      <c r="I13" s="167"/>
      <c r="J13" s="167"/>
      <c r="K13" s="167"/>
    </row>
    <row r="14" spans="1:14">
      <c r="A14" s="92"/>
      <c r="B14" s="2472" t="s">
        <v>417</v>
      </c>
      <c r="C14" s="173"/>
      <c r="D14" s="2473" t="s">
        <v>418</v>
      </c>
      <c r="E14" s="2473"/>
      <c r="F14" s="2473"/>
      <c r="G14" s="945" t="s">
        <v>419</v>
      </c>
      <c r="H14"/>
      <c r="I14"/>
      <c r="J14"/>
      <c r="K14"/>
      <c r="L14"/>
      <c r="M14"/>
    </row>
    <row r="15" spans="1:14" s="875" customFormat="1">
      <c r="A15" s="874"/>
      <c r="B15" s="2472"/>
      <c r="C15" s="941">
        <f>D15-1</f>
        <v>2014</v>
      </c>
      <c r="D15" s="941">
        <f>E15-1</f>
        <v>2015</v>
      </c>
      <c r="E15" s="941">
        <f>F15-1</f>
        <v>2016</v>
      </c>
      <c r="F15" s="941">
        <f>G15-1</f>
        <v>2017</v>
      </c>
      <c r="G15" s="942">
        <f>测算年份</f>
        <v>2018</v>
      </c>
      <c r="H15"/>
      <c r="I15"/>
      <c r="J15"/>
      <c r="K15"/>
      <c r="L15"/>
      <c r="M15"/>
    </row>
    <row r="16" spans="1:14">
      <c r="B16" s="117" t="s">
        <v>420</v>
      </c>
      <c r="C16" s="414">
        <f>损益表!C18</f>
        <v>33.208477225300001</v>
      </c>
      <c r="D16" s="414">
        <f>损益表!D18</f>
        <v>29.409058234699998</v>
      </c>
      <c r="E16" s="414">
        <f>损益表!E18</f>
        <v>34.702029121599999</v>
      </c>
      <c r="F16" s="414">
        <f>损益表!F18</f>
        <v>30.636240490199999</v>
      </c>
      <c r="G16" s="415">
        <f ca="1">损益表!G18</f>
        <v>31.379227543914592</v>
      </c>
      <c r="H16"/>
      <c r="I16"/>
      <c r="J16"/>
      <c r="K16"/>
      <c r="L16"/>
      <c r="M16"/>
      <c r="N16" s="207"/>
    </row>
    <row r="17" spans="1:13">
      <c r="B17" s="117" t="s">
        <v>426</v>
      </c>
      <c r="C17" s="177">
        <f>资产负债表!C54/资产负债表!C31</f>
        <v>0.2545224802721725</v>
      </c>
      <c r="D17" s="177">
        <f>资产负债表!D54/资产负债表!D31</f>
        <v>0.27953886444379245</v>
      </c>
      <c r="E17" s="177">
        <f>资产负债表!E54/资产负债表!E31</f>
        <v>0.27291929789700897</v>
      </c>
      <c r="F17" s="177">
        <f>资产负债表!F54/资产负债表!F31</f>
        <v>0.29483717774054991</v>
      </c>
      <c r="G17" s="179">
        <f ca="1">资产负债表!G54/资产负债表!G31</f>
        <v>0.30373616747300303</v>
      </c>
      <c r="H17"/>
      <c r="I17"/>
      <c r="J17"/>
      <c r="K17"/>
      <c r="L17"/>
      <c r="M17"/>
    </row>
    <row r="18" spans="1:13">
      <c r="B18" s="117" t="s">
        <v>187</v>
      </c>
      <c r="C18" s="414">
        <f>现金流量表!C20</f>
        <v>156.13381418259999</v>
      </c>
      <c r="D18" s="414">
        <f>现金流量表!D20</f>
        <v>168.1746454494</v>
      </c>
      <c r="E18" s="414">
        <f>现金流量表!E20</f>
        <v>172.37933131939999</v>
      </c>
      <c r="F18" s="414">
        <f>现金流量表!F20</f>
        <v>197.62884128959999</v>
      </c>
      <c r="G18" s="415">
        <f ca="1">现金流量表!G20</f>
        <v>225.07111024761184</v>
      </c>
      <c r="H18"/>
      <c r="I18"/>
      <c r="J18"/>
      <c r="K18"/>
      <c r="L18"/>
      <c r="M18"/>
    </row>
    <row r="19" spans="1:13">
      <c r="B19" s="117" t="s">
        <v>1186</v>
      </c>
      <c r="C19" s="414">
        <f>实际收入!C14</f>
        <v>925.41143520999981</v>
      </c>
      <c r="D19" s="414">
        <f>实际收入!D14</f>
        <v>1155.8841338400002</v>
      </c>
      <c r="E19" s="414">
        <f>实际收入!E14</f>
        <v>1238.45732843</v>
      </c>
      <c r="F19" s="414">
        <f>实际收入!F14</f>
        <v>1276.51654693</v>
      </c>
      <c r="G19" s="415">
        <f>实际收入!G14</f>
        <v>1302.6880030127613</v>
      </c>
      <c r="H19"/>
      <c r="I19"/>
      <c r="J19"/>
      <c r="K19"/>
      <c r="L19"/>
      <c r="M19"/>
    </row>
    <row r="20" spans="1:13">
      <c r="B20" s="396" t="s">
        <v>1187</v>
      </c>
      <c r="C20" s="397"/>
      <c r="D20" s="177">
        <f>D19/C19-1</f>
        <v>0.24904889853419654</v>
      </c>
      <c r="E20" s="177">
        <f t="shared" ref="E20:G20" si="1">E19/D19-1</f>
        <v>7.1437259300100031E-2</v>
      </c>
      <c r="F20" s="177">
        <f t="shared" si="1"/>
        <v>3.0731150461395407E-2</v>
      </c>
      <c r="G20" s="179">
        <f t="shared" si="1"/>
        <v>2.0502245854707724E-2</v>
      </c>
      <c r="H20"/>
      <c r="I20"/>
      <c r="J20"/>
      <c r="K20"/>
      <c r="L20"/>
      <c r="M20"/>
    </row>
    <row r="21" spans="1:13">
      <c r="B21" s="117" t="s">
        <v>1188</v>
      </c>
      <c r="C21" s="176">
        <f>假设!C20</f>
        <v>210.222222222222</v>
      </c>
      <c r="D21" s="176">
        <f>假设!D20</f>
        <v>215.70940170940199</v>
      </c>
      <c r="E21" s="176">
        <f>假设!E20</f>
        <v>215.4</v>
      </c>
      <c r="F21" s="176">
        <f>假设!F20</f>
        <v>219.873211409421</v>
      </c>
      <c r="G21" s="178">
        <f>(假设!G20+输配电价变动)</f>
        <v>219.2</v>
      </c>
      <c r="H21"/>
      <c r="I21"/>
      <c r="J21"/>
      <c r="K21"/>
      <c r="L21"/>
      <c r="M21"/>
    </row>
    <row r="22" spans="1:13">
      <c r="B22" s="117" t="s">
        <v>1190</v>
      </c>
      <c r="C22" s="414">
        <f>发展投入!C18*假设!C117</f>
        <v>199.91931957802899</v>
      </c>
      <c r="D22" s="414">
        <f>发展投入!D18*假设!D117</f>
        <v>210.005505</v>
      </c>
      <c r="E22" s="414">
        <f>发展投入!E18*假设!E117</f>
        <v>206.59504999999999</v>
      </c>
      <c r="F22" s="414">
        <f>发展投入!F18*假设!F117</f>
        <v>114.37948499999999</v>
      </c>
      <c r="G22" s="415">
        <f>固定资产结构及折旧参数!C70</f>
        <v>150.09303532984927</v>
      </c>
      <c r="H22"/>
      <c r="I22"/>
      <c r="J22"/>
      <c r="K22"/>
      <c r="L22"/>
      <c r="M22"/>
    </row>
    <row r="23" spans="1:13">
      <c r="C23" s="176"/>
      <c r="D23" s="176"/>
      <c r="E23" s="176"/>
      <c r="F23" s="176"/>
      <c r="G23" s="178">
        <f ca="1">国资委考核指标!G23</f>
        <v>-24.199425139865632</v>
      </c>
      <c r="H23"/>
      <c r="I23"/>
      <c r="J23"/>
      <c r="K23"/>
      <c r="L23"/>
      <c r="M23"/>
    </row>
    <row r="24" spans="1:13">
      <c r="C24" s="176"/>
      <c r="D24" s="176"/>
      <c r="E24" s="176"/>
      <c r="F24" s="176"/>
      <c r="G24" s="190"/>
      <c r="H24"/>
      <c r="I24"/>
      <c r="J24"/>
      <c r="K24"/>
      <c r="L24"/>
      <c r="M24"/>
    </row>
    <row r="25" spans="1:13">
      <c r="H25"/>
      <c r="I25"/>
      <c r="J25"/>
      <c r="K25"/>
      <c r="L25"/>
      <c r="M25"/>
    </row>
    <row r="26" spans="1:13">
      <c r="A26" s="257"/>
      <c r="B26" s="2474" t="s">
        <v>427</v>
      </c>
      <c r="C26" s="258"/>
      <c r="D26" s="2475" t="s">
        <v>418</v>
      </c>
      <c r="E26" s="2475"/>
      <c r="F26" s="2475"/>
      <c r="G26" s="946" t="s">
        <v>419</v>
      </c>
      <c r="H26"/>
      <c r="I26"/>
      <c r="J26"/>
      <c r="K26"/>
      <c r="L26"/>
      <c r="M26"/>
    </row>
    <row r="27" spans="1:13" s="875" customFormat="1">
      <c r="A27" s="877"/>
      <c r="B27" s="2474"/>
      <c r="C27" s="943">
        <f>D27-1</f>
        <v>2014</v>
      </c>
      <c r="D27" s="943">
        <f>E27-1</f>
        <v>2015</v>
      </c>
      <c r="E27" s="943">
        <f>F27-1</f>
        <v>2016</v>
      </c>
      <c r="F27" s="943">
        <f>G27-1</f>
        <v>2017</v>
      </c>
      <c r="G27" s="944">
        <f>测算年份</f>
        <v>2018</v>
      </c>
      <c r="H27"/>
      <c r="I27"/>
      <c r="J27"/>
      <c r="K27"/>
      <c r="L27"/>
      <c r="M27"/>
    </row>
    <row r="28" spans="1:13">
      <c r="A28" s="259"/>
      <c r="B28" s="117" t="s">
        <v>420</v>
      </c>
      <c r="C28" s="460">
        <v>812.08090863579753</v>
      </c>
      <c r="D28" s="460">
        <v>877.19390589289992</v>
      </c>
      <c r="E28" s="460">
        <v>866.21805923660008</v>
      </c>
      <c r="F28" s="460">
        <v>910.15726735860005</v>
      </c>
      <c r="G28" s="461">
        <v>955.03835118829295</v>
      </c>
      <c r="H28"/>
      <c r="I28"/>
      <c r="J28"/>
      <c r="K28"/>
      <c r="L28"/>
      <c r="M28"/>
    </row>
    <row r="29" spans="1:13">
      <c r="A29" s="259"/>
      <c r="B29" s="117" t="s">
        <v>426</v>
      </c>
      <c r="C29" s="462">
        <v>0.56100376800484364</v>
      </c>
      <c r="D29" s="462">
        <v>0.55288479204778451</v>
      </c>
      <c r="E29" s="462">
        <v>0.55856317752613494</v>
      </c>
      <c r="F29" s="462">
        <v>0.57619061927624404</v>
      </c>
      <c r="G29" s="463">
        <v>0.57404853662642741</v>
      </c>
      <c r="H29"/>
      <c r="I29"/>
      <c r="J29"/>
      <c r="K29"/>
      <c r="L29"/>
      <c r="M29"/>
    </row>
    <row r="30" spans="1:13">
      <c r="A30" s="259"/>
      <c r="B30" s="117" t="s">
        <v>187</v>
      </c>
      <c r="C30" s="460">
        <v>0</v>
      </c>
      <c r="D30" s="460">
        <v>3619.77</v>
      </c>
      <c r="E30" s="460">
        <v>3730.13</v>
      </c>
      <c r="F30" s="460">
        <v>4811.62</v>
      </c>
      <c r="G30" s="461">
        <v>4467.045875593667</v>
      </c>
      <c r="H30"/>
      <c r="I30"/>
      <c r="J30"/>
      <c r="K30"/>
      <c r="L30"/>
      <c r="M30"/>
    </row>
    <row r="31" spans="1:13">
      <c r="A31" s="259"/>
      <c r="B31" s="117" t="s">
        <v>1150</v>
      </c>
      <c r="C31" s="460">
        <v>34694.069451260002</v>
      </c>
      <c r="D31" s="460">
        <v>34506</v>
      </c>
      <c r="E31" s="460">
        <v>36051</v>
      </c>
      <c r="F31" s="460">
        <v>38745</v>
      </c>
      <c r="G31" s="461">
        <v>40700</v>
      </c>
      <c r="H31"/>
      <c r="I31"/>
      <c r="J31"/>
      <c r="K31"/>
      <c r="L31"/>
      <c r="M31"/>
    </row>
    <row r="32" spans="1:13">
      <c r="A32" s="259"/>
      <c r="B32" s="396" t="s">
        <v>429</v>
      </c>
      <c r="C32" s="464"/>
      <c r="D32" s="462">
        <v>-5.4207953761149508E-3</v>
      </c>
      <c r="E32" s="462">
        <v>4.4774821770126927E-2</v>
      </c>
      <c r="F32" s="462">
        <v>7.4727469418323977E-2</v>
      </c>
      <c r="G32" s="463">
        <v>5.0458123628855267E-2</v>
      </c>
      <c r="H32"/>
      <c r="I32"/>
      <c r="J32"/>
      <c r="K32"/>
      <c r="L32"/>
      <c r="M32"/>
    </row>
    <row r="33" spans="1:14">
      <c r="A33" s="259"/>
      <c r="B33" s="117" t="s">
        <v>1188</v>
      </c>
      <c r="C33" s="465">
        <v>180.95726495726495</v>
      </c>
      <c r="D33" s="465">
        <v>199.52</v>
      </c>
      <c r="E33" s="465">
        <v>203.23</v>
      </c>
      <c r="F33" s="465">
        <v>200.44</v>
      </c>
      <c r="G33" s="466">
        <v>198.25</v>
      </c>
      <c r="H33"/>
      <c r="I33"/>
      <c r="J33"/>
      <c r="K33"/>
      <c r="L33"/>
      <c r="M33"/>
    </row>
    <row r="34" spans="1:14">
      <c r="A34" s="259"/>
      <c r="B34" s="117" t="s">
        <v>376</v>
      </c>
      <c r="C34" s="460">
        <v>4044.423303</v>
      </c>
      <c r="D34" s="460">
        <v>4694</v>
      </c>
      <c r="E34" s="460">
        <v>5198.37</v>
      </c>
      <c r="F34" s="460">
        <v>5066</v>
      </c>
      <c r="G34" s="461">
        <v>5227.9000000000005</v>
      </c>
      <c r="H34"/>
      <c r="I34"/>
      <c r="J34"/>
      <c r="K34"/>
      <c r="L34"/>
      <c r="M34"/>
    </row>
    <row r="35" spans="1:14">
      <c r="H35"/>
      <c r="I35"/>
      <c r="J35"/>
      <c r="K35"/>
      <c r="L35"/>
      <c r="M35"/>
    </row>
    <row r="36" spans="1:14">
      <c r="A36" s="92"/>
      <c r="B36" s="2472" t="s">
        <v>627</v>
      </c>
      <c r="C36" s="224"/>
      <c r="D36" s="2473" t="s">
        <v>418</v>
      </c>
      <c r="E36" s="2473"/>
      <c r="F36" s="2473"/>
      <c r="G36" s="945" t="s">
        <v>419</v>
      </c>
      <c r="H36"/>
      <c r="I36"/>
      <c r="J36"/>
      <c r="K36"/>
      <c r="L36"/>
      <c r="M36"/>
    </row>
    <row r="37" spans="1:14" s="875" customFormat="1">
      <c r="A37" s="874"/>
      <c r="B37" s="2472"/>
      <c r="C37" s="941">
        <f>D37-1</f>
        <v>2014</v>
      </c>
      <c r="D37" s="941">
        <f>E37-1</f>
        <v>2015</v>
      </c>
      <c r="E37" s="941">
        <f>F37-1</f>
        <v>2016</v>
      </c>
      <c r="F37" s="941">
        <f>G37-1</f>
        <v>2017</v>
      </c>
      <c r="G37" s="942">
        <f>测算年份</f>
        <v>2018</v>
      </c>
      <c r="H37"/>
      <c r="I37"/>
      <c r="J37"/>
      <c r="K37"/>
      <c r="L37"/>
      <c r="M37"/>
    </row>
    <row r="38" spans="1:14">
      <c r="B38" s="117" t="s">
        <v>420</v>
      </c>
      <c r="C38" s="414">
        <f t="shared" ref="C38:F38" si="2">C16-C28</f>
        <v>-778.87243141049748</v>
      </c>
      <c r="D38" s="414">
        <f t="shared" si="2"/>
        <v>-847.78484765819996</v>
      </c>
      <c r="E38" s="414">
        <f t="shared" si="2"/>
        <v>-831.51603011500004</v>
      </c>
      <c r="F38" s="414">
        <f t="shared" si="2"/>
        <v>-879.5210268684001</v>
      </c>
      <c r="G38" s="415">
        <f ca="1">G16-G28</f>
        <v>-923.65912364437838</v>
      </c>
      <c r="H38"/>
      <c r="I38"/>
      <c r="J38"/>
      <c r="K38"/>
      <c r="L38"/>
      <c r="M38"/>
    </row>
    <row r="39" spans="1:14">
      <c r="B39" s="117" t="s">
        <v>426</v>
      </c>
      <c r="C39" s="177">
        <f t="shared" ref="C39:F39" si="3">C17-C29</f>
        <v>-0.30648128773267114</v>
      </c>
      <c r="D39" s="177">
        <f t="shared" si="3"/>
        <v>-0.27334592760399207</v>
      </c>
      <c r="E39" s="177">
        <f t="shared" si="3"/>
        <v>-0.28564387962912596</v>
      </c>
      <c r="F39" s="177">
        <f t="shared" si="3"/>
        <v>-0.28135344153569414</v>
      </c>
      <c r="G39" s="179">
        <f t="shared" ref="G39" ca="1" si="4">G17-G29</f>
        <v>-0.27031236915342438</v>
      </c>
      <c r="H39"/>
      <c r="I39"/>
      <c r="J39"/>
      <c r="K39"/>
      <c r="L39"/>
      <c r="M39"/>
    </row>
    <row r="40" spans="1:14">
      <c r="B40" s="117" t="s">
        <v>187</v>
      </c>
      <c r="C40" s="414">
        <f>C18-C30</f>
        <v>156.13381418259999</v>
      </c>
      <c r="D40" s="414">
        <f t="shared" ref="D40:F40" si="5">D18-D30</f>
        <v>-3451.5953545506</v>
      </c>
      <c r="E40" s="414">
        <f t="shared" si="5"/>
        <v>-3557.7506686806</v>
      </c>
      <c r="F40" s="414">
        <f t="shared" si="5"/>
        <v>-4613.9911587103998</v>
      </c>
      <c r="G40" s="415">
        <f t="shared" ref="G40" ca="1" si="6">G18-G30</f>
        <v>-4241.9747653460554</v>
      </c>
      <c r="H40"/>
      <c r="I40"/>
      <c r="J40"/>
      <c r="K40"/>
      <c r="L40"/>
      <c r="M40"/>
    </row>
    <row r="41" spans="1:14">
      <c r="B41" s="117" t="s">
        <v>1150</v>
      </c>
      <c r="C41" s="414">
        <f t="shared" ref="C41:F41" si="7">C19-C31</f>
        <v>-33768.658016050002</v>
      </c>
      <c r="D41" s="414">
        <f t="shared" si="7"/>
        <v>-33350.115866159998</v>
      </c>
      <c r="E41" s="414">
        <f t="shared" si="7"/>
        <v>-34812.542671570001</v>
      </c>
      <c r="F41" s="414">
        <f t="shared" si="7"/>
        <v>-37468.483453070003</v>
      </c>
      <c r="G41" s="415">
        <f t="shared" ref="G41" si="8">G19-G31</f>
        <v>-39397.311996987235</v>
      </c>
      <c r="H41"/>
      <c r="I41"/>
      <c r="J41"/>
      <c r="K41"/>
      <c r="L41"/>
      <c r="M41"/>
    </row>
    <row r="42" spans="1:14">
      <c r="B42" s="396" t="s">
        <v>429</v>
      </c>
      <c r="C42" s="397">
        <f t="shared" ref="C42:F42" si="9">C20-C32</f>
        <v>0</v>
      </c>
      <c r="D42" s="177">
        <f t="shared" si="9"/>
        <v>0.25446969391031149</v>
      </c>
      <c r="E42" s="177">
        <f t="shared" si="9"/>
        <v>2.6662437529973104E-2</v>
      </c>
      <c r="F42" s="177">
        <f t="shared" si="9"/>
        <v>-4.3996318956928571E-2</v>
      </c>
      <c r="G42" s="179">
        <f t="shared" ref="G42" si="10">G20-G32</f>
        <v>-2.9955877774147543E-2</v>
      </c>
      <c r="H42"/>
      <c r="I42"/>
      <c r="J42"/>
      <c r="K42"/>
      <c r="L42"/>
      <c r="M42"/>
    </row>
    <row r="43" spans="1:14">
      <c r="B43" s="117" t="s">
        <v>1188</v>
      </c>
      <c r="C43" s="176">
        <f t="shared" ref="C43:G43" si="11">C21-C33</f>
        <v>29.264957264957047</v>
      </c>
      <c r="D43" s="176">
        <f t="shared" si="11"/>
        <v>16.189401709401977</v>
      </c>
      <c r="E43" s="176">
        <f t="shared" si="11"/>
        <v>12.170000000000016</v>
      </c>
      <c r="F43" s="176">
        <f t="shared" si="11"/>
        <v>19.433211409421006</v>
      </c>
      <c r="G43" s="178">
        <f t="shared" si="11"/>
        <v>20.949999999999989</v>
      </c>
      <c r="H43"/>
      <c r="I43"/>
      <c r="J43"/>
      <c r="K43"/>
      <c r="L43"/>
      <c r="M43"/>
    </row>
    <row r="44" spans="1:14">
      <c r="B44" s="117" t="s">
        <v>376</v>
      </c>
      <c r="C44" s="414">
        <f>C22-C34</f>
        <v>-3844.503983421971</v>
      </c>
      <c r="D44" s="414">
        <f t="shared" ref="D44:G44" si="12">D22-D34</f>
        <v>-4483.9944949999999</v>
      </c>
      <c r="E44" s="414">
        <f t="shared" si="12"/>
        <v>-4991.77495</v>
      </c>
      <c r="F44" s="414">
        <f t="shared" si="12"/>
        <v>-4951.6205149999996</v>
      </c>
      <c r="G44" s="415">
        <f t="shared" si="12"/>
        <v>-5077.8069646701515</v>
      </c>
      <c r="H44"/>
      <c r="I44"/>
      <c r="J44"/>
      <c r="K44"/>
      <c r="L44"/>
      <c r="M44"/>
    </row>
    <row r="45" spans="1:14">
      <c r="I45"/>
      <c r="J45"/>
      <c r="K45"/>
      <c r="L45"/>
      <c r="M45"/>
      <c r="N45"/>
    </row>
    <row r="46" spans="1:14">
      <c r="I46"/>
      <c r="J46"/>
      <c r="K46"/>
      <c r="L46"/>
      <c r="M46"/>
      <c r="N46"/>
    </row>
    <row r="47" spans="1:14">
      <c r="B47" s="2469" t="s">
        <v>1209</v>
      </c>
      <c r="C47" s="2469"/>
      <c r="D47" s="411">
        <v>0.05</v>
      </c>
      <c r="E47" s="411">
        <v>0.04</v>
      </c>
      <c r="F47" s="411">
        <v>0.03</v>
      </c>
      <c r="G47" s="411">
        <v>0.02</v>
      </c>
      <c r="I47"/>
      <c r="J47"/>
      <c r="K47"/>
      <c r="L47"/>
      <c r="M47"/>
      <c r="N47"/>
    </row>
    <row r="48" spans="1:14" ht="28.8">
      <c r="B48" s="2470" t="s">
        <v>1210</v>
      </c>
      <c r="C48" s="412" t="s">
        <v>1211</v>
      </c>
      <c r="D48" s="417">
        <v>198.3</v>
      </c>
      <c r="E48" s="417">
        <v>203.9</v>
      </c>
      <c r="F48" s="417">
        <v>209.7</v>
      </c>
      <c r="G48" s="417">
        <v>215.7</v>
      </c>
      <c r="I48"/>
      <c r="J48"/>
      <c r="K48"/>
      <c r="L48"/>
      <c r="M48"/>
      <c r="N48"/>
    </row>
    <row r="49" spans="2:14" ht="28.8">
      <c r="B49" s="2470"/>
      <c r="C49" s="412" t="s">
        <v>1212</v>
      </c>
      <c r="D49" s="416" t="s">
        <v>1281</v>
      </c>
      <c r="E49" s="417">
        <v>5.6</v>
      </c>
      <c r="F49" s="417">
        <v>11.4</v>
      </c>
      <c r="G49" s="417">
        <v>17.399999999999999</v>
      </c>
      <c r="I49"/>
      <c r="J49"/>
      <c r="K49"/>
      <c r="L49"/>
      <c r="M49"/>
      <c r="N49"/>
    </row>
    <row r="50" spans="2:14">
      <c r="B50" s="2470" t="s">
        <v>1213</v>
      </c>
      <c r="C50" s="412" t="s">
        <v>1214</v>
      </c>
      <c r="D50" s="418">
        <v>1107</v>
      </c>
      <c r="E50" s="418">
        <v>843</v>
      </c>
      <c r="F50" s="418">
        <v>583</v>
      </c>
      <c r="G50" s="418">
        <v>328</v>
      </c>
      <c r="H50" s="413"/>
      <c r="I50"/>
      <c r="J50"/>
      <c r="K50"/>
      <c r="L50"/>
      <c r="M50"/>
      <c r="N50"/>
    </row>
    <row r="51" spans="2:14" ht="28.8">
      <c r="B51" s="2470"/>
      <c r="C51" s="412" t="s">
        <v>1222</v>
      </c>
      <c r="D51" s="418">
        <v>3092</v>
      </c>
      <c r="E51" s="418">
        <v>2584</v>
      </c>
      <c r="F51" s="418">
        <v>2083</v>
      </c>
      <c r="G51" s="418">
        <v>1588</v>
      </c>
      <c r="H51" s="413"/>
      <c r="I51"/>
      <c r="J51"/>
      <c r="K51"/>
      <c r="L51"/>
      <c r="M51"/>
      <c r="N51"/>
    </row>
    <row r="52" spans="2:14" ht="28.8">
      <c r="B52" s="2470" t="s">
        <v>1215</v>
      </c>
      <c r="C52" s="412" t="s">
        <v>1223</v>
      </c>
      <c r="D52" s="418">
        <v>15312</v>
      </c>
      <c r="E52" s="418">
        <v>11712</v>
      </c>
      <c r="F52" s="418">
        <v>7512</v>
      </c>
      <c r="G52" s="418">
        <v>2721</v>
      </c>
      <c r="I52"/>
      <c r="J52"/>
      <c r="K52"/>
      <c r="L52"/>
      <c r="M52"/>
      <c r="N52"/>
    </row>
    <row r="53" spans="2:14">
      <c r="B53" s="2470"/>
      <c r="C53" s="412" t="s">
        <v>1216</v>
      </c>
      <c r="D53" s="419" t="s">
        <v>1281</v>
      </c>
      <c r="E53" s="418">
        <v>3600</v>
      </c>
      <c r="F53" s="418">
        <v>7800</v>
      </c>
      <c r="G53" s="418">
        <v>12600</v>
      </c>
      <c r="I53"/>
      <c r="J53"/>
      <c r="K53"/>
      <c r="L53"/>
      <c r="M53"/>
      <c r="N53"/>
    </row>
    <row r="54" spans="2:14">
      <c r="E54" s="117">
        <v>-1200</v>
      </c>
      <c r="F54" s="117">
        <v>-2600</v>
      </c>
      <c r="G54" s="117">
        <v>-4200</v>
      </c>
      <c r="I54"/>
      <c r="J54"/>
      <c r="K54"/>
      <c r="L54"/>
      <c r="M54"/>
      <c r="N54"/>
    </row>
    <row r="55" spans="2:14">
      <c r="I55"/>
      <c r="J55"/>
      <c r="K55"/>
      <c r="L55"/>
      <c r="M55"/>
      <c r="N55"/>
    </row>
    <row r="56" spans="2:14">
      <c r="I56"/>
      <c r="J56"/>
      <c r="K56"/>
      <c r="L56"/>
      <c r="M56"/>
      <c r="N56"/>
    </row>
    <row r="57" spans="2:14">
      <c r="I57"/>
      <c r="J57"/>
      <c r="K57"/>
      <c r="L57"/>
      <c r="M57"/>
      <c r="N57"/>
    </row>
    <row r="58" spans="2:14">
      <c r="E58" s="467"/>
      <c r="F58" s="467"/>
      <c r="G58" s="467"/>
    </row>
  </sheetData>
  <mergeCells count="17">
    <mergeCell ref="I2:J2"/>
    <mergeCell ref="I3:J3"/>
    <mergeCell ref="I4:J4"/>
    <mergeCell ref="B14:B15"/>
    <mergeCell ref="D14:F14"/>
    <mergeCell ref="I5:J5"/>
    <mergeCell ref="I6:J6"/>
    <mergeCell ref="I7:J7"/>
    <mergeCell ref="B47:C47"/>
    <mergeCell ref="B48:B49"/>
    <mergeCell ref="B50:B51"/>
    <mergeCell ref="B52:B53"/>
    <mergeCell ref="D2:F2"/>
    <mergeCell ref="B36:B37"/>
    <mergeCell ref="D36:F36"/>
    <mergeCell ref="B26:B27"/>
    <mergeCell ref="D26:F26"/>
  </mergeCells>
  <phoneticPr fontId="20" type="noConversion"/>
  <pageMargins left="0.70866141732283472" right="0.70866141732283472" top="0.74803149606299213" bottom="0.74803149606299213" header="0.31496062992125984" footer="0.31496062992125984"/>
  <pageSetup paperSize="9" scale="83"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Scroll Bar 1">
              <controlPr defaultSize="0" autoPict="0">
                <anchor moveWithCells="1">
                  <from>
                    <xdr:col>4</xdr:col>
                    <xdr:colOff>0</xdr:colOff>
                    <xdr:row>2</xdr:row>
                    <xdr:rowOff>0</xdr:rowOff>
                  </from>
                  <to>
                    <xdr:col>6</xdr:col>
                    <xdr:colOff>0</xdr:colOff>
                    <xdr:row>3</xdr:row>
                    <xdr:rowOff>0</xdr:rowOff>
                  </to>
                </anchor>
              </controlPr>
            </control>
          </mc:Choice>
        </mc:AlternateContent>
        <mc:AlternateContent xmlns:mc="http://schemas.openxmlformats.org/markup-compatibility/2006">
          <mc:Choice Requires="x14">
            <control shapeId="23554" r:id="rId5" name="Scroll Bar 2">
              <controlPr defaultSize="0" autoPict="0">
                <anchor moveWithCells="1">
                  <from>
                    <xdr:col>4</xdr:col>
                    <xdr:colOff>0</xdr:colOff>
                    <xdr:row>5</xdr:row>
                    <xdr:rowOff>0</xdr:rowOff>
                  </from>
                  <to>
                    <xdr:col>6</xdr:col>
                    <xdr:colOff>0</xdr:colOff>
                    <xdr:row>6</xdr:row>
                    <xdr:rowOff>0</xdr:rowOff>
                  </to>
                </anchor>
              </controlPr>
            </control>
          </mc:Choice>
        </mc:AlternateContent>
        <mc:AlternateContent xmlns:mc="http://schemas.openxmlformats.org/markup-compatibility/2006">
          <mc:Choice Requires="x14">
            <control shapeId="23555" r:id="rId6" name="Scroll Bar 3">
              <controlPr defaultSize="0" autoPict="0">
                <anchor moveWithCells="1">
                  <from>
                    <xdr:col>4</xdr:col>
                    <xdr:colOff>0</xdr:colOff>
                    <xdr:row>6</xdr:row>
                    <xdr:rowOff>0</xdr:rowOff>
                  </from>
                  <to>
                    <xdr:col>6</xdr:col>
                    <xdr:colOff>0</xdr:colOff>
                    <xdr:row>7</xdr:row>
                    <xdr:rowOff>0</xdr:rowOff>
                  </to>
                </anchor>
              </controlPr>
            </control>
          </mc:Choice>
        </mc:AlternateContent>
        <mc:AlternateContent xmlns:mc="http://schemas.openxmlformats.org/markup-compatibility/2006">
          <mc:Choice Requires="x14">
            <control shapeId="23556" r:id="rId7" name="Scroll Bar 4">
              <controlPr defaultSize="0" autoPict="0">
                <anchor moveWithCells="1">
                  <from>
                    <xdr:col>4</xdr:col>
                    <xdr:colOff>0</xdr:colOff>
                    <xdr:row>3</xdr:row>
                    <xdr:rowOff>0</xdr:rowOff>
                  </from>
                  <to>
                    <xdr:col>6</xdr:col>
                    <xdr:colOff>0</xdr:colOff>
                    <xdr:row>4</xdr:row>
                    <xdr:rowOff>0</xdr:rowOff>
                  </to>
                </anchor>
              </controlPr>
            </control>
          </mc:Choice>
        </mc:AlternateContent>
        <mc:AlternateContent xmlns:mc="http://schemas.openxmlformats.org/markup-compatibility/2006">
          <mc:Choice Requires="x14">
            <control shapeId="23558" r:id="rId8" name="Scroll Bar 6">
              <controlPr defaultSize="0" autoPict="0">
                <anchor moveWithCells="1">
                  <from>
                    <xdr:col>4</xdr:col>
                    <xdr:colOff>0</xdr:colOff>
                    <xdr:row>4</xdr:row>
                    <xdr:rowOff>0</xdr:rowOff>
                  </from>
                  <to>
                    <xdr:col>6</xdr:col>
                    <xdr:colOff>0</xdr:colOff>
                    <xdr:row>5</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9">
    <tabColor theme="8" tint="-0.249977111117893"/>
  </sheetPr>
  <dimension ref="A1"/>
  <sheetViews>
    <sheetView workbookViewId="0">
      <selection activeCell="B3" sqref="B3"/>
    </sheetView>
  </sheetViews>
  <sheetFormatPr defaultRowHeight="14.4"/>
  <sheetData/>
  <phoneticPr fontId="20"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0"/>
  <dimension ref="A1:Z70"/>
  <sheetViews>
    <sheetView showGridLines="0" zoomScale="90" zoomScaleNormal="90" workbookViewId="0">
      <pane xSplit="4" ySplit="2" topLeftCell="L49" activePane="bottomRight" state="frozen"/>
      <selection activeCell="N6" sqref="N6"/>
      <selection pane="topRight" activeCell="N6" sqref="N6"/>
      <selection pane="bottomLeft" activeCell="N6" sqref="N6"/>
      <selection pane="bottomRight" activeCell="M63" sqref="M63:Q63"/>
    </sheetView>
  </sheetViews>
  <sheetFormatPr defaultColWidth="9" defaultRowHeight="15"/>
  <cols>
    <col min="1" max="1" width="3.88671875" style="2254" customWidth="1"/>
    <col min="2" max="3" width="3.44140625" style="2254" customWidth="1"/>
    <col min="4" max="4" width="28.33203125" style="1833" bestFit="1" customWidth="1"/>
    <col min="5" max="5" width="15.109375" style="2177" bestFit="1" customWidth="1"/>
    <col min="6" max="6" width="15.109375" style="2185" bestFit="1" customWidth="1"/>
    <col min="7" max="7" width="22.33203125" style="2186" customWidth="1"/>
    <col min="8" max="8" width="15" style="2186" customWidth="1"/>
    <col min="9" max="9" width="17.33203125" style="2218" customWidth="1"/>
    <col min="10" max="10" width="13.33203125" style="2218" customWidth="1"/>
    <col min="11" max="11" width="17.44140625" style="2218" bestFit="1" customWidth="1"/>
    <col min="12" max="12" width="22.88671875" style="2218" bestFit="1" customWidth="1"/>
    <col min="13" max="13" width="17.21875" style="2177" bestFit="1" customWidth="1"/>
    <col min="14" max="15" width="17.109375" style="1828" bestFit="1" customWidth="1"/>
    <col min="16" max="16" width="18" style="1828" bestFit="1" customWidth="1"/>
    <col min="17" max="17" width="16.109375" style="1828" bestFit="1" customWidth="1"/>
    <col min="18" max="18" width="17.109375" style="1828" bestFit="1" customWidth="1"/>
    <col min="19" max="24" width="14.33203125" style="1828" bestFit="1" customWidth="1"/>
    <col min="25" max="26" width="6.33203125" style="2182" bestFit="1" customWidth="1"/>
    <col min="27" max="16384" width="9" style="1828"/>
  </cols>
  <sheetData>
    <row r="1" spans="1:26" s="2177" customFormat="1">
      <c r="A1" s="2249"/>
      <c r="B1" s="2249"/>
      <c r="C1" s="2249"/>
      <c r="D1" s="2193" t="s">
        <v>2335</v>
      </c>
      <c r="F1" s="2185"/>
      <c r="G1" s="2186"/>
      <c r="H1" s="2186" t="s">
        <v>2362</v>
      </c>
      <c r="I1" s="2223">
        <f>E4/2-I4</f>
        <v>1.7763568394002505E-14</v>
      </c>
      <c r="J1" s="2219"/>
      <c r="K1" s="2218"/>
      <c r="L1" s="2218"/>
      <c r="M1" s="2223"/>
      <c r="N1" s="2223"/>
      <c r="O1" s="2223"/>
      <c r="P1" s="2223"/>
      <c r="Q1" s="2223"/>
      <c r="R1" s="2223"/>
      <c r="S1" s="2223"/>
      <c r="T1" s="2223"/>
      <c r="U1" s="2223"/>
      <c r="Y1" s="2187"/>
      <c r="Z1" s="2187"/>
    </row>
    <row r="2" spans="1:26" s="2170" customFormat="1" ht="15.6">
      <c r="A2" s="2250"/>
      <c r="B2" s="2250"/>
      <c r="C2" s="2250"/>
      <c r="D2" s="2171" t="s">
        <v>2058</v>
      </c>
      <c r="E2" s="2172" t="s">
        <v>2307</v>
      </c>
      <c r="F2" s="2172" t="s">
        <v>2060</v>
      </c>
      <c r="G2" s="2172" t="s">
        <v>2059</v>
      </c>
      <c r="H2" s="2172" t="s">
        <v>2361</v>
      </c>
      <c r="I2" s="2172" t="s">
        <v>2343</v>
      </c>
      <c r="J2" s="2172" t="s">
        <v>2332</v>
      </c>
      <c r="K2" s="2172" t="s">
        <v>2333</v>
      </c>
      <c r="L2" s="2172" t="s">
        <v>2334</v>
      </c>
      <c r="M2" s="2172">
        <v>2018.01</v>
      </c>
      <c r="N2" s="2172">
        <v>2018.02</v>
      </c>
      <c r="O2" s="2172">
        <v>2018.03</v>
      </c>
      <c r="P2" s="2172">
        <v>2018.04</v>
      </c>
      <c r="Q2" s="2172">
        <v>2018.05</v>
      </c>
      <c r="R2" s="2172">
        <v>2018.06</v>
      </c>
      <c r="S2" s="2172">
        <v>2018.07</v>
      </c>
      <c r="T2" s="2172">
        <v>2018.08</v>
      </c>
      <c r="U2" s="2172">
        <v>2018.09</v>
      </c>
      <c r="V2" s="2172">
        <v>2018.1</v>
      </c>
      <c r="W2" s="2172">
        <v>2018.11</v>
      </c>
      <c r="X2" s="2172">
        <v>2018.12</v>
      </c>
      <c r="Y2" s="2183" t="s">
        <v>2217</v>
      </c>
      <c r="Z2" s="2183" t="s">
        <v>2218</v>
      </c>
    </row>
    <row r="3" spans="1:26" s="2177" customFormat="1" ht="15.6">
      <c r="A3" s="2249"/>
      <c r="B3" s="2249" t="s">
        <v>2346</v>
      </c>
      <c r="C3" s="2249"/>
      <c r="D3" s="2176" t="s">
        <v>2324</v>
      </c>
      <c r="E3" s="2169" t="s">
        <v>2327</v>
      </c>
      <c r="F3" s="2169" t="s">
        <v>2325</v>
      </c>
      <c r="G3" s="2178" t="s">
        <v>2326</v>
      </c>
      <c r="H3" s="2178" t="s">
        <v>2360</v>
      </c>
      <c r="I3" s="2220" t="s">
        <v>2337</v>
      </c>
      <c r="J3" s="2221" t="s">
        <v>2329</v>
      </c>
      <c r="K3" s="2221" t="s">
        <v>2330</v>
      </c>
      <c r="L3" s="2221" t="s">
        <v>2331</v>
      </c>
      <c r="M3" s="2175" t="s">
        <v>2328</v>
      </c>
      <c r="N3" s="2175" t="s">
        <v>2328</v>
      </c>
      <c r="O3" s="2175" t="s">
        <v>2328</v>
      </c>
      <c r="P3" s="2175" t="s">
        <v>2328</v>
      </c>
      <c r="Q3" s="2175" t="s">
        <v>2328</v>
      </c>
      <c r="R3" s="2175" t="s">
        <v>2328</v>
      </c>
      <c r="S3" s="2175" t="s">
        <v>2328</v>
      </c>
      <c r="T3" s="2175" t="s">
        <v>2328</v>
      </c>
      <c r="U3" s="2175" t="s">
        <v>2328</v>
      </c>
      <c r="V3" s="2175" t="s">
        <v>2328</v>
      </c>
      <c r="W3" s="2175" t="s">
        <v>2328</v>
      </c>
      <c r="X3" s="2175" t="s">
        <v>2328</v>
      </c>
      <c r="Y3" s="2184"/>
      <c r="Z3" s="2184"/>
    </row>
    <row r="4" spans="1:26" s="2201" customFormat="1" ht="15.6">
      <c r="A4" s="2251">
        <f>B4-F4</f>
        <v>0</v>
      </c>
      <c r="B4" s="2252">
        <v>14.0004477325</v>
      </c>
      <c r="C4" s="2253">
        <f>E4/2-I4</f>
        <v>1.7763568394002505E-14</v>
      </c>
      <c r="D4" s="1829" t="s">
        <v>2108</v>
      </c>
      <c r="E4" s="2174">
        <v>31.466924319999851</v>
      </c>
      <c r="F4" s="2247">
        <f>SUM(M4:X4)</f>
        <v>14.0004477325</v>
      </c>
      <c r="G4" s="2217">
        <f>G5-G26+G58+G59+G60+G62-G63</f>
        <v>2.7433258392895028</v>
      </c>
      <c r="H4" s="2265">
        <f>IF(R4=0,0,SUM(M4:R4))</f>
        <v>0</v>
      </c>
      <c r="I4" s="2239">
        <f>I5-I26+I58+I59+I60+I62-I63</f>
        <v>15.733462159999908</v>
      </c>
      <c r="J4" s="2240">
        <f>IF(OR(H4=0,I4=0),0,H4-I4)</f>
        <v>0</v>
      </c>
      <c r="K4" s="2241">
        <f>IFERROR(J4/I4,0)</f>
        <v>0</v>
      </c>
      <c r="L4" s="2241">
        <f>IFERROR(SUM(L5,L26,L58:L60,L62,L63),0)</f>
        <v>0</v>
      </c>
      <c r="M4" s="2230">
        <v>4.5013125151000004</v>
      </c>
      <c r="N4" s="2230">
        <v>1.9987288883000001</v>
      </c>
      <c r="O4" s="2230">
        <v>2.9999836028</v>
      </c>
      <c r="P4" s="2230">
        <v>2.5012002808</v>
      </c>
      <c r="Q4" s="2230">
        <v>1.9992224455000001</v>
      </c>
      <c r="R4" s="2230"/>
      <c r="S4" s="2230"/>
      <c r="T4" s="2230"/>
      <c r="U4" s="2230"/>
      <c r="V4" s="2230"/>
      <c r="W4" s="2230"/>
      <c r="X4" s="2230"/>
      <c r="Y4" s="2200">
        <f t="shared" ref="Y4:Y36" si="0">G4</f>
        <v>2.7433258392895028</v>
      </c>
      <c r="Z4" s="2200">
        <f>1-Y4</f>
        <v>-1.7433258392895028</v>
      </c>
    </row>
    <row r="5" spans="1:26" s="2201" customFormat="1" ht="15.6">
      <c r="A5" s="2251">
        <f t="shared" ref="A5:A63" si="1">B5-F5</f>
        <v>0</v>
      </c>
      <c r="B5" s="2252">
        <v>351.10908084410005</v>
      </c>
      <c r="C5" s="2253">
        <f>E5/2-I5</f>
        <v>0</v>
      </c>
      <c r="D5" s="1829" t="s">
        <v>2061</v>
      </c>
      <c r="E5" s="2174">
        <v>896.77070800000001</v>
      </c>
      <c r="F5" s="2247">
        <f t="shared" ref="F5:F7" si="2">SUM(M5:X5)</f>
        <v>351.10908084409999</v>
      </c>
      <c r="G5" s="2197">
        <f t="shared" ref="G5" si="3">SUM(G6,G24:G25)</f>
        <v>2.006812933969738</v>
      </c>
      <c r="H5" s="2265">
        <f t="shared" ref="H5:H63" si="4">IF(R5=0,0,SUM(M5:R5))</f>
        <v>0</v>
      </c>
      <c r="I5" s="2240">
        <f>SUM(I6,I24:I25)</f>
        <v>448.38535399999995</v>
      </c>
      <c r="J5" s="2240">
        <f t="shared" ref="J5:J30" si="5">IF(OR(H5=0,I5=0),0,H5-I5)</f>
        <v>0</v>
      </c>
      <c r="K5" s="2241">
        <f t="shared" ref="K5:K30" si="6">IFERROR(J5/I5,0)</f>
        <v>0</v>
      </c>
      <c r="L5" s="2241">
        <f>IFERROR(J5/ABS($J$4),0)</f>
        <v>0</v>
      </c>
      <c r="M5" s="2234">
        <v>83.492232803600004</v>
      </c>
      <c r="N5" s="2234">
        <v>63.925429839899998</v>
      </c>
      <c r="O5" s="2234">
        <v>70.746372467100002</v>
      </c>
      <c r="P5" s="2234">
        <v>63.150898991000005</v>
      </c>
      <c r="Q5" s="2234">
        <v>69.794146742500004</v>
      </c>
      <c r="R5" s="2230"/>
      <c r="S5" s="2230"/>
      <c r="T5" s="2230"/>
      <c r="U5" s="2230"/>
      <c r="V5" s="2230"/>
      <c r="W5" s="2230"/>
      <c r="X5" s="2230"/>
      <c r="Y5" s="2200">
        <f t="shared" si="0"/>
        <v>2.006812933969738</v>
      </c>
      <c r="Z5" s="2200">
        <f t="shared" ref="Z5:Z63" si="7">1-Y5</f>
        <v>-1.006812933969738</v>
      </c>
    </row>
    <row r="6" spans="1:26" s="2201" customFormat="1" ht="15.6">
      <c r="A6" s="2251">
        <f>B6-F6</f>
        <v>0</v>
      </c>
      <c r="B6" s="2252">
        <f>34969516322.32/100000000</f>
        <v>349.69516322319998</v>
      </c>
      <c r="C6" s="2253">
        <f>E6/2-I6</f>
        <v>0</v>
      </c>
      <c r="D6" s="1829" t="s">
        <v>2062</v>
      </c>
      <c r="E6" s="2174">
        <v>865.33198599999992</v>
      </c>
      <c r="F6" s="2247">
        <f>SUM(M6:X6)</f>
        <v>349.69516322319998</v>
      </c>
      <c r="G6" s="2197">
        <f t="shared" ref="G6" si="8">SUM(G7,G16:G22)</f>
        <v>1.7653908956514037</v>
      </c>
      <c r="H6" s="2265">
        <f t="shared" si="4"/>
        <v>0</v>
      </c>
      <c r="I6" s="2240">
        <f>SUM(I7,I16:I22)</f>
        <v>432.66599299999996</v>
      </c>
      <c r="J6" s="2240">
        <f t="shared" si="5"/>
        <v>0</v>
      </c>
      <c r="K6" s="2241">
        <f t="shared" si="6"/>
        <v>0</v>
      </c>
      <c r="L6" s="2241">
        <f>IFERROR(J6/ABS($J$4),0)</f>
        <v>0</v>
      </c>
      <c r="M6" s="2234">
        <v>82.986234229600001</v>
      </c>
      <c r="N6" s="2234">
        <v>63.701402780500004</v>
      </c>
      <c r="O6" s="2234">
        <v>70.553148811400007</v>
      </c>
      <c r="P6" s="2234">
        <v>62.965701887100003</v>
      </c>
      <c r="Q6" s="2234">
        <v>69.488675514600004</v>
      </c>
      <c r="R6" s="2230"/>
      <c r="S6" s="2230"/>
      <c r="T6" s="2230"/>
      <c r="U6" s="2230"/>
      <c r="V6" s="2230"/>
      <c r="W6" s="2230"/>
      <c r="X6" s="2230"/>
      <c r="Y6" s="2224">
        <f t="shared" si="0"/>
        <v>1.7653908956514037</v>
      </c>
      <c r="Z6" s="2200">
        <f t="shared" si="7"/>
        <v>-0.76539089565140372</v>
      </c>
    </row>
    <row r="7" spans="1:26" s="2201" customFormat="1" ht="15.6">
      <c r="A7" s="2251">
        <f t="shared" si="1"/>
        <v>0</v>
      </c>
      <c r="B7" s="2252">
        <v>332.83395149789999</v>
      </c>
      <c r="C7" s="2253">
        <f>E7/2-I7</f>
        <v>0</v>
      </c>
      <c r="D7" s="1831" t="s">
        <v>2063</v>
      </c>
      <c r="E7" s="2174">
        <v>856.22417199999984</v>
      </c>
      <c r="F7" s="2247">
        <f t="shared" si="2"/>
        <v>332.83395149789999</v>
      </c>
      <c r="G7" s="2197">
        <f t="shared" ref="G7" si="9">G8+G11</f>
        <v>0.65613249367740201</v>
      </c>
      <c r="H7" s="2265">
        <f t="shared" si="4"/>
        <v>0</v>
      </c>
      <c r="I7" s="2240">
        <f>I8+I11</f>
        <v>428.11208599999998</v>
      </c>
      <c r="J7" s="2240">
        <f t="shared" si="5"/>
        <v>0</v>
      </c>
      <c r="K7" s="2241">
        <f t="shared" si="6"/>
        <v>0</v>
      </c>
      <c r="L7" s="2241">
        <f>IFERROR(J7/ABS($J$4),0)</f>
        <v>0</v>
      </c>
      <c r="M7" s="2234">
        <v>79.133822112100006</v>
      </c>
      <c r="N7" s="2234">
        <v>60.4464905305</v>
      </c>
      <c r="O7" s="2234">
        <v>67.365827622899999</v>
      </c>
      <c r="P7" s="2234">
        <v>59.811432584999999</v>
      </c>
      <c r="Q7" s="2234">
        <v>66.076378647399991</v>
      </c>
      <c r="R7" s="2230"/>
      <c r="S7" s="2230"/>
      <c r="T7" s="2230"/>
      <c r="U7" s="2230"/>
      <c r="V7" s="2230"/>
      <c r="W7" s="2230"/>
      <c r="X7" s="2230"/>
      <c r="Y7" s="2224">
        <f t="shared" si="0"/>
        <v>0.65613249367740201</v>
      </c>
      <c r="Z7" s="2200">
        <f t="shared" si="7"/>
        <v>0.34386750632259799</v>
      </c>
    </row>
    <row r="8" spans="1:26" s="1901" customFormat="1" ht="15.6">
      <c r="A8" s="2251"/>
      <c r="B8" s="2481" t="s">
        <v>2350</v>
      </c>
      <c r="C8" s="2254"/>
      <c r="D8" s="2205" t="s">
        <v>2064</v>
      </c>
      <c r="E8" s="2202">
        <v>839.95521999999994</v>
      </c>
      <c r="F8" s="2206">
        <f>SUM(M8:X8)</f>
        <v>344.27517073275465</v>
      </c>
      <c r="G8" s="2207">
        <f>F8/E8</f>
        <v>0.4098732438769232</v>
      </c>
      <c r="H8" s="2265">
        <f t="shared" si="4"/>
        <v>0</v>
      </c>
      <c r="I8" s="2199">
        <f>E8/2</f>
        <v>419.97760999999997</v>
      </c>
      <c r="J8" s="2240">
        <f t="shared" si="5"/>
        <v>0</v>
      </c>
      <c r="K8" s="2216">
        <f>IFERROR(J8/I8,0)</f>
        <v>0</v>
      </c>
      <c r="L8" s="2216">
        <f>IFERROR(J8/ABS($J$4),0)</f>
        <v>0</v>
      </c>
      <c r="M8" s="2208">
        <f>M9*$E$10/1000</f>
        <v>82.047518994802786</v>
      </c>
      <c r="N8" s="2208">
        <f t="shared" ref="N8:X8" si="10">N9*$E$10/1000</f>
        <v>65.763193763630454</v>
      </c>
      <c r="O8" s="2208">
        <f t="shared" si="10"/>
        <v>71.587353874952669</v>
      </c>
      <c r="P8" s="2208">
        <f t="shared" si="10"/>
        <v>60.663506071738809</v>
      </c>
      <c r="Q8" s="2208">
        <f t="shared" si="10"/>
        <v>64.213598027629914</v>
      </c>
      <c r="R8" s="2208">
        <f t="shared" si="10"/>
        <v>0</v>
      </c>
      <c r="S8" s="2208">
        <f t="shared" si="10"/>
        <v>0</v>
      </c>
      <c r="T8" s="2208">
        <f t="shared" si="10"/>
        <v>0</v>
      </c>
      <c r="U8" s="2208">
        <f t="shared" si="10"/>
        <v>0</v>
      </c>
      <c r="V8" s="2208">
        <f t="shared" si="10"/>
        <v>0</v>
      </c>
      <c r="W8" s="2208">
        <f t="shared" si="10"/>
        <v>0</v>
      </c>
      <c r="X8" s="2208">
        <f t="shared" si="10"/>
        <v>0</v>
      </c>
      <c r="Y8" s="2180">
        <f t="shared" si="0"/>
        <v>0.4098732438769232</v>
      </c>
      <c r="Z8" s="2181">
        <f t="shared" si="7"/>
        <v>0.59012675612307675</v>
      </c>
    </row>
    <row r="9" spans="1:26" s="1901" customFormat="1" ht="15.6">
      <c r="A9" s="2251"/>
      <c r="B9" s="2482"/>
      <c r="C9" s="2254"/>
      <c r="D9" s="2205" t="s">
        <v>2065</v>
      </c>
      <c r="E9" s="2202">
        <v>1300</v>
      </c>
      <c r="F9" s="2206">
        <f>SUM(M9:X9)</f>
        <v>532.83521704000009</v>
      </c>
      <c r="G9" s="2207">
        <f>F9/E9</f>
        <v>0.40987324387692314</v>
      </c>
      <c r="H9" s="2265">
        <f t="shared" si="4"/>
        <v>0</v>
      </c>
      <c r="I9" s="2199">
        <f>E9/2</f>
        <v>650</v>
      </c>
      <c r="J9" s="2240">
        <f t="shared" si="5"/>
        <v>0</v>
      </c>
      <c r="K9" s="2216">
        <f>IFERROR(J9/I9,0)</f>
        <v>0</v>
      </c>
      <c r="L9" s="2216"/>
      <c r="M9" s="2208">
        <f>关键业绩指标滚动预判!C37</f>
        <v>126.98507272000001</v>
      </c>
      <c r="N9" s="2208">
        <f>关键业绩指标滚动预判!D37</f>
        <v>101.78179723999999</v>
      </c>
      <c r="O9" s="2208">
        <f>关键业绩指标滚动预判!E37</f>
        <v>110.7958589</v>
      </c>
      <c r="P9" s="2208">
        <f>关键业绩指标滚动预判!F37</f>
        <v>93.889002670000011</v>
      </c>
      <c r="Q9" s="2208">
        <f>关键业绩指标滚动预判!G37</f>
        <v>99.383485510000014</v>
      </c>
      <c r="R9" s="2208">
        <f>关键业绩指标滚动预判!H37</f>
        <v>0</v>
      </c>
      <c r="S9" s="2208">
        <f>关键业绩指标滚动预判!I37</f>
        <v>0</v>
      </c>
      <c r="T9" s="2208">
        <f>关键业绩指标滚动预判!J37</f>
        <v>0</v>
      </c>
      <c r="U9" s="2208">
        <f>关键业绩指标滚动预判!K37</f>
        <v>0</v>
      </c>
      <c r="V9" s="2208">
        <f>关键业绩指标滚动预判!L37</f>
        <v>0</v>
      </c>
      <c r="W9" s="2208">
        <f>关键业绩指标滚动预判!M37</f>
        <v>0</v>
      </c>
      <c r="X9" s="2208">
        <f>关键业绩指标滚动预判!N37</f>
        <v>0</v>
      </c>
      <c r="Y9" s="2180">
        <f t="shared" si="0"/>
        <v>0.40987324387692314</v>
      </c>
      <c r="Z9" s="2181">
        <f t="shared" si="7"/>
        <v>0.59012675612307686</v>
      </c>
    </row>
    <row r="10" spans="1:26" s="1901" customFormat="1" ht="15.6">
      <c r="A10" s="2251"/>
      <c r="B10" s="2482"/>
      <c r="C10" s="2254"/>
      <c r="D10" s="2205" t="s">
        <v>2066</v>
      </c>
      <c r="E10" s="2202">
        <v>646.11940000000004</v>
      </c>
      <c r="F10" s="2206"/>
      <c r="G10" s="2207">
        <f>F10/E10</f>
        <v>0</v>
      </c>
      <c r="H10" s="2265">
        <f t="shared" si="4"/>
        <v>0</v>
      </c>
      <c r="I10" s="2216"/>
      <c r="J10" s="2215"/>
      <c r="K10" s="2216"/>
      <c r="L10" s="2216"/>
      <c r="M10" s="2208"/>
      <c r="N10" s="2208"/>
      <c r="O10" s="2208"/>
      <c r="P10" s="2208"/>
      <c r="Q10" s="2208"/>
      <c r="R10" s="2194"/>
      <c r="S10" s="2194"/>
      <c r="T10" s="2194"/>
      <c r="U10" s="2194"/>
      <c r="V10" s="2194"/>
      <c r="W10" s="2194"/>
      <c r="X10" s="2194"/>
      <c r="Y10" s="2180">
        <f t="shared" si="0"/>
        <v>0</v>
      </c>
      <c r="Z10" s="2181">
        <f t="shared" si="7"/>
        <v>1</v>
      </c>
    </row>
    <row r="11" spans="1:26" s="1901" customFormat="1" ht="15.6">
      <c r="A11" s="2251"/>
      <c r="B11" s="2482"/>
      <c r="C11" s="2254"/>
      <c r="D11" s="2205" t="s">
        <v>2067</v>
      </c>
      <c r="E11" s="2202">
        <v>16.268951999999999</v>
      </c>
      <c r="F11" s="2206">
        <f>SUM(M11:X11)</f>
        <v>4.0063799145600001</v>
      </c>
      <c r="G11" s="2207">
        <f>F11/E11</f>
        <v>0.24625924980047886</v>
      </c>
      <c r="H11" s="2265">
        <f t="shared" si="4"/>
        <v>0</v>
      </c>
      <c r="I11" s="2199">
        <f>E11/2</f>
        <v>8.1344759999999994</v>
      </c>
      <c r="J11" s="2240">
        <f t="shared" si="5"/>
        <v>0</v>
      </c>
      <c r="K11" s="2216">
        <f t="shared" si="6"/>
        <v>0</v>
      </c>
      <c r="L11" s="2216">
        <f>IFERROR(J11/ABS($J$4),0)</f>
        <v>0</v>
      </c>
      <c r="M11" s="2226">
        <f>M12*$E$13/1000</f>
        <v>0.8570922448199999</v>
      </c>
      <c r="N11" s="2226">
        <f t="shared" ref="N11:X11" si="11">N12*$E$13/1000</f>
        <v>0.83660329805999989</v>
      </c>
      <c r="O11" s="2226">
        <f t="shared" si="11"/>
        <v>1.5042918973200001</v>
      </c>
      <c r="P11" s="2226">
        <f t="shared" si="11"/>
        <v>0.80839247436000006</v>
      </c>
      <c r="Q11" s="2226">
        <f t="shared" si="11"/>
        <v>0</v>
      </c>
      <c r="R11" s="2226">
        <f t="shared" si="11"/>
        <v>0</v>
      </c>
      <c r="S11" s="2226">
        <f t="shared" si="11"/>
        <v>0</v>
      </c>
      <c r="T11" s="2226">
        <f t="shared" si="11"/>
        <v>0</v>
      </c>
      <c r="U11" s="2226">
        <f t="shared" si="11"/>
        <v>0</v>
      </c>
      <c r="V11" s="2226">
        <f t="shared" si="11"/>
        <v>0</v>
      </c>
      <c r="W11" s="2226">
        <f t="shared" si="11"/>
        <v>0</v>
      </c>
      <c r="X11" s="2226">
        <f t="shared" si="11"/>
        <v>0</v>
      </c>
      <c r="Y11" s="2180">
        <f t="shared" si="0"/>
        <v>0.24625924980047886</v>
      </c>
      <c r="Z11" s="2181">
        <f t="shared" si="7"/>
        <v>0.75374075019952114</v>
      </c>
    </row>
    <row r="12" spans="1:26" s="1901" customFormat="1" ht="15.6">
      <c r="A12" s="2251"/>
      <c r="B12" s="2482"/>
      <c r="C12" s="2254"/>
      <c r="D12" s="2205" t="s">
        <v>2214</v>
      </c>
      <c r="E12" s="2209">
        <v>50.12</v>
      </c>
      <c r="F12" s="2206">
        <f>SUM(M12:X12)</f>
        <v>12.3425136</v>
      </c>
      <c r="G12" s="2207">
        <f>F12/E12</f>
        <v>0.24625924980047886</v>
      </c>
      <c r="H12" s="2265">
        <f t="shared" si="4"/>
        <v>0</v>
      </c>
      <c r="I12" s="2199">
        <f>E12/2</f>
        <v>25.06</v>
      </c>
      <c r="J12" s="2240">
        <f t="shared" si="5"/>
        <v>0</v>
      </c>
      <c r="K12" s="2216">
        <f t="shared" si="6"/>
        <v>0</v>
      </c>
      <c r="L12" s="2216"/>
      <c r="M12" s="2226">
        <f>关键业绩指标滚动预判!C38</f>
        <v>2.6404566999999997</v>
      </c>
      <c r="N12" s="2226">
        <f>关键业绩指标滚动预判!D38</f>
        <v>2.5773360999999997</v>
      </c>
      <c r="O12" s="2226">
        <f>关键业绩指标滚动预判!E38</f>
        <v>4.6342942000000003</v>
      </c>
      <c r="P12" s="2226">
        <f>关键业绩指标滚动预判!F38</f>
        <v>2.4904266000000002</v>
      </c>
      <c r="Q12" s="2226">
        <f>关键业绩指标滚动预判!G38</f>
        <v>0</v>
      </c>
      <c r="R12" s="2226">
        <f>关键业绩指标滚动预判!H38</f>
        <v>0</v>
      </c>
      <c r="S12" s="2226">
        <f>关键业绩指标滚动预判!I38</f>
        <v>0</v>
      </c>
      <c r="T12" s="2226">
        <f>关键业绩指标滚动预判!J38</f>
        <v>0</v>
      </c>
      <c r="U12" s="2226">
        <f>关键业绩指标滚动预判!K38</f>
        <v>0</v>
      </c>
      <c r="V12" s="2226">
        <f>关键业绩指标滚动预判!L38</f>
        <v>0</v>
      </c>
      <c r="W12" s="2226">
        <f>关键业绩指标滚动预判!M38</f>
        <v>0</v>
      </c>
      <c r="X12" s="2226">
        <f>关键业绩指标滚动预判!N38</f>
        <v>0</v>
      </c>
      <c r="Y12" s="2180">
        <f t="shared" si="0"/>
        <v>0.24625924980047886</v>
      </c>
      <c r="Z12" s="2181">
        <f t="shared" si="7"/>
        <v>0.75374075019952114</v>
      </c>
    </row>
    <row r="13" spans="1:26" s="1901" customFormat="1" ht="15.6">
      <c r="A13" s="2251"/>
      <c r="B13" s="2482"/>
      <c r="C13" s="2254"/>
      <c r="D13" s="2205" t="s">
        <v>2066</v>
      </c>
      <c r="E13" s="2209">
        <v>324.60000000000002</v>
      </c>
      <c r="F13" s="2194"/>
      <c r="G13" s="2195"/>
      <c r="H13" s="2265">
        <f t="shared" si="4"/>
        <v>0</v>
      </c>
      <c r="I13" s="2222"/>
      <c r="J13" s="2215"/>
      <c r="K13" s="2216"/>
      <c r="L13" s="2216"/>
      <c r="M13" s="2194"/>
      <c r="N13" s="2194"/>
      <c r="O13" s="2194"/>
      <c r="P13" s="2194"/>
      <c r="Q13" s="2194"/>
      <c r="R13" s="2194"/>
      <c r="S13" s="2194"/>
      <c r="T13" s="2194"/>
      <c r="U13" s="2194"/>
      <c r="V13" s="2194"/>
      <c r="W13" s="2194"/>
      <c r="X13" s="2194"/>
      <c r="Y13" s="2180">
        <f t="shared" si="0"/>
        <v>0</v>
      </c>
      <c r="Z13" s="2181">
        <f t="shared" si="7"/>
        <v>1</v>
      </c>
    </row>
    <row r="14" spans="1:26" s="1901" customFormat="1" ht="15.6">
      <c r="A14" s="2253"/>
      <c r="B14" s="2482"/>
      <c r="C14" s="2254"/>
      <c r="D14" s="2205" t="s">
        <v>2213</v>
      </c>
      <c r="E14" s="2202">
        <v>1350.12</v>
      </c>
      <c r="F14" s="2206">
        <f>SUM(M14:X14)</f>
        <v>545.17773063999994</v>
      </c>
      <c r="G14" s="2207">
        <f>F14/E14</f>
        <v>0.40379946274405237</v>
      </c>
      <c r="H14" s="2265">
        <f t="shared" si="4"/>
        <v>0</v>
      </c>
      <c r="I14" s="2199">
        <f>E14/2</f>
        <v>675.06</v>
      </c>
      <c r="J14" s="2240">
        <f t="shared" si="5"/>
        <v>0</v>
      </c>
      <c r="K14" s="2216">
        <f t="shared" si="6"/>
        <v>0</v>
      </c>
      <c r="L14" s="2216"/>
      <c r="M14" s="2226">
        <f>M9+M12</f>
        <v>129.62552941999999</v>
      </c>
      <c r="N14" s="2226">
        <f t="shared" ref="N14:Q14" si="12">N9+N12</f>
        <v>104.35913333999999</v>
      </c>
      <c r="O14" s="2226">
        <f t="shared" si="12"/>
        <v>115.4301531</v>
      </c>
      <c r="P14" s="2226">
        <f t="shared" si="12"/>
        <v>96.379429270000017</v>
      </c>
      <c r="Q14" s="2226">
        <f t="shared" si="12"/>
        <v>99.383485510000014</v>
      </c>
      <c r="R14" s="2194"/>
      <c r="S14" s="2194"/>
      <c r="T14" s="2194"/>
      <c r="U14" s="2194"/>
      <c r="V14" s="2194"/>
      <c r="W14" s="2194"/>
      <c r="X14" s="2194"/>
      <c r="Y14" s="2180">
        <f t="shared" si="0"/>
        <v>0.40379946274405237</v>
      </c>
      <c r="Z14" s="2181">
        <f t="shared" si="7"/>
        <v>0.59620053725594757</v>
      </c>
    </row>
    <row r="15" spans="1:26" s="1901" customFormat="1" ht="15.6">
      <c r="A15" s="2251"/>
      <c r="B15" s="2483"/>
      <c r="C15" s="2254"/>
      <c r="D15" s="2205" t="s">
        <v>2068</v>
      </c>
      <c r="E15" s="2202">
        <f>E7/E14*1000</f>
        <v>634.18375551802797</v>
      </c>
      <c r="F15" s="2194"/>
      <c r="G15" s="2195"/>
      <c r="H15" s="2265">
        <f t="shared" si="4"/>
        <v>0</v>
      </c>
      <c r="I15" s="2222"/>
      <c r="J15" s="2215"/>
      <c r="K15" s="2216"/>
      <c r="L15" s="2216"/>
      <c r="M15" s="2194"/>
      <c r="N15" s="2194"/>
      <c r="O15" s="2194"/>
      <c r="P15" s="2194"/>
      <c r="Q15" s="2194"/>
      <c r="R15" s="2194"/>
      <c r="S15" s="2194"/>
      <c r="T15" s="2194"/>
      <c r="U15" s="2194"/>
      <c r="V15" s="2194"/>
      <c r="W15" s="2194"/>
      <c r="X15" s="2194"/>
      <c r="Y15" s="2180">
        <f t="shared" si="0"/>
        <v>0</v>
      </c>
      <c r="Z15" s="2181">
        <f t="shared" si="7"/>
        <v>1</v>
      </c>
    </row>
    <row r="16" spans="1:26" s="1901" customFormat="1" ht="15.6">
      <c r="A16" s="2251">
        <f t="shared" si="1"/>
        <v>5.5511151231257827E-17</v>
      </c>
      <c r="B16" s="2255"/>
      <c r="C16" s="2254"/>
      <c r="D16" s="1831" t="s">
        <v>2069</v>
      </c>
      <c r="E16" s="2174">
        <v>1.9049759999999998</v>
      </c>
      <c r="F16" s="2260">
        <f>SUM(M16:X16)</f>
        <v>-5.5511151231257827E-17</v>
      </c>
      <c r="G16" s="2261">
        <f>F16/E16</f>
        <v>-2.9140079051524968E-17</v>
      </c>
      <c r="H16" s="2265">
        <f t="shared" si="4"/>
        <v>0</v>
      </c>
      <c r="I16" s="2197">
        <f t="shared" ref="I16:I25" si="13">E16/2</f>
        <v>0.95248799999999989</v>
      </c>
      <c r="J16" s="2240">
        <f t="shared" si="5"/>
        <v>0</v>
      </c>
      <c r="K16" s="2221">
        <f t="shared" si="6"/>
        <v>0</v>
      </c>
      <c r="L16" s="2221">
        <f t="shared" ref="L16:L22" si="14">IFERROR(J16/ABS($J$4),0)</f>
        <v>0</v>
      </c>
      <c r="M16" s="2227">
        <v>0.17951109059999998</v>
      </c>
      <c r="N16" s="2227">
        <v>0.13911838330000001</v>
      </c>
      <c r="O16" s="2227">
        <v>-0.13974470380000001</v>
      </c>
      <c r="P16" s="2227">
        <v>-0.17888477010000001</v>
      </c>
      <c r="Q16" s="2227">
        <v>0</v>
      </c>
      <c r="R16" s="2227"/>
      <c r="S16" s="2227"/>
      <c r="T16" s="2227"/>
      <c r="U16" s="2227"/>
      <c r="V16" s="2227"/>
      <c r="W16" s="2227"/>
      <c r="X16" s="2227"/>
      <c r="Y16" s="2181">
        <f t="shared" si="0"/>
        <v>-2.9140079051524968E-17</v>
      </c>
      <c r="Z16" s="2181">
        <f t="shared" si="7"/>
        <v>1</v>
      </c>
    </row>
    <row r="17" spans="1:26" s="1901" customFormat="1" ht="15.6">
      <c r="A17" s="2251">
        <f t="shared" si="1"/>
        <v>0</v>
      </c>
      <c r="B17" s="2255">
        <v>1.3733852653</v>
      </c>
      <c r="C17" s="2254"/>
      <c r="D17" s="1831" t="s">
        <v>2070</v>
      </c>
      <c r="E17" s="2174">
        <v>3.7</v>
      </c>
      <c r="F17" s="2260">
        <f>SUM(M17:X17)</f>
        <v>1.3733852653</v>
      </c>
      <c r="G17" s="2261">
        <f>F17/E17</f>
        <v>0.37118520683783784</v>
      </c>
      <c r="H17" s="2265">
        <f t="shared" si="4"/>
        <v>0</v>
      </c>
      <c r="I17" s="2197">
        <f t="shared" si="13"/>
        <v>1.85</v>
      </c>
      <c r="J17" s="2240">
        <f t="shared" si="5"/>
        <v>0</v>
      </c>
      <c r="K17" s="2221">
        <f t="shared" si="6"/>
        <v>0</v>
      </c>
      <c r="L17" s="2221">
        <f t="shared" si="14"/>
        <v>0</v>
      </c>
      <c r="M17" s="2227">
        <v>0.3535096036</v>
      </c>
      <c r="N17" s="2227">
        <v>0.189045036</v>
      </c>
      <c r="O17" s="2227">
        <v>0.34897531530000003</v>
      </c>
      <c r="P17" s="2227">
        <v>0.26526585590000001</v>
      </c>
      <c r="Q17" s="2227">
        <v>0.2165894545</v>
      </c>
      <c r="R17" s="2227"/>
      <c r="S17" s="2227"/>
      <c r="T17" s="2227"/>
      <c r="U17" s="2227"/>
      <c r="V17" s="2227"/>
      <c r="W17" s="2227"/>
      <c r="X17" s="2227"/>
      <c r="Y17" s="2181">
        <f t="shared" si="0"/>
        <v>0.37118520683783784</v>
      </c>
      <c r="Z17" s="2181">
        <f t="shared" si="7"/>
        <v>0.62881479316216216</v>
      </c>
    </row>
    <row r="18" spans="1:26" s="1901" customFormat="1" ht="15.6">
      <c r="A18" s="2251">
        <f t="shared" si="1"/>
        <v>0</v>
      </c>
      <c r="B18" s="2255">
        <v>8.6153846400000011E-2</v>
      </c>
      <c r="C18" s="2254"/>
      <c r="D18" s="1831" t="s">
        <v>2071</v>
      </c>
      <c r="E18" s="2174">
        <v>0.17230000000000001</v>
      </c>
      <c r="F18" s="2260">
        <f>SUM(M18:X18)</f>
        <v>8.6153846399999998E-2</v>
      </c>
      <c r="G18" s="2261">
        <f>F18/E18</f>
        <v>0.50002232385374346</v>
      </c>
      <c r="H18" s="2265">
        <f t="shared" si="4"/>
        <v>0</v>
      </c>
      <c r="I18" s="2197">
        <f t="shared" si="13"/>
        <v>8.6150000000000004E-2</v>
      </c>
      <c r="J18" s="2240">
        <f t="shared" si="5"/>
        <v>0</v>
      </c>
      <c r="K18" s="2221">
        <f t="shared" si="6"/>
        <v>0</v>
      </c>
      <c r="L18" s="2221">
        <f t="shared" si="14"/>
        <v>0</v>
      </c>
      <c r="M18" s="2227">
        <v>2.87179488E-2</v>
      </c>
      <c r="N18" s="2227">
        <v>1.43589744E-2</v>
      </c>
      <c r="O18" s="2227">
        <v>1.43589744E-2</v>
      </c>
      <c r="P18" s="2227">
        <v>1.43589744E-2</v>
      </c>
      <c r="Q18" s="2227">
        <v>1.43589744E-2</v>
      </c>
      <c r="R18" s="2227"/>
      <c r="S18" s="2227"/>
      <c r="T18" s="2227"/>
      <c r="U18" s="2227"/>
      <c r="V18" s="2227"/>
      <c r="W18" s="2227"/>
      <c r="X18" s="2227"/>
      <c r="Y18" s="2181">
        <f t="shared" si="0"/>
        <v>0.50002232385374346</v>
      </c>
      <c r="Z18" s="2181">
        <f t="shared" si="7"/>
        <v>0.49997767614625654</v>
      </c>
    </row>
    <row r="19" spans="1:26" s="1901" customFormat="1" ht="15.6">
      <c r="A19" s="2251">
        <f t="shared" si="1"/>
        <v>0</v>
      </c>
      <c r="B19" s="2255">
        <v>0.13062225</v>
      </c>
      <c r="C19" s="2254"/>
      <c r="D19" s="1831" t="s">
        <v>2072</v>
      </c>
      <c r="E19" s="2174">
        <v>1.6882599999999999</v>
      </c>
      <c r="F19" s="2260">
        <f>SUM(M19:X19)</f>
        <v>0.13062225</v>
      </c>
      <c r="G19" s="2261">
        <f>F19/E19</f>
        <v>7.7370932202385889E-2</v>
      </c>
      <c r="H19" s="2265">
        <f t="shared" si="4"/>
        <v>0</v>
      </c>
      <c r="I19" s="2197">
        <f t="shared" si="13"/>
        <v>0.84412999999999994</v>
      </c>
      <c r="J19" s="2240">
        <f t="shared" si="5"/>
        <v>0</v>
      </c>
      <c r="K19" s="2221">
        <f t="shared" si="6"/>
        <v>0</v>
      </c>
      <c r="L19" s="2221">
        <f t="shared" si="14"/>
        <v>0</v>
      </c>
      <c r="M19" s="2227">
        <v>0</v>
      </c>
      <c r="N19" s="2227">
        <v>0</v>
      </c>
      <c r="O19" s="2227">
        <v>0.13062225</v>
      </c>
      <c r="P19" s="2227">
        <v>0</v>
      </c>
      <c r="Q19" s="2227">
        <v>0</v>
      </c>
      <c r="R19" s="2227"/>
      <c r="S19" s="2227"/>
      <c r="T19" s="2227"/>
      <c r="U19" s="2227"/>
      <c r="V19" s="2227"/>
      <c r="W19" s="2227"/>
      <c r="X19" s="2227"/>
      <c r="Y19" s="2181">
        <f t="shared" si="0"/>
        <v>7.7370932202385889E-2</v>
      </c>
      <c r="Z19" s="2181">
        <f t="shared" si="7"/>
        <v>0.92262906779761411</v>
      </c>
    </row>
    <row r="20" spans="1:26" s="1901" customFormat="1" ht="15.6">
      <c r="A20" s="2251">
        <f t="shared" si="1"/>
        <v>0</v>
      </c>
      <c r="B20" s="2255">
        <v>0</v>
      </c>
      <c r="C20" s="2254"/>
      <c r="D20" s="1831" t="s">
        <v>2073</v>
      </c>
      <c r="E20" s="2174">
        <v>1.236828</v>
      </c>
      <c r="F20" s="2260">
        <f>SUM(M20:X20)</f>
        <v>0</v>
      </c>
      <c r="G20" s="2261">
        <f>F20/E20</f>
        <v>0</v>
      </c>
      <c r="H20" s="2265">
        <f t="shared" si="4"/>
        <v>0</v>
      </c>
      <c r="I20" s="2197">
        <f t="shared" si="13"/>
        <v>0.61841400000000002</v>
      </c>
      <c r="J20" s="2240">
        <f t="shared" si="5"/>
        <v>0</v>
      </c>
      <c r="K20" s="2221">
        <f t="shared" si="6"/>
        <v>0</v>
      </c>
      <c r="L20" s="2221">
        <f t="shared" si="14"/>
        <v>0</v>
      </c>
      <c r="M20" s="2227">
        <v>0</v>
      </c>
      <c r="N20" s="2227">
        <v>0</v>
      </c>
      <c r="O20" s="2227">
        <v>0</v>
      </c>
      <c r="P20" s="2227">
        <v>0</v>
      </c>
      <c r="Q20" s="2227">
        <v>0</v>
      </c>
      <c r="R20" s="2227"/>
      <c r="S20" s="2227"/>
      <c r="T20" s="2227"/>
      <c r="U20" s="2227"/>
      <c r="V20" s="2227"/>
      <c r="W20" s="2227"/>
      <c r="X20" s="2227"/>
      <c r="Y20" s="2181">
        <f t="shared" si="0"/>
        <v>0</v>
      </c>
      <c r="Z20" s="2181">
        <f t="shared" si="7"/>
        <v>1</v>
      </c>
    </row>
    <row r="21" spans="1:26" s="1901" customFormat="1" ht="15.6">
      <c r="A21" s="2251">
        <f t="shared" si="1"/>
        <v>0</v>
      </c>
      <c r="B21" s="2255">
        <v>0</v>
      </c>
      <c r="C21" s="2254"/>
      <c r="D21" s="1831" t="s">
        <v>2074</v>
      </c>
      <c r="E21" s="2174">
        <v>0</v>
      </c>
      <c r="F21" s="2260"/>
      <c r="G21" s="2261"/>
      <c r="H21" s="2265">
        <f t="shared" si="4"/>
        <v>0</v>
      </c>
      <c r="I21" s="2197">
        <f t="shared" si="13"/>
        <v>0</v>
      </c>
      <c r="J21" s="2240">
        <f t="shared" si="5"/>
        <v>0</v>
      </c>
      <c r="K21" s="2221">
        <f t="shared" si="6"/>
        <v>0</v>
      </c>
      <c r="L21" s="2221">
        <f t="shared" si="14"/>
        <v>0</v>
      </c>
      <c r="M21" s="2227">
        <v>0</v>
      </c>
      <c r="N21" s="2227">
        <v>0</v>
      </c>
      <c r="O21" s="2227">
        <v>0</v>
      </c>
      <c r="P21" s="2227">
        <v>0</v>
      </c>
      <c r="Q21" s="2227">
        <v>0</v>
      </c>
      <c r="R21" s="2227"/>
      <c r="S21" s="2227"/>
      <c r="T21" s="2227"/>
      <c r="U21" s="2227"/>
      <c r="V21" s="2227"/>
      <c r="W21" s="2227"/>
      <c r="X21" s="2227"/>
      <c r="Y21" s="2181">
        <f t="shared" si="0"/>
        <v>0</v>
      </c>
      <c r="Z21" s="2181">
        <f t="shared" si="7"/>
        <v>1</v>
      </c>
    </row>
    <row r="22" spans="1:26" s="1901" customFormat="1" ht="15.6">
      <c r="A22" s="2251">
        <f t="shared" si="1"/>
        <v>0</v>
      </c>
      <c r="B22" s="2255">
        <v>6.5147681299999996E-2</v>
      </c>
      <c r="C22" s="2254"/>
      <c r="D22" s="1831" t="s">
        <v>2075</v>
      </c>
      <c r="E22" s="2174">
        <v>0.40544999999999998</v>
      </c>
      <c r="F22" s="2260">
        <f t="shared" ref="F22:F28" si="15">SUM(M22:X22)</f>
        <v>6.5147681299999996E-2</v>
      </c>
      <c r="G22" s="2261">
        <f t="shared" ref="G22:G28" si="16">F22/E22</f>
        <v>0.16067993908003453</v>
      </c>
      <c r="H22" s="2265">
        <f t="shared" si="4"/>
        <v>0</v>
      </c>
      <c r="I22" s="2197">
        <f t="shared" si="13"/>
        <v>0.20272499999999999</v>
      </c>
      <c r="J22" s="2240">
        <f t="shared" si="5"/>
        <v>0</v>
      </c>
      <c r="K22" s="2221">
        <f t="shared" si="6"/>
        <v>0</v>
      </c>
      <c r="L22" s="2221">
        <f t="shared" si="14"/>
        <v>0</v>
      </c>
      <c r="M22" s="2227">
        <v>7.4869679999999992E-4</v>
      </c>
      <c r="N22" s="2227">
        <v>3.6167182000000002E-3</v>
      </c>
      <c r="O22" s="2227">
        <v>7.6581197000000004E-3</v>
      </c>
      <c r="P22" s="2227">
        <v>2.8613965799999998E-2</v>
      </c>
      <c r="Q22" s="2227">
        <v>2.45101808E-2</v>
      </c>
      <c r="R22" s="2227"/>
      <c r="S22" s="2227"/>
      <c r="T22" s="2227"/>
      <c r="U22" s="2227"/>
      <c r="V22" s="2227"/>
      <c r="W22" s="2227"/>
      <c r="X22" s="2227"/>
      <c r="Y22" s="2181">
        <f t="shared" si="0"/>
        <v>0.16067993908003453</v>
      </c>
      <c r="Z22" s="2181">
        <f t="shared" si="7"/>
        <v>0.83932006091996547</v>
      </c>
    </row>
    <row r="23" spans="1:26" s="1901" customFormat="1" ht="15.6">
      <c r="A23" s="2251"/>
      <c r="B23" s="2256"/>
      <c r="C23" s="2254"/>
      <c r="D23" s="2244" t="s">
        <v>2347</v>
      </c>
      <c r="E23" s="2245">
        <f>E6-SUM(E7,E16:E22)</f>
        <v>0</v>
      </c>
      <c r="F23" s="2245">
        <f>F6-SUM(F7,F16:F22)</f>
        <v>15.205902682300007</v>
      </c>
      <c r="G23" s="2243"/>
      <c r="H23" s="2265">
        <f t="shared" si="4"/>
        <v>0</v>
      </c>
      <c r="I23" s="2242">
        <f>I6-SUM(I7,I16:I22)</f>
        <v>0</v>
      </c>
      <c r="J23" s="2242"/>
      <c r="K23" s="2243">
        <f t="shared" si="6"/>
        <v>0</v>
      </c>
      <c r="L23" s="2243"/>
      <c r="M23" s="2246">
        <f>M6-SUM(M7,M16:M22)</f>
        <v>3.2899247776999943</v>
      </c>
      <c r="N23" s="2246">
        <f t="shared" ref="N23:Q23" si="17">N6-SUM(N7,N16:N22)</f>
        <v>2.9087731381000026</v>
      </c>
      <c r="O23" s="2246">
        <f t="shared" si="17"/>
        <v>2.8254512329000221</v>
      </c>
      <c r="P23" s="2246">
        <f t="shared" si="17"/>
        <v>3.0249152761000104</v>
      </c>
      <c r="Q23" s="2246">
        <f t="shared" si="17"/>
        <v>3.1568382575000271</v>
      </c>
      <c r="R23" s="2246"/>
      <c r="S23" s="2246"/>
      <c r="T23" s="2246"/>
      <c r="U23" s="2246"/>
      <c r="V23" s="2246"/>
      <c r="W23" s="2246"/>
      <c r="X23" s="2246"/>
      <c r="Y23" s="2180"/>
      <c r="Z23" s="2180"/>
    </row>
    <row r="24" spans="1:26" s="1901" customFormat="1" ht="15.6">
      <c r="A24" s="2251">
        <f t="shared" si="1"/>
        <v>0</v>
      </c>
      <c r="B24" s="2255">
        <v>0</v>
      </c>
      <c r="C24" s="2254"/>
      <c r="D24" s="1829" t="s">
        <v>2076</v>
      </c>
      <c r="E24" s="2202">
        <v>25.582100000000001</v>
      </c>
      <c r="F24" s="2203">
        <f t="shared" si="15"/>
        <v>0</v>
      </c>
      <c r="G24" s="2204">
        <f t="shared" si="16"/>
        <v>0</v>
      </c>
      <c r="H24" s="2265">
        <f t="shared" si="4"/>
        <v>0</v>
      </c>
      <c r="I24" s="2199">
        <f t="shared" si="13"/>
        <v>12.79105</v>
      </c>
      <c r="J24" s="2240">
        <f t="shared" si="5"/>
        <v>0</v>
      </c>
      <c r="K24" s="2210">
        <f>IFERROR(J24/I24,0)</f>
        <v>0</v>
      </c>
      <c r="L24" s="2210">
        <f>IFERROR(J24/ABS($J$4),0)</f>
        <v>0</v>
      </c>
      <c r="M24" s="2227">
        <v>0</v>
      </c>
      <c r="N24" s="2227">
        <v>0</v>
      </c>
      <c r="O24" s="2227">
        <v>0</v>
      </c>
      <c r="P24" s="2227">
        <v>0</v>
      </c>
      <c r="Q24" s="2227">
        <v>0</v>
      </c>
      <c r="R24" s="2227"/>
      <c r="S24" s="2227"/>
      <c r="T24" s="2227"/>
      <c r="U24" s="2227"/>
      <c r="V24" s="2227"/>
      <c r="W24" s="2227"/>
      <c r="X24" s="2227"/>
      <c r="Y24" s="2181">
        <f t="shared" si="0"/>
        <v>0</v>
      </c>
      <c r="Z24" s="2181">
        <f t="shared" si="7"/>
        <v>1</v>
      </c>
    </row>
    <row r="25" spans="1:26" s="1901" customFormat="1" ht="15.6">
      <c r="A25" s="2251">
        <f t="shared" si="1"/>
        <v>0</v>
      </c>
      <c r="B25" s="2255">
        <v>1.4139176208999999</v>
      </c>
      <c r="C25" s="2254"/>
      <c r="D25" s="1829" t="s">
        <v>2077</v>
      </c>
      <c r="E25" s="2202">
        <v>5.8566219999999998</v>
      </c>
      <c r="F25" s="2203">
        <f t="shared" si="15"/>
        <v>1.4139176208999999</v>
      </c>
      <c r="G25" s="2204">
        <f t="shared" si="16"/>
        <v>0.24142203831833436</v>
      </c>
      <c r="H25" s="2265">
        <f t="shared" si="4"/>
        <v>0</v>
      </c>
      <c r="I25" s="2199">
        <f t="shared" si="13"/>
        <v>2.9283109999999999</v>
      </c>
      <c r="J25" s="2240">
        <f t="shared" si="5"/>
        <v>0</v>
      </c>
      <c r="K25" s="2210">
        <f t="shared" si="6"/>
        <v>0</v>
      </c>
      <c r="L25" s="2210">
        <f>IFERROR(J25/ABS($J$4),0)</f>
        <v>0</v>
      </c>
      <c r="M25" s="2227">
        <v>0.50599857400000003</v>
      </c>
      <c r="N25" s="2227">
        <v>0.22402705940000001</v>
      </c>
      <c r="O25" s="2227">
        <v>0.1932236557</v>
      </c>
      <c r="P25" s="2227">
        <v>0.18519710389999999</v>
      </c>
      <c r="Q25" s="2227">
        <v>0.30547122789999998</v>
      </c>
      <c r="R25" s="2227"/>
      <c r="S25" s="2227"/>
      <c r="T25" s="2227"/>
      <c r="U25" s="2227"/>
      <c r="V25" s="2227"/>
      <c r="W25" s="2227"/>
      <c r="X25" s="2227"/>
      <c r="Y25" s="2180">
        <f t="shared" si="0"/>
        <v>0.24142203831833436</v>
      </c>
      <c r="Z25" s="2180">
        <f t="shared" si="7"/>
        <v>0.75857796168166569</v>
      </c>
    </row>
    <row r="26" spans="1:26" s="2201" customFormat="1" ht="15.6">
      <c r="A26" s="2251">
        <f t="shared" si="1"/>
        <v>0</v>
      </c>
      <c r="B26" s="2252">
        <v>338.7134875127</v>
      </c>
      <c r="C26" s="2253">
        <f>E26/2-I26</f>
        <v>0</v>
      </c>
      <c r="D26" s="1829" t="s">
        <v>2078</v>
      </c>
      <c r="E26" s="2174">
        <v>866.48928367999997</v>
      </c>
      <c r="F26" s="2247">
        <f t="shared" si="15"/>
        <v>338.71348751270006</v>
      </c>
      <c r="G26" s="2248">
        <f t="shared" si="16"/>
        <v>0.39090326203940579</v>
      </c>
      <c r="H26" s="2265">
        <f t="shared" si="4"/>
        <v>0</v>
      </c>
      <c r="I26" s="2239">
        <f>SUM(I27,I50:I56)</f>
        <v>433.24464184000004</v>
      </c>
      <c r="J26" s="2240">
        <f t="shared" si="5"/>
        <v>0</v>
      </c>
      <c r="K26" s="2241">
        <f t="shared" si="6"/>
        <v>0</v>
      </c>
      <c r="L26" s="2241">
        <f>IFERROR(-J26/ABS($J$4),0)</f>
        <v>0</v>
      </c>
      <c r="M26" s="2230">
        <v>79.305822953499998</v>
      </c>
      <c r="N26" s="2230">
        <v>62.164019300500001</v>
      </c>
      <c r="O26" s="2230">
        <v>68.372594383100008</v>
      </c>
      <c r="P26" s="2230">
        <v>60.927064808499999</v>
      </c>
      <c r="Q26" s="2230">
        <v>67.943986067099999</v>
      </c>
      <c r="R26" s="2230"/>
      <c r="S26" s="2230"/>
      <c r="T26" s="2230"/>
      <c r="U26" s="2230"/>
      <c r="V26" s="2230"/>
      <c r="W26" s="2230"/>
      <c r="X26" s="2230"/>
      <c r="Y26" s="2224">
        <f t="shared" si="0"/>
        <v>0.39090326203940579</v>
      </c>
      <c r="Z26" s="2224">
        <f t="shared" si="7"/>
        <v>0.60909673796059427</v>
      </c>
    </row>
    <row r="27" spans="1:26" s="2201" customFormat="1" ht="15.6">
      <c r="A27" s="2257">
        <f t="shared" si="1"/>
        <v>0</v>
      </c>
      <c r="B27" s="2252">
        <v>335.23448202430001</v>
      </c>
      <c r="C27" s="2253">
        <f>E27/2-I27</f>
        <v>0</v>
      </c>
      <c r="D27" s="1829" t="s">
        <v>2079</v>
      </c>
      <c r="E27" s="2174">
        <v>834.42868367999995</v>
      </c>
      <c r="F27" s="2247">
        <f t="shared" si="15"/>
        <v>335.23448202430001</v>
      </c>
      <c r="G27" s="2248">
        <f t="shared" si="16"/>
        <v>0.40175330568197615</v>
      </c>
      <c r="H27" s="2265">
        <f t="shared" si="4"/>
        <v>0</v>
      </c>
      <c r="I27" s="2239">
        <f>SUM(I28,I34,I41)</f>
        <v>417.21434184000003</v>
      </c>
      <c r="J27" s="2240">
        <f t="shared" si="5"/>
        <v>0</v>
      </c>
      <c r="K27" s="2241">
        <f t="shared" si="6"/>
        <v>0</v>
      </c>
      <c r="L27" s="2241">
        <f>IFERROR(-J27/ABS($J$4),0)</f>
        <v>0</v>
      </c>
      <c r="M27" s="2230">
        <v>78.386004911499995</v>
      </c>
      <c r="N27" s="2230">
        <v>61.839914799300004</v>
      </c>
      <c r="O27" s="2230">
        <v>67.984738771899998</v>
      </c>
      <c r="P27" s="2230">
        <v>60.484767625799996</v>
      </c>
      <c r="Q27" s="2230">
        <v>66.539055915800006</v>
      </c>
      <c r="R27" s="2230"/>
      <c r="S27" s="2230"/>
      <c r="T27" s="2230"/>
      <c r="U27" s="2230"/>
      <c r="V27" s="2230"/>
      <c r="W27" s="2230"/>
      <c r="X27" s="2230"/>
      <c r="Y27" s="2224">
        <f t="shared" si="0"/>
        <v>0.40175330568197615</v>
      </c>
      <c r="Z27" s="2224">
        <f t="shared" si="7"/>
        <v>0.5982466943180238</v>
      </c>
    </row>
    <row r="28" spans="1:26" s="1901" customFormat="1" ht="15.6">
      <c r="A28" s="2251"/>
      <c r="B28" s="2478" t="s">
        <v>2349</v>
      </c>
      <c r="C28" s="2258"/>
      <c r="D28" s="2205" t="s">
        <v>2080</v>
      </c>
      <c r="E28" s="2202">
        <v>547.53011119999996</v>
      </c>
      <c r="F28" s="2206">
        <f t="shared" si="15"/>
        <v>206.93762121305556</v>
      </c>
      <c r="G28" s="2207">
        <f t="shared" si="16"/>
        <v>0.37794747170985465</v>
      </c>
      <c r="H28" s="2265">
        <f t="shared" si="4"/>
        <v>0</v>
      </c>
      <c r="I28" s="2199">
        <f>E28/2</f>
        <v>273.76505559999998</v>
      </c>
      <c r="J28" s="2240">
        <f t="shared" si="5"/>
        <v>0</v>
      </c>
      <c r="K28" s="2216">
        <f t="shared" si="6"/>
        <v>0</v>
      </c>
      <c r="L28" s="2216">
        <f>IFERROR(-J28/ABS($J$4),0)</f>
        <v>0</v>
      </c>
      <c r="M28" s="2211">
        <f>$E$31*M30/1000</f>
        <v>51.585655638009193</v>
      </c>
      <c r="N28" s="2211">
        <f t="shared" ref="N28:R28" si="18">$E$31*N30/1000</f>
        <v>39.091058828790793</v>
      </c>
      <c r="O28" s="2211">
        <f t="shared" si="18"/>
        <v>40.954933519235198</v>
      </c>
      <c r="P28" s="2211">
        <f>$E$31*P30/1000</f>
        <v>35.103250240408393</v>
      </c>
      <c r="Q28" s="2211">
        <f t="shared" si="18"/>
        <v>40.202722986611995</v>
      </c>
      <c r="R28" s="2211">
        <f t="shared" si="18"/>
        <v>0</v>
      </c>
      <c r="S28" s="2211">
        <f t="shared" ref="S28:X28" si="19">$E$31*S30/1000</f>
        <v>0</v>
      </c>
      <c r="T28" s="2211">
        <f t="shared" si="19"/>
        <v>0</v>
      </c>
      <c r="U28" s="2211">
        <f t="shared" si="19"/>
        <v>0</v>
      </c>
      <c r="V28" s="2211">
        <f t="shared" si="19"/>
        <v>0</v>
      </c>
      <c r="W28" s="2211">
        <f t="shared" si="19"/>
        <v>0</v>
      </c>
      <c r="X28" s="2211">
        <f t="shared" si="19"/>
        <v>0</v>
      </c>
      <c r="Y28" s="2180">
        <f t="shared" si="0"/>
        <v>0.37794747170985465</v>
      </c>
      <c r="Z28" s="2180">
        <f t="shared" si="7"/>
        <v>0.62205252829014535</v>
      </c>
    </row>
    <row r="29" spans="1:26" s="1901" customFormat="1" ht="15.6">
      <c r="A29" s="2251">
        <f t="shared" si="1"/>
        <v>0</v>
      </c>
      <c r="B29" s="2479"/>
      <c r="C29" s="2254"/>
      <c r="D29" s="2205" t="s">
        <v>2212</v>
      </c>
      <c r="E29" s="2202">
        <v>1380</v>
      </c>
      <c r="F29" s="2211"/>
      <c r="G29" s="2207"/>
      <c r="H29" s="2265">
        <f t="shared" si="4"/>
        <v>0</v>
      </c>
      <c r="I29" s="2216"/>
      <c r="J29" s="2215"/>
      <c r="K29" s="2216"/>
      <c r="L29" s="2216"/>
      <c r="M29" s="2211"/>
      <c r="N29" s="2211"/>
      <c r="O29" s="2211"/>
      <c r="P29" s="2211"/>
      <c r="Q29" s="2211"/>
      <c r="R29" s="2211"/>
      <c r="S29" s="2211"/>
      <c r="T29" s="2211"/>
      <c r="U29" s="2211"/>
      <c r="V29" s="2211"/>
      <c r="W29" s="2211"/>
      <c r="X29" s="2211"/>
      <c r="Y29" s="2180">
        <f t="shared" si="0"/>
        <v>0</v>
      </c>
      <c r="Z29" s="2180">
        <f t="shared" si="7"/>
        <v>1</v>
      </c>
    </row>
    <row r="30" spans="1:26" s="1901" customFormat="1" ht="15.6">
      <c r="A30" s="2251"/>
      <c r="B30" s="2479"/>
      <c r="C30" s="2254"/>
      <c r="D30" s="2205" t="s">
        <v>2211</v>
      </c>
      <c r="E30" s="2202">
        <v>1431.18</v>
      </c>
      <c r="F30" s="2206">
        <f>SUM(M30:X30)</f>
        <v>540.53291508999996</v>
      </c>
      <c r="G30" s="2207">
        <f>F30/E30</f>
        <v>0.37768339069159712</v>
      </c>
      <c r="H30" s="2265">
        <f t="shared" si="4"/>
        <v>0</v>
      </c>
      <c r="I30" s="2199">
        <f>E30/2</f>
        <v>715.59</v>
      </c>
      <c r="J30" s="2240">
        <f t="shared" si="5"/>
        <v>0</v>
      </c>
      <c r="K30" s="2216">
        <f t="shared" si="6"/>
        <v>0</v>
      </c>
      <c r="L30" s="2216">
        <f>IFERROR(-J30/ABS($J$4),0)</f>
        <v>0</v>
      </c>
      <c r="M30" s="2211">
        <f>关键业绩指标滚动预判!C40</f>
        <v>134.74468612999999</v>
      </c>
      <c r="N30" s="2211">
        <f>关键业绩指标滚动预判!D40</f>
        <v>102.10808387</v>
      </c>
      <c r="O30" s="2211">
        <f>关键业绩指标滚动预判!E40</f>
        <v>106.97663128000001</v>
      </c>
      <c r="P30" s="2211">
        <f>关键业绩指标滚动预判!F40</f>
        <v>91.691699509999992</v>
      </c>
      <c r="Q30" s="2211">
        <f>关键业绩指标滚动预判!G40</f>
        <v>105.0118143</v>
      </c>
      <c r="R30" s="2211">
        <f>关键业绩指标滚动预判!H40</f>
        <v>0</v>
      </c>
      <c r="S30" s="2211">
        <f>关键业绩指标滚动预判!I40</f>
        <v>0</v>
      </c>
      <c r="T30" s="2211">
        <f>关键业绩指标滚动预判!J40</f>
        <v>0</v>
      </c>
      <c r="U30" s="2211">
        <f>关键业绩指标滚动预判!K40</f>
        <v>0</v>
      </c>
      <c r="V30" s="2211">
        <f>关键业绩指标滚动预判!L40</f>
        <v>0</v>
      </c>
      <c r="W30" s="2211">
        <f>关键业绩指标滚动预判!M40</f>
        <v>0</v>
      </c>
      <c r="X30" s="2211">
        <f>关键业绩指标滚动预判!N40</f>
        <v>0</v>
      </c>
      <c r="Y30" s="2180">
        <f t="shared" si="0"/>
        <v>0.37768339069159712</v>
      </c>
      <c r="Z30" s="2180">
        <f t="shared" si="7"/>
        <v>0.62231660930840293</v>
      </c>
    </row>
    <row r="31" spans="1:26" s="1901" customFormat="1" ht="15.6">
      <c r="A31" s="2251">
        <f t="shared" si="1"/>
        <v>0</v>
      </c>
      <c r="B31" s="2479"/>
      <c r="C31" s="2254"/>
      <c r="D31" s="2330" t="s">
        <v>2081</v>
      </c>
      <c r="E31" s="2202">
        <v>382.84</v>
      </c>
      <c r="F31" s="2211"/>
      <c r="G31" s="2207"/>
      <c r="H31" s="2265">
        <f t="shared" si="4"/>
        <v>0</v>
      </c>
      <c r="I31" s="2216"/>
      <c r="J31" s="2215"/>
      <c r="K31" s="2216"/>
      <c r="L31" s="2216"/>
      <c r="M31" s="2211"/>
      <c r="N31" s="2211"/>
      <c r="O31" s="2211"/>
      <c r="P31" s="2211"/>
      <c r="Q31" s="2211"/>
      <c r="R31" s="2194"/>
      <c r="S31" s="2194"/>
      <c r="T31" s="2194"/>
      <c r="U31" s="2194"/>
      <c r="V31" s="2194"/>
      <c r="W31" s="2194"/>
      <c r="X31" s="2194"/>
      <c r="Y31" s="2180">
        <f t="shared" si="0"/>
        <v>0</v>
      </c>
      <c r="Z31" s="2180">
        <f t="shared" si="7"/>
        <v>1</v>
      </c>
    </row>
    <row r="32" spans="1:26" s="1901" customFormat="1" ht="15.6">
      <c r="A32" s="2251">
        <f t="shared" si="1"/>
        <v>0</v>
      </c>
      <c r="B32" s="2479"/>
      <c r="C32" s="2254"/>
      <c r="D32" s="2205" t="s">
        <v>2082</v>
      </c>
      <c r="E32" s="2212">
        <f>(E29-E9)/E29</f>
        <v>5.7971014492753624E-2</v>
      </c>
      <c r="F32" s="2213"/>
      <c r="G32" s="2207"/>
      <c r="H32" s="2265">
        <f t="shared" si="4"/>
        <v>0</v>
      </c>
      <c r="I32" s="2216"/>
      <c r="J32" s="2215"/>
      <c r="K32" s="2216"/>
      <c r="L32" s="2216"/>
      <c r="M32" s="2213"/>
      <c r="N32" s="2213"/>
      <c r="O32" s="2213"/>
      <c r="P32" s="2213"/>
      <c r="Q32" s="2213"/>
      <c r="R32" s="2194"/>
      <c r="S32" s="2194"/>
      <c r="T32" s="2194"/>
      <c r="U32" s="2194"/>
      <c r="V32" s="2194"/>
      <c r="W32" s="2194"/>
      <c r="X32" s="2194"/>
      <c r="Y32" s="2180">
        <f t="shared" si="0"/>
        <v>0</v>
      </c>
      <c r="Z32" s="2180">
        <f t="shared" si="7"/>
        <v>1</v>
      </c>
    </row>
    <row r="33" spans="1:26" s="1901" customFormat="1" ht="15.6">
      <c r="A33" s="2251">
        <f t="shared" si="1"/>
        <v>0</v>
      </c>
      <c r="B33" s="2480"/>
      <c r="C33" s="2254"/>
      <c r="D33" s="2205" t="s">
        <v>2083</v>
      </c>
      <c r="E33" s="2212">
        <f>(E30-E14)/E30</f>
        <v>5.6638577956651275E-2</v>
      </c>
      <c r="F33" s="2213"/>
      <c r="G33" s="2207"/>
      <c r="H33" s="2265">
        <f t="shared" si="4"/>
        <v>0</v>
      </c>
      <c r="I33" s="2216"/>
      <c r="J33" s="2215"/>
      <c r="K33" s="2216"/>
      <c r="L33" s="2216"/>
      <c r="M33" s="2213"/>
      <c r="N33" s="2213"/>
      <c r="O33" s="2213"/>
      <c r="P33" s="2213"/>
      <c r="Q33" s="2213"/>
      <c r="R33" s="2194"/>
      <c r="S33" s="2194"/>
      <c r="T33" s="2194"/>
      <c r="U33" s="2194"/>
      <c r="V33" s="2194"/>
      <c r="W33" s="2194"/>
      <c r="X33" s="2194"/>
      <c r="Y33" s="2180">
        <f t="shared" si="0"/>
        <v>0</v>
      </c>
      <c r="Z33" s="2180">
        <f t="shared" si="7"/>
        <v>1</v>
      </c>
    </row>
    <row r="34" spans="1:26" s="1901" customFormat="1" ht="15.6">
      <c r="A34" s="2251"/>
      <c r="B34" s="2484" t="s">
        <v>2351</v>
      </c>
      <c r="C34" s="2254"/>
      <c r="D34" s="2205" t="s">
        <v>2084</v>
      </c>
      <c r="E34" s="2202">
        <v>281.08777615000002</v>
      </c>
      <c r="F34" s="2206">
        <f t="shared" ref="F34:F42" si="20">SUM(M34:X34)</f>
        <v>118.85290046419999</v>
      </c>
      <c r="G34" s="2207">
        <f t="shared" ref="G34:G42" si="21">F34/E34</f>
        <v>0.42283197829554559</v>
      </c>
      <c r="H34" s="2265">
        <f t="shared" si="4"/>
        <v>0</v>
      </c>
      <c r="I34" s="2199">
        <f>E34/2</f>
        <v>140.54388807500001</v>
      </c>
      <c r="J34" s="2240">
        <f t="shared" ref="J34:J56" si="22">IF(OR(H34=0,I34=0),0,H34-I34)</f>
        <v>0</v>
      </c>
      <c r="K34" s="2216">
        <f t="shared" ref="K34:K63" si="23">IFERROR(J34/I34,0)</f>
        <v>0</v>
      </c>
      <c r="L34" s="2216">
        <f t="shared" ref="L34:L43" si="24">IFERROR(-J34/ABS($J$4),0)</f>
        <v>0</v>
      </c>
      <c r="M34" s="2329">
        <v>24.113410719099999</v>
      </c>
      <c r="N34" s="2329">
        <v>20.4458004267</v>
      </c>
      <c r="O34" s="2329">
        <v>24.622481666700001</v>
      </c>
      <c r="P34" s="2329">
        <v>24.594564485000003</v>
      </c>
      <c r="Q34" s="2329">
        <v>25.076643166699981</v>
      </c>
      <c r="R34" s="2194"/>
      <c r="S34" s="2194"/>
      <c r="T34" s="2194"/>
      <c r="U34" s="2194"/>
      <c r="V34" s="2194"/>
      <c r="W34" s="2194"/>
      <c r="X34" s="2194"/>
      <c r="Y34" s="2180">
        <f t="shared" si="0"/>
        <v>0.42283197829554559</v>
      </c>
      <c r="Z34" s="2180">
        <f t="shared" si="7"/>
        <v>0.57716802170445436</v>
      </c>
    </row>
    <row r="35" spans="1:26" s="1901" customFormat="1" ht="15.6">
      <c r="A35" s="2251">
        <f t="shared" si="1"/>
        <v>-6.0104300931000001</v>
      </c>
      <c r="B35" s="2485"/>
      <c r="C35" s="2254"/>
      <c r="D35" s="2205" t="s">
        <v>2085</v>
      </c>
      <c r="E35" s="2202">
        <v>15.951428</v>
      </c>
      <c r="F35" s="2206">
        <f t="shared" si="20"/>
        <v>6.0104300931000001</v>
      </c>
      <c r="G35" s="2207">
        <f t="shared" si="21"/>
        <v>0.37679573848184628</v>
      </c>
      <c r="H35" s="2265">
        <f t="shared" si="4"/>
        <v>0</v>
      </c>
      <c r="I35" s="2215">
        <f t="shared" ref="I35:I49" si="25">E35/2</f>
        <v>7.975714</v>
      </c>
      <c r="J35" s="2240">
        <f t="shared" si="22"/>
        <v>0</v>
      </c>
      <c r="K35" s="2216">
        <f t="shared" si="23"/>
        <v>0</v>
      </c>
      <c r="L35" s="2216">
        <f t="shared" si="24"/>
        <v>0</v>
      </c>
      <c r="M35" s="2329">
        <v>0.72959879999999999</v>
      </c>
      <c r="N35" s="2329">
        <v>1.0933821325999999</v>
      </c>
      <c r="O35" s="2329">
        <v>0.24351833170000017</v>
      </c>
      <c r="P35" s="2329">
        <v>2.8074033754000003</v>
      </c>
      <c r="Q35" s="2329">
        <v>1.1365274533999992</v>
      </c>
      <c r="R35" s="2194"/>
      <c r="S35" s="2194"/>
      <c r="T35" s="2194"/>
      <c r="U35" s="2194"/>
      <c r="V35" s="2194"/>
      <c r="W35" s="2194"/>
      <c r="X35" s="2194"/>
      <c r="Y35" s="2180">
        <f t="shared" si="0"/>
        <v>0.37679573848184628</v>
      </c>
      <c r="Z35" s="2180">
        <f t="shared" si="7"/>
        <v>0.62320426151815367</v>
      </c>
    </row>
    <row r="36" spans="1:26" s="1901" customFormat="1" ht="15.6">
      <c r="A36" s="2251">
        <f t="shared" si="1"/>
        <v>-64.938307346300007</v>
      </c>
      <c r="B36" s="2485"/>
      <c r="C36" s="2254"/>
      <c r="D36" s="2205" t="s">
        <v>2086</v>
      </c>
      <c r="E36" s="2202">
        <v>155.77971200000002</v>
      </c>
      <c r="F36" s="2206">
        <f t="shared" si="20"/>
        <v>64.938307346300007</v>
      </c>
      <c r="G36" s="2207">
        <f t="shared" si="21"/>
        <v>0.41685984980059532</v>
      </c>
      <c r="H36" s="2265">
        <f t="shared" si="4"/>
        <v>0</v>
      </c>
      <c r="I36" s="2215">
        <f t="shared" si="25"/>
        <v>77.889856000000009</v>
      </c>
      <c r="J36" s="2240">
        <f t="shared" si="22"/>
        <v>0</v>
      </c>
      <c r="K36" s="2216">
        <f t="shared" si="23"/>
        <v>0</v>
      </c>
      <c r="L36" s="2216">
        <f t="shared" si="24"/>
        <v>0</v>
      </c>
      <c r="M36" s="2329">
        <v>13.068511586499998</v>
      </c>
      <c r="N36" s="2329">
        <v>13.033390884300001</v>
      </c>
      <c r="O36" s="2329">
        <v>12.981948641200004</v>
      </c>
      <c r="P36" s="2329">
        <v>12.918504688399997</v>
      </c>
      <c r="Q36" s="2329">
        <v>12.935951545900002</v>
      </c>
      <c r="R36" s="2194"/>
      <c r="S36" s="2194"/>
      <c r="T36" s="2194"/>
      <c r="U36" s="2194"/>
      <c r="V36" s="2194"/>
      <c r="W36" s="2194"/>
      <c r="X36" s="2194"/>
      <c r="Y36" s="2180">
        <f t="shared" si="0"/>
        <v>0.41685984980059532</v>
      </c>
      <c r="Z36" s="2180">
        <f t="shared" si="7"/>
        <v>0.58314015019940468</v>
      </c>
    </row>
    <row r="37" spans="1:26" s="1901" customFormat="1" ht="15.6">
      <c r="A37" s="2251">
        <f t="shared" si="1"/>
        <v>-18.5754333553</v>
      </c>
      <c r="B37" s="2485"/>
      <c r="C37" s="2254"/>
      <c r="D37" s="2205" t="s">
        <v>2087</v>
      </c>
      <c r="E37" s="2202">
        <v>30.054272150000003</v>
      </c>
      <c r="F37" s="2206">
        <f t="shared" si="20"/>
        <v>18.5754333553</v>
      </c>
      <c r="G37" s="2207">
        <f t="shared" si="21"/>
        <v>0.61806299159701983</v>
      </c>
      <c r="H37" s="2265">
        <f t="shared" si="4"/>
        <v>0</v>
      </c>
      <c r="I37" s="2215">
        <f t="shared" si="25"/>
        <v>15.027136075000001</v>
      </c>
      <c r="J37" s="2240">
        <f t="shared" si="22"/>
        <v>0</v>
      </c>
      <c r="K37" s="2216">
        <f t="shared" si="23"/>
        <v>0</v>
      </c>
      <c r="L37" s="2216">
        <f t="shared" si="24"/>
        <v>0</v>
      </c>
      <c r="M37" s="2335">
        <v>3.3749526909000003</v>
      </c>
      <c r="N37" s="2335">
        <v>4.1080854427000002</v>
      </c>
      <c r="O37" s="2335">
        <v>3.5695204885000003</v>
      </c>
      <c r="P37" s="2335">
        <v>3.7554967511000004</v>
      </c>
      <c r="Q37" s="2335">
        <v>3.7673779820999993</v>
      </c>
      <c r="R37" s="2194"/>
      <c r="S37" s="2194"/>
      <c r="T37" s="2194"/>
      <c r="U37" s="2194"/>
      <c r="V37" s="2194"/>
      <c r="W37" s="2194"/>
      <c r="X37" s="2194"/>
      <c r="Y37" s="2180">
        <f t="shared" ref="Y37:Y63" si="26">G37</f>
        <v>0.61806299159701983</v>
      </c>
      <c r="Z37" s="2180">
        <f t="shared" si="7"/>
        <v>0.38193700840298017</v>
      </c>
    </row>
    <row r="38" spans="1:26" s="1901" customFormat="1" ht="15.6">
      <c r="A38" s="2251">
        <f t="shared" si="1"/>
        <v>-1.3313267722</v>
      </c>
      <c r="B38" s="2485"/>
      <c r="C38" s="2254"/>
      <c r="D38" s="2205" t="s">
        <v>2088</v>
      </c>
      <c r="E38" s="2202">
        <v>4.1525639999999999</v>
      </c>
      <c r="F38" s="2206">
        <f t="shared" si="20"/>
        <v>1.3313267722</v>
      </c>
      <c r="G38" s="2207">
        <f t="shared" si="21"/>
        <v>0.3206035529374141</v>
      </c>
      <c r="H38" s="2265">
        <f t="shared" si="4"/>
        <v>0</v>
      </c>
      <c r="I38" s="2215">
        <f t="shared" si="25"/>
        <v>2.076282</v>
      </c>
      <c r="J38" s="2240">
        <f t="shared" si="22"/>
        <v>0</v>
      </c>
      <c r="K38" s="2216">
        <f t="shared" si="23"/>
        <v>0</v>
      </c>
      <c r="L38" s="2216">
        <f t="shared" si="24"/>
        <v>0</v>
      </c>
      <c r="M38" s="2329">
        <v>0.18826501870000001</v>
      </c>
      <c r="N38" s="2329">
        <v>0.25411645209999995</v>
      </c>
      <c r="O38" s="2329">
        <v>0.39101481040000008</v>
      </c>
      <c r="P38" s="2329">
        <v>0.22857770269999997</v>
      </c>
      <c r="Q38" s="2329">
        <v>0.26935278829999998</v>
      </c>
      <c r="R38" s="2194"/>
      <c r="S38" s="2194"/>
      <c r="T38" s="2194"/>
      <c r="U38" s="2194"/>
      <c r="V38" s="2194"/>
      <c r="W38" s="2194"/>
      <c r="X38" s="2194"/>
      <c r="Y38" s="2180">
        <f t="shared" si="26"/>
        <v>0.3206035529374141</v>
      </c>
      <c r="Z38" s="2180">
        <f t="shared" si="7"/>
        <v>0.67939644706258595</v>
      </c>
    </row>
    <row r="39" spans="1:26" s="1901" customFormat="1" ht="15.6">
      <c r="A39" s="2251">
        <f t="shared" si="1"/>
        <v>-8.3989809900000019</v>
      </c>
      <c r="B39" s="2485"/>
      <c r="C39" s="2254"/>
      <c r="D39" s="2205" t="s">
        <v>2089</v>
      </c>
      <c r="E39" s="2202">
        <v>25.119</v>
      </c>
      <c r="F39" s="2206">
        <f t="shared" si="20"/>
        <v>8.3989809900000019</v>
      </c>
      <c r="G39" s="2207">
        <f t="shared" si="21"/>
        <v>0.33436764958796139</v>
      </c>
      <c r="H39" s="2265">
        <f t="shared" si="4"/>
        <v>0</v>
      </c>
      <c r="I39" s="2215">
        <f t="shared" si="25"/>
        <v>12.5595</v>
      </c>
      <c r="J39" s="2240">
        <f t="shared" si="22"/>
        <v>0</v>
      </c>
      <c r="K39" s="2216">
        <f t="shared" si="23"/>
        <v>0</v>
      </c>
      <c r="L39" s="2216">
        <f t="shared" si="24"/>
        <v>0</v>
      </c>
      <c r="M39" s="2329">
        <v>3.4353269999000005</v>
      </c>
      <c r="N39" s="2329">
        <v>-1.1895896823000003</v>
      </c>
      <c r="O39" s="2329">
        <v>2.8781154451999997</v>
      </c>
      <c r="P39" s="2329">
        <v>0.87960911299999955</v>
      </c>
      <c r="Q39" s="2329">
        <v>2.3955191142000007</v>
      </c>
      <c r="R39" s="2194"/>
      <c r="S39" s="2194"/>
      <c r="T39" s="2194"/>
      <c r="U39" s="2194"/>
      <c r="V39" s="2194"/>
      <c r="W39" s="2194"/>
      <c r="X39" s="2194"/>
      <c r="Y39" s="2180">
        <f t="shared" si="26"/>
        <v>0.33436764958796139</v>
      </c>
      <c r="Z39" s="2180">
        <f t="shared" si="7"/>
        <v>0.66563235041203861</v>
      </c>
    </row>
    <row r="40" spans="1:26" s="1901" customFormat="1" ht="15.6">
      <c r="A40" s="2251">
        <f t="shared" si="1"/>
        <v>-12.347399900800003</v>
      </c>
      <c r="B40" s="2485"/>
      <c r="C40" s="2254"/>
      <c r="D40" s="2205" t="s">
        <v>2090</v>
      </c>
      <c r="E40" s="2202">
        <v>50.030799999999999</v>
      </c>
      <c r="F40" s="2206">
        <f t="shared" si="20"/>
        <v>12.347399900800003</v>
      </c>
      <c r="G40" s="2207">
        <f t="shared" si="21"/>
        <v>0.24679597169743445</v>
      </c>
      <c r="H40" s="2265">
        <f t="shared" si="4"/>
        <v>0</v>
      </c>
      <c r="I40" s="2215">
        <f t="shared" si="25"/>
        <v>25.0154</v>
      </c>
      <c r="J40" s="2240">
        <f t="shared" si="22"/>
        <v>0</v>
      </c>
      <c r="K40" s="2216">
        <f t="shared" si="23"/>
        <v>0</v>
      </c>
      <c r="L40" s="2216">
        <f t="shared" si="24"/>
        <v>0</v>
      </c>
      <c r="M40" s="2329">
        <v>2.5799985332999995</v>
      </c>
      <c r="N40" s="2329">
        <v>2.2473579807999999</v>
      </c>
      <c r="O40" s="2329">
        <v>2.1871091162999994</v>
      </c>
      <c r="P40" s="2329">
        <v>2.4414148599000001</v>
      </c>
      <c r="Q40" s="2329">
        <v>2.8915194105000022</v>
      </c>
      <c r="R40" s="2194"/>
      <c r="S40" s="2194"/>
      <c r="T40" s="2194"/>
      <c r="U40" s="2194"/>
      <c r="V40" s="2194"/>
      <c r="W40" s="2194"/>
      <c r="X40" s="2194"/>
      <c r="Y40" s="2180">
        <f t="shared" si="26"/>
        <v>0.24679597169743445</v>
      </c>
      <c r="Z40" s="2180">
        <f t="shared" si="7"/>
        <v>0.75320402830256561</v>
      </c>
    </row>
    <row r="41" spans="1:26" s="1901" customFormat="1" ht="15.6">
      <c r="A41" s="2251">
        <f t="shared" si="1"/>
        <v>-1.5659313156000001</v>
      </c>
      <c r="B41" s="2485"/>
      <c r="C41" s="2254"/>
      <c r="D41" s="2331" t="s">
        <v>2091</v>
      </c>
      <c r="E41" s="2214">
        <v>5.8107963300000005</v>
      </c>
      <c r="F41" s="2206">
        <f t="shared" si="20"/>
        <v>1.5659313156000001</v>
      </c>
      <c r="G41" s="2207">
        <f t="shared" si="21"/>
        <v>0.26948652588551492</v>
      </c>
      <c r="H41" s="2265">
        <f t="shared" si="4"/>
        <v>0</v>
      </c>
      <c r="I41" s="2199">
        <f>E41/2</f>
        <v>2.9053981650000003</v>
      </c>
      <c r="J41" s="2240">
        <f t="shared" si="22"/>
        <v>0</v>
      </c>
      <c r="K41" s="2216">
        <f t="shared" si="23"/>
        <v>0</v>
      </c>
      <c r="L41" s="2216">
        <f t="shared" si="24"/>
        <v>0</v>
      </c>
      <c r="M41" s="2336">
        <v>0.22073185360000003</v>
      </c>
      <c r="N41" s="2329">
        <v>0.27619765299999999</v>
      </c>
      <c r="O41" s="2329">
        <v>0.34227596590000003</v>
      </c>
      <c r="P41" s="2329">
        <v>0.36666214689999999</v>
      </c>
      <c r="Q41" s="2329">
        <v>0.36006369620000006</v>
      </c>
      <c r="R41" s="2225"/>
      <c r="S41" s="2225"/>
      <c r="T41" s="2225"/>
      <c r="U41" s="2225"/>
      <c r="V41" s="2225"/>
      <c r="W41" s="2225"/>
      <c r="X41" s="2225"/>
      <c r="Y41" s="2180">
        <f t="shared" si="26"/>
        <v>0.26948652588551492</v>
      </c>
      <c r="Z41" s="2180">
        <f t="shared" si="7"/>
        <v>0.73051347411448508</v>
      </c>
    </row>
    <row r="42" spans="1:26" s="1901" customFormat="1" ht="15.6">
      <c r="A42" s="2251">
        <f t="shared" si="1"/>
        <v>-4.7029944099999998E-2</v>
      </c>
      <c r="B42" s="2485"/>
      <c r="C42" s="2254"/>
      <c r="D42" s="2332" t="s">
        <v>2092</v>
      </c>
      <c r="E42" s="2214">
        <v>1.3485</v>
      </c>
      <c r="F42" s="2206">
        <f t="shared" si="20"/>
        <v>4.7029944099999998E-2</v>
      </c>
      <c r="G42" s="2207">
        <f t="shared" si="21"/>
        <v>3.487574645902855E-2</v>
      </c>
      <c r="H42" s="2265">
        <f t="shared" si="4"/>
        <v>0</v>
      </c>
      <c r="I42" s="2215">
        <f t="shared" si="25"/>
        <v>0.67425000000000002</v>
      </c>
      <c r="J42" s="2240">
        <f t="shared" si="22"/>
        <v>0</v>
      </c>
      <c r="K42" s="2216">
        <f t="shared" si="23"/>
        <v>0</v>
      </c>
      <c r="L42" s="2216">
        <f t="shared" si="24"/>
        <v>0</v>
      </c>
      <c r="M42" s="2336">
        <v>7.7158993999999993E-3</v>
      </c>
      <c r="N42" s="2329">
        <v>1.3680927300000001E-2</v>
      </c>
      <c r="O42" s="2329">
        <v>2.4366072400000001E-2</v>
      </c>
      <c r="P42" s="2329">
        <v>1.1331422999999964E-3</v>
      </c>
      <c r="Q42" s="2329">
        <v>1.3390270000000325E-4</v>
      </c>
      <c r="R42" s="2194"/>
      <c r="S42" s="2194"/>
      <c r="T42" s="2194"/>
      <c r="U42" s="2194"/>
      <c r="V42" s="2194"/>
      <c r="W42" s="2194"/>
      <c r="X42" s="2194"/>
      <c r="Y42" s="2180">
        <f t="shared" si="26"/>
        <v>3.487574645902855E-2</v>
      </c>
      <c r="Z42" s="2180">
        <f t="shared" si="7"/>
        <v>0.96512425354097142</v>
      </c>
    </row>
    <row r="43" spans="1:26" s="1901" customFormat="1" ht="15.6">
      <c r="A43" s="2251">
        <f t="shared" si="1"/>
        <v>0</v>
      </c>
      <c r="B43" s="2485"/>
      <c r="C43" s="2254"/>
      <c r="D43" s="2332" t="s">
        <v>2093</v>
      </c>
      <c r="E43" s="2214">
        <v>0</v>
      </c>
      <c r="F43" s="2206"/>
      <c r="G43" s="2207"/>
      <c r="H43" s="2265">
        <f t="shared" si="4"/>
        <v>0</v>
      </c>
      <c r="I43" s="2215">
        <f t="shared" si="25"/>
        <v>0</v>
      </c>
      <c r="J43" s="2240">
        <f t="shared" si="22"/>
        <v>0</v>
      </c>
      <c r="K43" s="2216">
        <f t="shared" si="23"/>
        <v>0</v>
      </c>
      <c r="L43" s="2216">
        <f t="shared" si="24"/>
        <v>0</v>
      </c>
      <c r="M43" s="2336">
        <v>0</v>
      </c>
      <c r="N43" s="2329">
        <v>0</v>
      </c>
      <c r="O43" s="2329">
        <v>0</v>
      </c>
      <c r="P43" s="2329">
        <v>0</v>
      </c>
      <c r="Q43" s="2329">
        <v>0</v>
      </c>
      <c r="R43" s="1830"/>
      <c r="S43" s="1830"/>
      <c r="T43" s="1830"/>
      <c r="U43" s="1830"/>
      <c r="V43" s="1830"/>
      <c r="W43" s="1830"/>
      <c r="X43" s="1830"/>
      <c r="Y43" s="2181">
        <f t="shared" si="26"/>
        <v>0</v>
      </c>
      <c r="Z43" s="2181">
        <f t="shared" si="7"/>
        <v>1</v>
      </c>
    </row>
    <row r="44" spans="1:26" s="1901" customFormat="1" ht="15.6">
      <c r="A44" s="2251">
        <f t="shared" si="1"/>
        <v>-0.39624672010000006</v>
      </c>
      <c r="B44" s="2485"/>
      <c r="C44" s="2254"/>
      <c r="D44" s="2332" t="s">
        <v>2094</v>
      </c>
      <c r="E44" s="2214">
        <v>0.98350000000000004</v>
      </c>
      <c r="F44" s="2206">
        <f t="shared" ref="F44:F56" si="27">SUM(M44:X44)</f>
        <v>0.39624672010000006</v>
      </c>
      <c r="G44" s="2207">
        <f t="shared" ref="G44:G56" si="28">F44/E44</f>
        <v>0.40289447900355874</v>
      </c>
      <c r="H44" s="2265">
        <f t="shared" si="4"/>
        <v>0</v>
      </c>
      <c r="I44" s="2215">
        <f t="shared" si="25"/>
        <v>0.49175000000000002</v>
      </c>
      <c r="J44" s="2240">
        <f t="shared" si="22"/>
        <v>0</v>
      </c>
      <c r="K44" s="2216">
        <f t="shared" si="23"/>
        <v>0</v>
      </c>
      <c r="L44" s="2216">
        <f t="shared" ref="L44:L56" si="29">IFERROR(-J44/ABS($J$4),0)</f>
        <v>0</v>
      </c>
      <c r="M44" s="2336">
        <v>8.2952539500000005E-2</v>
      </c>
      <c r="N44" s="2329">
        <v>8.2949300899999995E-2</v>
      </c>
      <c r="O44" s="2329">
        <v>8.2918920600000015E-2</v>
      </c>
      <c r="P44" s="2329">
        <v>8.1852704100000034E-2</v>
      </c>
      <c r="Q44" s="2329">
        <v>6.5573254999999983E-2</v>
      </c>
      <c r="R44" s="1830"/>
      <c r="S44" s="1830"/>
      <c r="T44" s="1830"/>
      <c r="U44" s="1830"/>
      <c r="V44" s="1830"/>
      <c r="W44" s="1830"/>
      <c r="X44" s="1830"/>
      <c r="Y44" s="2181">
        <f t="shared" si="26"/>
        <v>0.40289447900355874</v>
      </c>
      <c r="Z44" s="2181">
        <f t="shared" si="7"/>
        <v>0.59710552099644132</v>
      </c>
    </row>
    <row r="45" spans="1:26" s="1901" customFormat="1" ht="15.6">
      <c r="A45" s="2251">
        <f t="shared" si="1"/>
        <v>-2.2981166E-3</v>
      </c>
      <c r="B45" s="2485"/>
      <c r="C45" s="2254"/>
      <c r="D45" s="2332" t="s">
        <v>2095</v>
      </c>
      <c r="E45" s="2214">
        <v>0.01</v>
      </c>
      <c r="F45" s="2206">
        <f t="shared" si="27"/>
        <v>2.2981166E-3</v>
      </c>
      <c r="G45" s="2207">
        <f t="shared" si="28"/>
        <v>0.22981166</v>
      </c>
      <c r="H45" s="2265">
        <f t="shared" si="4"/>
        <v>0</v>
      </c>
      <c r="I45" s="2215">
        <f t="shared" si="25"/>
        <v>5.0000000000000001E-3</v>
      </c>
      <c r="J45" s="2240">
        <f t="shared" si="22"/>
        <v>0</v>
      </c>
      <c r="K45" s="2216">
        <f t="shared" si="23"/>
        <v>0</v>
      </c>
      <c r="L45" s="2216">
        <f t="shared" si="29"/>
        <v>0</v>
      </c>
      <c r="M45" s="2336">
        <v>1.1389000000000001E-5</v>
      </c>
      <c r="N45" s="2329">
        <v>6.5330249999999998E-4</v>
      </c>
      <c r="O45" s="2329">
        <v>-1.4205959999999998E-4</v>
      </c>
      <c r="P45" s="2329">
        <v>9.4373600000000003E-4</v>
      </c>
      <c r="Q45" s="2329">
        <v>8.3174870000000001E-4</v>
      </c>
      <c r="R45" s="1832"/>
      <c r="S45" s="1832"/>
      <c r="T45" s="1832"/>
      <c r="U45" s="1832"/>
      <c r="V45" s="1832"/>
      <c r="W45" s="1832"/>
      <c r="X45" s="1832"/>
      <c r="Y45" s="2181">
        <f t="shared" si="26"/>
        <v>0.22981166</v>
      </c>
      <c r="Z45" s="2181">
        <f t="shared" si="7"/>
        <v>0.77018834000000003</v>
      </c>
    </row>
    <row r="46" spans="1:26" s="1901" customFormat="1" ht="15.6">
      <c r="A46" s="2251">
        <f t="shared" si="1"/>
        <v>-0.42067524519999999</v>
      </c>
      <c r="B46" s="2485"/>
      <c r="C46" s="2254"/>
      <c r="D46" s="2332" t="s">
        <v>2096</v>
      </c>
      <c r="E46" s="2214">
        <v>0.49389632999999994</v>
      </c>
      <c r="F46" s="2206">
        <f t="shared" si="27"/>
        <v>0.42067524519999999</v>
      </c>
      <c r="G46" s="2207">
        <f t="shared" si="28"/>
        <v>0.85174806866858077</v>
      </c>
      <c r="H46" s="2265">
        <f t="shared" si="4"/>
        <v>0</v>
      </c>
      <c r="I46" s="2215">
        <f t="shared" si="25"/>
        <v>0.24694816499999997</v>
      </c>
      <c r="J46" s="2240">
        <f t="shared" si="22"/>
        <v>0</v>
      </c>
      <c r="K46" s="2216">
        <f t="shared" si="23"/>
        <v>0</v>
      </c>
      <c r="L46" s="2216">
        <f t="shared" si="29"/>
        <v>0</v>
      </c>
      <c r="M46" s="2337">
        <f>9134061.35/100000000</f>
        <v>9.1340613500000001E-2</v>
      </c>
      <c r="N46" s="2334">
        <v>8.8573062899999999E-2</v>
      </c>
      <c r="O46" s="2334">
        <v>7.4883587099999982E-2</v>
      </c>
      <c r="P46" s="2334">
        <v>6.8593056099999994E-2</v>
      </c>
      <c r="Q46" s="2334">
        <v>9.7284925600000016E-2</v>
      </c>
      <c r="R46" s="1830"/>
      <c r="S46" s="1830"/>
      <c r="T46" s="1830"/>
      <c r="U46" s="1830"/>
      <c r="V46" s="1830"/>
      <c r="W46" s="1830"/>
      <c r="X46" s="1830"/>
      <c r="Y46" s="2181">
        <f t="shared" si="26"/>
        <v>0.85174806866858077</v>
      </c>
      <c r="Z46" s="2181">
        <f t="shared" si="7"/>
        <v>0.14825193133141923</v>
      </c>
    </row>
    <row r="47" spans="1:26" s="1901" customFormat="1" ht="15.6">
      <c r="A47" s="2251">
        <f t="shared" si="1"/>
        <v>-0.18672217360000001</v>
      </c>
      <c r="B47" s="2485"/>
      <c r="C47" s="2254"/>
      <c r="D47" s="2332" t="s">
        <v>2097</v>
      </c>
      <c r="E47" s="2214">
        <v>0.53559999999999997</v>
      </c>
      <c r="F47" s="2206">
        <f t="shared" si="27"/>
        <v>0.18672217360000001</v>
      </c>
      <c r="G47" s="2207">
        <f t="shared" si="28"/>
        <v>0.34862243017177003</v>
      </c>
      <c r="H47" s="2265">
        <f t="shared" si="4"/>
        <v>0</v>
      </c>
      <c r="I47" s="2215">
        <f t="shared" si="25"/>
        <v>0.26779999999999998</v>
      </c>
      <c r="J47" s="2240">
        <f t="shared" si="22"/>
        <v>0</v>
      </c>
      <c r="K47" s="2216">
        <f t="shared" si="23"/>
        <v>0</v>
      </c>
      <c r="L47" s="2216">
        <f t="shared" si="29"/>
        <v>0</v>
      </c>
      <c r="M47" s="2336">
        <v>1.1967971399999999E-2</v>
      </c>
      <c r="N47" s="2329">
        <v>4.3151796500000006E-2</v>
      </c>
      <c r="O47" s="2329">
        <v>6.6908057900000012E-2</v>
      </c>
      <c r="P47" s="2329">
        <v>1.7995035399999984E-2</v>
      </c>
      <c r="Q47" s="2329">
        <v>4.6699312400000005E-2</v>
      </c>
      <c r="R47" s="1832"/>
      <c r="S47" s="1832"/>
      <c r="T47" s="1832"/>
      <c r="U47" s="1832"/>
      <c r="V47" s="1832"/>
      <c r="W47" s="1832"/>
      <c r="X47" s="1832"/>
      <c r="Y47" s="2181">
        <f t="shared" si="26"/>
        <v>0.34862243017177003</v>
      </c>
      <c r="Z47" s="2181">
        <f t="shared" si="7"/>
        <v>0.65137756982823003</v>
      </c>
    </row>
    <row r="48" spans="1:26" s="1901" customFormat="1" ht="15.6">
      <c r="A48" s="2251">
        <f t="shared" si="1"/>
        <v>-0.27450191839999999</v>
      </c>
      <c r="B48" s="2485"/>
      <c r="C48" s="2254"/>
      <c r="D48" s="2332" t="s">
        <v>2098</v>
      </c>
      <c r="E48" s="2214">
        <v>0.96250000000000002</v>
      </c>
      <c r="F48" s="2206">
        <f t="shared" si="27"/>
        <v>0.27450191839999999</v>
      </c>
      <c r="G48" s="2207">
        <f t="shared" si="28"/>
        <v>0.28519679833766232</v>
      </c>
      <c r="H48" s="2265">
        <f t="shared" si="4"/>
        <v>0</v>
      </c>
      <c r="I48" s="2215">
        <f t="shared" si="25"/>
        <v>0.48125000000000001</v>
      </c>
      <c r="J48" s="2240">
        <f t="shared" si="22"/>
        <v>0</v>
      </c>
      <c r="K48" s="2216">
        <f t="shared" si="23"/>
        <v>0</v>
      </c>
      <c r="L48" s="2216">
        <f t="shared" si="29"/>
        <v>0</v>
      </c>
      <c r="M48" s="2336">
        <v>2.4871215699999998E-2</v>
      </c>
      <c r="N48" s="2329">
        <v>1.9273151000000002E-2</v>
      </c>
      <c r="O48" s="2329">
        <v>4.3765472800000003E-2</v>
      </c>
      <c r="P48" s="2329">
        <v>9.570834089999998E-2</v>
      </c>
      <c r="Q48" s="2329">
        <v>9.0883737999999992E-2</v>
      </c>
      <c r="R48" s="1832"/>
      <c r="S48" s="1832"/>
      <c r="T48" s="1832"/>
      <c r="U48" s="1832"/>
      <c r="V48" s="1832"/>
      <c r="W48" s="1832"/>
      <c r="X48" s="1832"/>
      <c r="Y48" s="2181">
        <f t="shared" si="26"/>
        <v>0.28519679833766232</v>
      </c>
      <c r="Z48" s="2181">
        <f t="shared" si="7"/>
        <v>0.71480320166233768</v>
      </c>
    </row>
    <row r="49" spans="1:26" s="1901" customFormat="1" ht="15.6">
      <c r="A49" s="2251">
        <f t="shared" si="1"/>
        <v>0</v>
      </c>
      <c r="B49" s="2486"/>
      <c r="C49" s="2254"/>
      <c r="D49" s="2333" t="s">
        <v>2099</v>
      </c>
      <c r="E49" s="2214">
        <v>1.4767999999999999</v>
      </c>
      <c r="F49" s="2206">
        <f t="shared" si="27"/>
        <v>0</v>
      </c>
      <c r="G49" s="2207">
        <f t="shared" si="28"/>
        <v>0</v>
      </c>
      <c r="H49" s="2265">
        <f t="shared" si="4"/>
        <v>0</v>
      </c>
      <c r="I49" s="2215">
        <f t="shared" si="25"/>
        <v>0.73839999999999995</v>
      </c>
      <c r="J49" s="2240">
        <f t="shared" si="22"/>
        <v>0</v>
      </c>
      <c r="K49" s="2216">
        <f t="shared" si="23"/>
        <v>0</v>
      </c>
      <c r="L49" s="2216">
        <f t="shared" si="29"/>
        <v>0</v>
      </c>
      <c r="M49" s="2329">
        <v>0</v>
      </c>
      <c r="N49" s="2329">
        <v>0</v>
      </c>
      <c r="O49" s="2329">
        <v>0</v>
      </c>
      <c r="P49" s="2329">
        <v>0</v>
      </c>
      <c r="Q49" s="2329">
        <v>0</v>
      </c>
      <c r="R49" s="1832"/>
      <c r="S49" s="1832"/>
      <c r="T49" s="1832"/>
      <c r="U49" s="1832"/>
      <c r="V49" s="1832"/>
      <c r="W49" s="1832"/>
      <c r="X49" s="1832"/>
      <c r="Y49" s="2181">
        <f t="shared" si="26"/>
        <v>0</v>
      </c>
      <c r="Z49" s="2181">
        <f t="shared" si="7"/>
        <v>1</v>
      </c>
    </row>
    <row r="50" spans="1:26" s="1901" customFormat="1" ht="15.6">
      <c r="A50" s="2251">
        <f t="shared" si="1"/>
        <v>0</v>
      </c>
      <c r="B50" s="2255"/>
      <c r="C50" s="2254"/>
      <c r="D50" s="1829" t="s">
        <v>2100</v>
      </c>
      <c r="E50" s="2202">
        <v>22.473800000000001</v>
      </c>
      <c r="F50" s="2203">
        <f t="shared" si="27"/>
        <v>0</v>
      </c>
      <c r="G50" s="2204">
        <f t="shared" si="28"/>
        <v>0</v>
      </c>
      <c r="H50" s="2265">
        <f t="shared" si="4"/>
        <v>0</v>
      </c>
      <c r="I50" s="2199">
        <f>E50/2</f>
        <v>11.2369</v>
      </c>
      <c r="J50" s="2240">
        <f t="shared" si="22"/>
        <v>0</v>
      </c>
      <c r="K50" s="2210">
        <f t="shared" si="23"/>
        <v>0</v>
      </c>
      <c r="L50" s="2216">
        <f t="shared" si="29"/>
        <v>0</v>
      </c>
      <c r="M50" s="2229">
        <v>0</v>
      </c>
      <c r="N50" s="2229">
        <v>0</v>
      </c>
      <c r="O50" s="2229">
        <v>0</v>
      </c>
      <c r="P50" s="2227">
        <v>0</v>
      </c>
      <c r="Q50" s="2227">
        <v>0</v>
      </c>
      <c r="R50" s="2227"/>
      <c r="S50" s="2227"/>
      <c r="T50" s="2227"/>
      <c r="U50" s="2227"/>
      <c r="V50" s="2227"/>
      <c r="W50" s="2227"/>
      <c r="X50" s="2227"/>
      <c r="Y50" s="2181">
        <f t="shared" si="26"/>
        <v>0</v>
      </c>
      <c r="Z50" s="2181">
        <f t="shared" si="7"/>
        <v>1</v>
      </c>
    </row>
    <row r="51" spans="1:26" s="1901" customFormat="1" ht="15.6">
      <c r="A51" s="2251">
        <f t="shared" si="1"/>
        <v>0</v>
      </c>
      <c r="B51" s="2255">
        <v>1.0551417165000001</v>
      </c>
      <c r="C51" s="2254"/>
      <c r="D51" s="1829" t="s">
        <v>2101</v>
      </c>
      <c r="E51" s="2202">
        <v>1.9468000000000001</v>
      </c>
      <c r="F51" s="2203">
        <f t="shared" si="27"/>
        <v>1.0551417164999999</v>
      </c>
      <c r="G51" s="2204">
        <f t="shared" si="28"/>
        <v>0.54198773191904659</v>
      </c>
      <c r="H51" s="2265">
        <f t="shared" si="4"/>
        <v>0</v>
      </c>
      <c r="I51" s="2199">
        <f>E51/2</f>
        <v>0.97340000000000004</v>
      </c>
      <c r="J51" s="2240">
        <f t="shared" si="22"/>
        <v>0</v>
      </c>
      <c r="K51" s="2210">
        <f t="shared" si="23"/>
        <v>0</v>
      </c>
      <c r="L51" s="2216">
        <f t="shared" si="29"/>
        <v>0</v>
      </c>
      <c r="M51" s="2227">
        <v>0.46121903419999999</v>
      </c>
      <c r="N51" s="2227">
        <v>0.30456322899999999</v>
      </c>
      <c r="O51" s="2227">
        <v>5.9479673699999999E-2</v>
      </c>
      <c r="P51" s="2227">
        <v>8.2347496699999995E-2</v>
      </c>
      <c r="Q51" s="2227">
        <v>0.14753228289999998</v>
      </c>
      <c r="R51" s="2227"/>
      <c r="S51" s="2227"/>
      <c r="T51" s="2227"/>
      <c r="U51" s="2227"/>
      <c r="V51" s="2227"/>
      <c r="W51" s="2227"/>
      <c r="X51" s="2227"/>
      <c r="Y51" s="2181">
        <f t="shared" si="26"/>
        <v>0.54198773191904659</v>
      </c>
      <c r="Z51" s="2181">
        <f t="shared" si="7"/>
        <v>0.45801226808095341</v>
      </c>
    </row>
    <row r="52" spans="1:26" s="1901" customFormat="1" ht="15.6">
      <c r="A52" s="2251">
        <f t="shared" si="1"/>
        <v>0</v>
      </c>
      <c r="B52" s="2255">
        <v>2.6650618425000001</v>
      </c>
      <c r="C52" s="2254"/>
      <c r="D52" s="1829" t="s">
        <v>2338</v>
      </c>
      <c r="E52" s="2202">
        <v>6.117</v>
      </c>
      <c r="F52" s="2203">
        <f t="shared" si="27"/>
        <v>2.6650618425000001</v>
      </c>
      <c r="G52" s="2204">
        <f t="shared" si="28"/>
        <v>0.43568119053457577</v>
      </c>
      <c r="H52" s="2265">
        <f t="shared" si="4"/>
        <v>0</v>
      </c>
      <c r="I52" s="2199">
        <f>E52/2</f>
        <v>3.0585</v>
      </c>
      <c r="J52" s="2240">
        <f t="shared" si="22"/>
        <v>0</v>
      </c>
      <c r="K52" s="2210">
        <f t="shared" si="23"/>
        <v>0</v>
      </c>
      <c r="L52" s="2216">
        <f t="shared" si="29"/>
        <v>0</v>
      </c>
      <c r="M52" s="2227">
        <v>0.72968741549999994</v>
      </c>
      <c r="N52" s="2227">
        <v>0.116202396</v>
      </c>
      <c r="O52" s="2227">
        <v>0.40751480840000004</v>
      </c>
      <c r="P52" s="2227">
        <v>0.22609663289999998</v>
      </c>
      <c r="Q52" s="2227">
        <v>1.1855605896999999</v>
      </c>
      <c r="R52" s="2227"/>
      <c r="S52" s="2227"/>
      <c r="T52" s="2227"/>
      <c r="U52" s="2227"/>
      <c r="V52" s="2227"/>
      <c r="W52" s="2227"/>
      <c r="X52" s="2227"/>
      <c r="Y52" s="2181">
        <f t="shared" si="26"/>
        <v>0.43568119053457577</v>
      </c>
      <c r="Z52" s="2181">
        <f t="shared" si="7"/>
        <v>0.56431880946542423</v>
      </c>
    </row>
    <row r="53" spans="1:26" s="1901" customFormat="1" ht="15.6">
      <c r="A53" s="2251">
        <f t="shared" si="1"/>
        <v>0</v>
      </c>
      <c r="B53" s="2255">
        <v>0.28221552820000001</v>
      </c>
      <c r="C53" s="2254"/>
      <c r="D53" s="1831" t="s">
        <v>2339</v>
      </c>
      <c r="E53" s="2202">
        <v>0.73309999999999997</v>
      </c>
      <c r="F53" s="2203">
        <f t="shared" si="27"/>
        <v>0.28221552819999995</v>
      </c>
      <c r="G53" s="2204">
        <f t="shared" si="28"/>
        <v>0.38496184449597592</v>
      </c>
      <c r="H53" s="2265">
        <f t="shared" si="4"/>
        <v>0</v>
      </c>
      <c r="I53" s="2199">
        <f>E53/2</f>
        <v>0.36654999999999999</v>
      </c>
      <c r="J53" s="2240">
        <f t="shared" si="22"/>
        <v>0</v>
      </c>
      <c r="K53" s="2210">
        <f t="shared" si="23"/>
        <v>0</v>
      </c>
      <c r="L53" s="2216">
        <f t="shared" si="29"/>
        <v>0</v>
      </c>
      <c r="M53" s="2227">
        <v>5.79073435E-2</v>
      </c>
      <c r="N53" s="2227">
        <v>4.99622516E-2</v>
      </c>
      <c r="O53" s="2227">
        <v>5.9158929300000003E-2</v>
      </c>
      <c r="P53" s="2227">
        <v>5.6813469900000003E-2</v>
      </c>
      <c r="Q53" s="2227">
        <v>5.8373533899999996E-2</v>
      </c>
      <c r="R53" s="2227"/>
      <c r="S53" s="2227"/>
      <c r="T53" s="2227"/>
      <c r="U53" s="2227"/>
      <c r="V53" s="2227"/>
      <c r="W53" s="2227"/>
      <c r="X53" s="2227"/>
      <c r="Y53" s="2181">
        <f t="shared" si="26"/>
        <v>0.38496184449597592</v>
      </c>
      <c r="Z53" s="2181">
        <f t="shared" si="7"/>
        <v>0.61503815550402408</v>
      </c>
    </row>
    <row r="54" spans="1:26" s="1901" customFormat="1" ht="15.6">
      <c r="A54" s="2251">
        <f t="shared" si="1"/>
        <v>0</v>
      </c>
      <c r="B54" s="2255">
        <v>0.57027142460000002</v>
      </c>
      <c r="C54" s="2254"/>
      <c r="D54" s="1831" t="s">
        <v>2340</v>
      </c>
      <c r="E54" s="2202">
        <v>1.5025999999999999</v>
      </c>
      <c r="F54" s="2203">
        <f t="shared" si="27"/>
        <v>0.57027142460000002</v>
      </c>
      <c r="G54" s="2204">
        <f t="shared" si="28"/>
        <v>0.37952310967656067</v>
      </c>
      <c r="H54" s="2265">
        <f t="shared" si="4"/>
        <v>0</v>
      </c>
      <c r="I54" s="2199">
        <f>E54/2</f>
        <v>0.75129999999999997</v>
      </c>
      <c r="J54" s="2240">
        <f t="shared" si="22"/>
        <v>0</v>
      </c>
      <c r="K54" s="2210">
        <f t="shared" si="23"/>
        <v>0</v>
      </c>
      <c r="L54" s="2216">
        <f t="shared" si="29"/>
        <v>0</v>
      </c>
      <c r="M54" s="2227">
        <v>9.6118318199999997E-2</v>
      </c>
      <c r="N54" s="2227">
        <v>0.12728334329999999</v>
      </c>
      <c r="O54" s="2227">
        <v>9.3073681899999997E-2</v>
      </c>
      <c r="P54" s="2227">
        <v>0.12629741119999999</v>
      </c>
      <c r="Q54" s="2227">
        <v>0.12749867000000001</v>
      </c>
      <c r="R54" s="2227"/>
      <c r="S54" s="2227"/>
      <c r="T54" s="2227"/>
      <c r="U54" s="2227"/>
      <c r="V54" s="2227"/>
      <c r="W54" s="2227"/>
      <c r="X54" s="2227"/>
      <c r="Y54" s="2181">
        <f t="shared" si="26"/>
        <v>0.37952310967656067</v>
      </c>
      <c r="Z54" s="2181">
        <f t="shared" si="7"/>
        <v>0.62047689032343933</v>
      </c>
    </row>
    <row r="55" spans="1:26" s="1901" customFormat="1" ht="15.6">
      <c r="A55" s="2251">
        <f t="shared" si="1"/>
        <v>0</v>
      </c>
      <c r="B55" s="2255">
        <v>-3.8543306899999998E-2</v>
      </c>
      <c r="C55" s="2254"/>
      <c r="D55" s="1831" t="s">
        <v>2341</v>
      </c>
      <c r="E55" s="2202">
        <v>-0.72770000000000001</v>
      </c>
      <c r="F55" s="2203">
        <f t="shared" si="27"/>
        <v>-3.8543306899999998E-2</v>
      </c>
      <c r="G55" s="2204">
        <f t="shared" si="28"/>
        <v>5.2965929503916445E-2</v>
      </c>
      <c r="H55" s="2265">
        <f t="shared" si="4"/>
        <v>0</v>
      </c>
      <c r="I55" s="2199">
        <f t="shared" ref="I55:I63" si="30">E55/2</f>
        <v>-0.36385000000000001</v>
      </c>
      <c r="J55" s="2240">
        <f t="shared" si="22"/>
        <v>0</v>
      </c>
      <c r="K55" s="2210">
        <f t="shared" si="23"/>
        <v>0</v>
      </c>
      <c r="L55" s="2216">
        <f t="shared" si="29"/>
        <v>0</v>
      </c>
      <c r="M55" s="2227">
        <v>3.61049648E-2</v>
      </c>
      <c r="N55" s="2227">
        <v>3.0656510299999995E-2</v>
      </c>
      <c r="O55" s="2227">
        <v>-0.17189180839999998</v>
      </c>
      <c r="P55" s="2227">
        <v>3.3089668699999998E-2</v>
      </c>
      <c r="Q55" s="2227">
        <v>3.3497357700000001E-2</v>
      </c>
      <c r="R55" s="2227"/>
      <c r="S55" s="2227"/>
      <c r="T55" s="2227"/>
      <c r="U55" s="2227"/>
      <c r="V55" s="2227"/>
      <c r="W55" s="2227"/>
      <c r="X55" s="2227"/>
      <c r="Y55" s="2181">
        <f t="shared" si="26"/>
        <v>5.2965929503916445E-2</v>
      </c>
      <c r="Z55" s="2181">
        <f t="shared" si="7"/>
        <v>0.94703407049608357</v>
      </c>
    </row>
    <row r="56" spans="1:26" s="1901" customFormat="1" ht="15.6">
      <c r="A56" s="2251">
        <f t="shared" si="1"/>
        <v>0</v>
      </c>
      <c r="B56" s="2255"/>
      <c r="C56" s="2254"/>
      <c r="D56" s="1831" t="s">
        <v>2342</v>
      </c>
      <c r="E56" s="2202">
        <v>1.4999999999999999E-2</v>
      </c>
      <c r="F56" s="2203">
        <f t="shared" si="27"/>
        <v>0</v>
      </c>
      <c r="G56" s="2204">
        <f t="shared" si="28"/>
        <v>0</v>
      </c>
      <c r="H56" s="2265">
        <f t="shared" si="4"/>
        <v>0</v>
      </c>
      <c r="I56" s="2199">
        <f t="shared" si="30"/>
        <v>7.4999999999999997E-3</v>
      </c>
      <c r="J56" s="2240">
        <f t="shared" si="22"/>
        <v>0</v>
      </c>
      <c r="K56" s="2210">
        <f t="shared" si="23"/>
        <v>0</v>
      </c>
      <c r="L56" s="2216">
        <f t="shared" si="29"/>
        <v>0</v>
      </c>
      <c r="M56" s="2227">
        <v>0</v>
      </c>
      <c r="N56" s="2227">
        <v>0</v>
      </c>
      <c r="O56" s="2227">
        <v>0</v>
      </c>
      <c r="P56" s="2227">
        <v>0</v>
      </c>
      <c r="Q56" s="2227">
        <v>0</v>
      </c>
      <c r="R56" s="2227"/>
      <c r="S56" s="2227"/>
      <c r="T56" s="2227"/>
      <c r="U56" s="2227"/>
      <c r="V56" s="2227"/>
      <c r="W56" s="2227"/>
      <c r="X56" s="2227"/>
      <c r="Y56" s="2181">
        <f t="shared" si="26"/>
        <v>0</v>
      </c>
      <c r="Z56" s="2181">
        <f t="shared" si="7"/>
        <v>1</v>
      </c>
    </row>
    <row r="57" spans="1:26" s="1901" customFormat="1" ht="15.6">
      <c r="A57" s="2251"/>
      <c r="B57" s="2256"/>
      <c r="C57" s="2254"/>
      <c r="D57" s="2244" t="s">
        <v>2348</v>
      </c>
      <c r="E57" s="2245">
        <f>E26-SUM(E27,E50:E56)</f>
        <v>0</v>
      </c>
      <c r="F57" s="2245">
        <f>F26-SUM(F27,F50:F56)</f>
        <v>-1.0551417164999179</v>
      </c>
      <c r="G57" s="2243"/>
      <c r="H57" s="2265">
        <f t="shared" si="4"/>
        <v>0</v>
      </c>
      <c r="I57" s="2242">
        <f>I26-SUM(I27,I50:I56)</f>
        <v>0</v>
      </c>
      <c r="J57" s="2242"/>
      <c r="K57" s="2243"/>
      <c r="L57" s="2243"/>
      <c r="M57" s="2246">
        <f>M26-SUM(M27,M50:M56)</f>
        <v>-0.4612190341999991</v>
      </c>
      <c r="N57" s="2246">
        <f t="shared" ref="N57:Q57" si="31">N26-SUM(N27,N50:N56)</f>
        <v>-0.30456322900000288</v>
      </c>
      <c r="O57" s="2246">
        <f t="shared" si="31"/>
        <v>-5.9479673699968316E-2</v>
      </c>
      <c r="P57" s="2246">
        <f t="shared" si="31"/>
        <v>-8.2347496700002409E-2</v>
      </c>
      <c r="Q57" s="2246">
        <f t="shared" si="31"/>
        <v>-0.14753228290000209</v>
      </c>
      <c r="R57" s="2246"/>
      <c r="S57" s="2246"/>
      <c r="T57" s="2246"/>
      <c r="U57" s="2246"/>
      <c r="V57" s="2246"/>
      <c r="W57" s="2246"/>
      <c r="X57" s="2246"/>
      <c r="Y57" s="2181"/>
      <c r="Z57" s="2181"/>
    </row>
    <row r="58" spans="1:26" s="1901" customFormat="1" ht="15.6">
      <c r="A58" s="2251">
        <f t="shared" si="1"/>
        <v>0</v>
      </c>
      <c r="B58" s="2255"/>
      <c r="C58" s="2259"/>
      <c r="D58" s="2235" t="s">
        <v>2102</v>
      </c>
      <c r="E58" s="2202">
        <v>0</v>
      </c>
      <c r="F58" s="2206"/>
      <c r="G58" s="2207"/>
      <c r="H58" s="2265">
        <f t="shared" si="4"/>
        <v>0</v>
      </c>
      <c r="I58" s="2199">
        <f t="shared" si="30"/>
        <v>0</v>
      </c>
      <c r="J58" s="2240">
        <f t="shared" ref="J58:J63" si="32">IF(OR(H58=0,I58=0),0,H58-I58)</f>
        <v>0</v>
      </c>
      <c r="K58" s="2216">
        <f t="shared" si="23"/>
        <v>0</v>
      </c>
      <c r="L58" s="2216">
        <f>IFERROR(J58/ABS($J$4),0)</f>
        <v>0</v>
      </c>
      <c r="M58" s="2227">
        <v>0</v>
      </c>
      <c r="N58" s="2227">
        <v>0</v>
      </c>
      <c r="O58" s="2227">
        <v>0</v>
      </c>
      <c r="P58" s="2227">
        <v>0</v>
      </c>
      <c r="Q58" s="2227">
        <v>0</v>
      </c>
      <c r="R58" s="2227"/>
      <c r="S58" s="2227"/>
      <c r="T58" s="2227"/>
      <c r="U58" s="2227"/>
      <c r="V58" s="2227"/>
      <c r="W58" s="2227"/>
      <c r="X58" s="2227"/>
      <c r="Y58" s="2181">
        <f t="shared" si="26"/>
        <v>0</v>
      </c>
      <c r="Z58" s="2181">
        <f t="shared" si="7"/>
        <v>1</v>
      </c>
    </row>
    <row r="59" spans="1:26" s="1901" customFormat="1" ht="15.6">
      <c r="A59" s="2251">
        <f t="shared" si="1"/>
        <v>0</v>
      </c>
      <c r="B59" s="2255">
        <v>0.37110873719999998</v>
      </c>
      <c r="C59" s="2254"/>
      <c r="D59" s="2235" t="s">
        <v>2103</v>
      </c>
      <c r="E59" s="2202">
        <v>0.77080000000000004</v>
      </c>
      <c r="F59" s="2206">
        <f>SUM(M59:X59)</f>
        <v>0.37110873720000004</v>
      </c>
      <c r="G59" s="2207">
        <f>F59/E59</f>
        <v>0.48145918162947587</v>
      </c>
      <c r="H59" s="2265">
        <f t="shared" si="4"/>
        <v>0</v>
      </c>
      <c r="I59" s="2199">
        <f t="shared" si="30"/>
        <v>0.38540000000000002</v>
      </c>
      <c r="J59" s="2240">
        <f t="shared" si="32"/>
        <v>0</v>
      </c>
      <c r="K59" s="2216">
        <f t="shared" si="23"/>
        <v>0</v>
      </c>
      <c r="L59" s="2216">
        <f t="shared" ref="L59:L62" si="33">IFERROR(J59/ABS($J$4),0)</f>
        <v>0</v>
      </c>
      <c r="M59" s="2227">
        <v>0</v>
      </c>
      <c r="N59" s="2227">
        <v>0</v>
      </c>
      <c r="O59" s="2227">
        <v>0.32516524610000003</v>
      </c>
      <c r="P59" s="2227">
        <v>0</v>
      </c>
      <c r="Q59" s="2227">
        <v>4.5943491100000004E-2</v>
      </c>
      <c r="R59" s="2227"/>
      <c r="S59" s="2227"/>
      <c r="T59" s="2227"/>
      <c r="U59" s="2227"/>
      <c r="V59" s="2227"/>
      <c r="W59" s="2227"/>
      <c r="X59" s="2227"/>
      <c r="Y59" s="2181">
        <f t="shared" si="26"/>
        <v>0.48145918162947587</v>
      </c>
      <c r="Z59" s="2181">
        <f t="shared" si="7"/>
        <v>0.51854081837052413</v>
      </c>
    </row>
    <row r="60" spans="1:26" s="1901" customFormat="1" ht="15.6">
      <c r="A60" s="2251">
        <f>B60-F60</f>
        <v>0</v>
      </c>
      <c r="B60" s="2255">
        <f>111118509.9/100000000</f>
        <v>1.1111850990000001</v>
      </c>
      <c r="C60" s="2254"/>
      <c r="D60" s="2235" t="s">
        <v>2104</v>
      </c>
      <c r="E60" s="2202">
        <v>2.5638999999999998</v>
      </c>
      <c r="F60" s="2206">
        <f>SUM(M60:X60)</f>
        <v>1.1111850990000001</v>
      </c>
      <c r="G60" s="2207">
        <f>F60/E60</f>
        <v>0.43339642692772734</v>
      </c>
      <c r="H60" s="2265">
        <f t="shared" si="4"/>
        <v>0</v>
      </c>
      <c r="I60" s="2199">
        <f t="shared" si="30"/>
        <v>1.2819499999999999</v>
      </c>
      <c r="J60" s="2240">
        <f t="shared" si="32"/>
        <v>0</v>
      </c>
      <c r="K60" s="2216">
        <f t="shared" si="23"/>
        <v>0</v>
      </c>
      <c r="L60" s="2216">
        <f t="shared" si="33"/>
        <v>0</v>
      </c>
      <c r="M60" s="2227">
        <v>0.25474139019999997</v>
      </c>
      <c r="N60" s="2227">
        <v>0.20912881199999997</v>
      </c>
      <c r="O60" s="2227">
        <v>0.21222698639999998</v>
      </c>
      <c r="P60" s="2227">
        <v>0.21431407899999999</v>
      </c>
      <c r="Q60" s="2227">
        <v>0.22077383140000001</v>
      </c>
      <c r="R60" s="2227"/>
      <c r="S60" s="2227"/>
      <c r="T60" s="2227"/>
      <c r="U60" s="2227"/>
      <c r="V60" s="2227"/>
      <c r="W60" s="2227"/>
      <c r="X60" s="2227"/>
      <c r="Y60" s="2181">
        <f t="shared" si="26"/>
        <v>0.43339642692772734</v>
      </c>
      <c r="Z60" s="2181">
        <f t="shared" si="7"/>
        <v>0.56660357307227271</v>
      </c>
    </row>
    <row r="61" spans="1:26" s="2201" customFormat="1" ht="15.6">
      <c r="A61" s="2251">
        <f t="shared" si="1"/>
        <v>0</v>
      </c>
      <c r="B61" s="2252">
        <v>13.877887167599999</v>
      </c>
      <c r="C61" s="2253">
        <f>E61/2-I61</f>
        <v>0</v>
      </c>
      <c r="D61" s="1829" t="s">
        <v>2105</v>
      </c>
      <c r="E61" s="2174">
        <v>33.616124319999848</v>
      </c>
      <c r="F61" s="1902">
        <f>SUM(M61:X61)</f>
        <v>13.877887167599999</v>
      </c>
      <c r="G61" s="2196">
        <f>F61/E61</f>
        <v>0.41283424095809218</v>
      </c>
      <c r="H61" s="2265">
        <f t="shared" si="4"/>
        <v>0</v>
      </c>
      <c r="I61" s="2197">
        <f>I5-I26+I58+I59+I60</f>
        <v>16.808062159999906</v>
      </c>
      <c r="J61" s="2240">
        <f t="shared" si="32"/>
        <v>0</v>
      </c>
      <c r="K61" s="2198">
        <f t="shared" si="23"/>
        <v>0</v>
      </c>
      <c r="L61" s="2216">
        <f t="shared" si="33"/>
        <v>0</v>
      </c>
      <c r="M61" s="2230">
        <v>4.4411512403</v>
      </c>
      <c r="N61" s="2230">
        <v>1.9705393513999998</v>
      </c>
      <c r="O61" s="2230">
        <v>2.9111703164999998</v>
      </c>
      <c r="P61" s="2230">
        <v>2.4381482614999999</v>
      </c>
      <c r="Q61" s="2230">
        <v>2.1168779979000001</v>
      </c>
      <c r="R61" s="2230"/>
      <c r="S61" s="2230"/>
      <c r="T61" s="2230"/>
      <c r="U61" s="2230"/>
      <c r="V61" s="2230"/>
      <c r="W61" s="2230"/>
      <c r="X61" s="2230"/>
      <c r="Y61" s="2200">
        <f t="shared" si="26"/>
        <v>0.41283424095809218</v>
      </c>
      <c r="Z61" s="2200">
        <f t="shared" si="7"/>
        <v>0.58716575904190782</v>
      </c>
    </row>
    <row r="62" spans="1:26" s="1901" customFormat="1" ht="15.6">
      <c r="A62" s="2251">
        <f t="shared" si="1"/>
        <v>0</v>
      </c>
      <c r="B62" s="2255">
        <v>0.32260452779999998</v>
      </c>
      <c r="C62" s="2254"/>
      <c r="D62" s="2205" t="s">
        <v>2106</v>
      </c>
      <c r="E62" s="2202">
        <v>1.1835</v>
      </c>
      <c r="F62" s="2206">
        <f>SUM(M62:X62)</f>
        <v>0.32260452780000004</v>
      </c>
      <c r="G62" s="2207">
        <f>F62/E62</f>
        <v>0.27258515234474023</v>
      </c>
      <c r="H62" s="2265">
        <f t="shared" si="4"/>
        <v>0</v>
      </c>
      <c r="I62" s="2199">
        <f t="shared" si="30"/>
        <v>0.59175</v>
      </c>
      <c r="J62" s="2240">
        <f t="shared" si="32"/>
        <v>0</v>
      </c>
      <c r="K62" s="2216">
        <f t="shared" si="23"/>
        <v>0</v>
      </c>
      <c r="L62" s="2216">
        <f t="shared" si="33"/>
        <v>0</v>
      </c>
      <c r="M62" s="2227">
        <v>6.2370098600000007E-2</v>
      </c>
      <c r="N62" s="2227">
        <v>3.0222645599999997E-2</v>
      </c>
      <c r="O62" s="2227">
        <v>9.6441030100000005E-2</v>
      </c>
      <c r="P62" s="2227">
        <v>6.9447822199999995E-2</v>
      </c>
      <c r="Q62" s="2227">
        <v>6.4122931300000005E-2</v>
      </c>
      <c r="R62" s="2227"/>
      <c r="S62" s="2227"/>
      <c r="T62" s="2227"/>
      <c r="U62" s="2227"/>
      <c r="V62" s="2227"/>
      <c r="W62" s="2227"/>
      <c r="X62" s="2227"/>
      <c r="Y62" s="2181">
        <f t="shared" si="26"/>
        <v>0.27258515234474023</v>
      </c>
      <c r="Z62" s="2181">
        <f t="shared" si="7"/>
        <v>0.72741484765525977</v>
      </c>
    </row>
    <row r="63" spans="1:26" s="1901" customFormat="1" ht="15.6">
      <c r="A63" s="2251">
        <f t="shared" si="1"/>
        <v>0</v>
      </c>
      <c r="B63" s="2255">
        <v>0.20004396289999998</v>
      </c>
      <c r="C63" s="2254"/>
      <c r="D63" s="2205" t="s">
        <v>2107</v>
      </c>
      <c r="E63" s="2202">
        <v>3.3327</v>
      </c>
      <c r="F63" s="2206">
        <f>SUM(M63:X63)</f>
        <v>0.20004396290000001</v>
      </c>
      <c r="G63" s="2207">
        <f>F63/E63</f>
        <v>6.0024593542773133E-2</v>
      </c>
      <c r="H63" s="2265">
        <f t="shared" si="4"/>
        <v>0</v>
      </c>
      <c r="I63" s="2199">
        <f t="shared" si="30"/>
        <v>1.66635</v>
      </c>
      <c r="J63" s="2240">
        <f t="shared" si="32"/>
        <v>0</v>
      </c>
      <c r="K63" s="2216">
        <f t="shared" si="23"/>
        <v>0</v>
      </c>
      <c r="L63" s="2216">
        <f>IFERROR(-J63/ABS($J$4),0)</f>
        <v>0</v>
      </c>
      <c r="M63" s="2227">
        <v>2.2088238000000002E-3</v>
      </c>
      <c r="N63" s="2227">
        <v>2.0331086999999999E-3</v>
      </c>
      <c r="O63" s="2227">
        <v>7.6277438000000005E-3</v>
      </c>
      <c r="P63" s="2227">
        <v>6.3958029000000007E-3</v>
      </c>
      <c r="Q63" s="2227">
        <v>0.18177848370000002</v>
      </c>
      <c r="R63" s="2227"/>
      <c r="S63" s="2227"/>
      <c r="T63" s="2227"/>
      <c r="U63" s="2227"/>
      <c r="V63" s="2227"/>
      <c r="W63" s="2227"/>
      <c r="X63" s="2227"/>
      <c r="Y63" s="2181">
        <f t="shared" si="26"/>
        <v>6.0024593542773133E-2</v>
      </c>
      <c r="Z63" s="2181">
        <f t="shared" si="7"/>
        <v>0.93997540645722688</v>
      </c>
    </row>
    <row r="64" spans="1:26" ht="15.6">
      <c r="A64" s="2251"/>
      <c r="L64" s="2236" t="s">
        <v>2062</v>
      </c>
      <c r="M64" s="2223">
        <f>SUM(M7,M16:M23)-M6</f>
        <v>0</v>
      </c>
      <c r="N64" s="2223">
        <f t="shared" ref="N64:X64" si="34">SUM(N7,N16:N23)-N6</f>
        <v>0</v>
      </c>
      <c r="O64" s="2223">
        <f t="shared" si="34"/>
        <v>0</v>
      </c>
      <c r="P64" s="2223">
        <f t="shared" si="34"/>
        <v>0</v>
      </c>
      <c r="Q64" s="2223">
        <f t="shared" si="34"/>
        <v>0</v>
      </c>
      <c r="R64" s="2223">
        <f t="shared" si="34"/>
        <v>0</v>
      </c>
      <c r="S64" s="2223">
        <f t="shared" si="34"/>
        <v>0</v>
      </c>
      <c r="T64" s="2223">
        <f t="shared" si="34"/>
        <v>0</v>
      </c>
      <c r="U64" s="2223">
        <f t="shared" si="34"/>
        <v>0</v>
      </c>
      <c r="V64" s="2223">
        <f t="shared" si="34"/>
        <v>0</v>
      </c>
      <c r="W64" s="2223">
        <f t="shared" si="34"/>
        <v>0</v>
      </c>
      <c r="X64" s="2223">
        <f t="shared" si="34"/>
        <v>0</v>
      </c>
    </row>
    <row r="65" spans="1:24" ht="15.6">
      <c r="A65" s="2251"/>
      <c r="L65" s="2237" t="s">
        <v>2061</v>
      </c>
      <c r="M65" s="2223">
        <f t="shared" ref="M65:R65" si="35">SUM(M6,M24:M25)-M5</f>
        <v>0</v>
      </c>
      <c r="N65" s="2223">
        <f t="shared" si="35"/>
        <v>0</v>
      </c>
      <c r="O65" s="2223">
        <f t="shared" si="35"/>
        <v>0</v>
      </c>
      <c r="P65" s="2223">
        <f t="shared" si="35"/>
        <v>0</v>
      </c>
      <c r="Q65" s="2223">
        <f t="shared" si="35"/>
        <v>0</v>
      </c>
      <c r="R65" s="2223">
        <f t="shared" si="35"/>
        <v>0</v>
      </c>
      <c r="S65" s="2223">
        <f t="shared" ref="S65:X65" si="36">S61+S62-S63-S4</f>
        <v>0</v>
      </c>
      <c r="T65" s="2223">
        <f t="shared" si="36"/>
        <v>0</v>
      </c>
      <c r="U65" s="2223">
        <f t="shared" si="36"/>
        <v>0</v>
      </c>
      <c r="V65" s="2223">
        <f t="shared" si="36"/>
        <v>0</v>
      </c>
      <c r="W65" s="2223">
        <f t="shared" si="36"/>
        <v>0</v>
      </c>
      <c r="X65" s="2223">
        <f t="shared" si="36"/>
        <v>0</v>
      </c>
    </row>
    <row r="66" spans="1:24" ht="15.6">
      <c r="A66" s="2251"/>
      <c r="L66" s="2237" t="s">
        <v>2078</v>
      </c>
      <c r="M66" s="2223">
        <f>SUM(M27,M50:M57)-M26</f>
        <v>0</v>
      </c>
      <c r="N66" s="2223">
        <f t="shared" ref="N66:Q66" si="37">SUM(N27,N50:N57)-N26</f>
        <v>0</v>
      </c>
      <c r="O66" s="2223">
        <f t="shared" si="37"/>
        <v>0</v>
      </c>
      <c r="P66" s="2223">
        <f t="shared" si="37"/>
        <v>0</v>
      </c>
      <c r="Q66" s="2223">
        <f t="shared" si="37"/>
        <v>0</v>
      </c>
      <c r="R66" s="2223">
        <f t="shared" ref="R66" si="38">SUM(R27,R50:R56)-R26</f>
        <v>0</v>
      </c>
      <c r="S66" s="2223">
        <f t="shared" ref="S66:X66" si="39">SUM(S27,S50:S56)-S26</f>
        <v>0</v>
      </c>
      <c r="T66" s="2223">
        <f t="shared" si="39"/>
        <v>0</v>
      </c>
      <c r="U66" s="2223">
        <f t="shared" si="39"/>
        <v>0</v>
      </c>
      <c r="V66" s="2223">
        <f t="shared" si="39"/>
        <v>0</v>
      </c>
      <c r="W66" s="2223">
        <f t="shared" si="39"/>
        <v>0</v>
      </c>
      <c r="X66" s="2223">
        <f t="shared" si="39"/>
        <v>0</v>
      </c>
    </row>
    <row r="67" spans="1:24">
      <c r="A67" s="2251"/>
      <c r="L67" s="2238" t="s">
        <v>2345</v>
      </c>
      <c r="M67" s="2228">
        <f t="shared" ref="M67:X67" si="40">M5-M26-+M58+M59+M60-M61</f>
        <v>0</v>
      </c>
      <c r="N67" s="2228">
        <f t="shared" si="40"/>
        <v>-3.5527136788005009E-15</v>
      </c>
      <c r="O67" s="2228">
        <f t="shared" si="40"/>
        <v>-5.3290705182007514E-15</v>
      </c>
      <c r="P67" s="2228">
        <f t="shared" si="40"/>
        <v>6.6613381477509392E-15</v>
      </c>
      <c r="Q67" s="2228">
        <f t="shared" si="40"/>
        <v>4.8849813083506888E-15</v>
      </c>
      <c r="R67" s="2228">
        <f t="shared" si="40"/>
        <v>0</v>
      </c>
      <c r="S67" s="2228">
        <f t="shared" si="40"/>
        <v>0</v>
      </c>
      <c r="T67" s="2228">
        <f t="shared" si="40"/>
        <v>0</v>
      </c>
      <c r="U67" s="2228">
        <f t="shared" si="40"/>
        <v>0</v>
      </c>
      <c r="V67" s="2228">
        <f t="shared" si="40"/>
        <v>0</v>
      </c>
      <c r="W67" s="2228">
        <f t="shared" si="40"/>
        <v>0</v>
      </c>
      <c r="X67" s="2228">
        <f t="shared" si="40"/>
        <v>0</v>
      </c>
    </row>
    <row r="68" spans="1:24">
      <c r="A68" s="2251"/>
      <c r="L68" s="2238" t="s">
        <v>2344</v>
      </c>
      <c r="M68" s="2223">
        <f t="shared" ref="M68:X68" si="41">M61+M62-M63-M4</f>
        <v>0</v>
      </c>
      <c r="N68" s="2223">
        <f t="shared" si="41"/>
        <v>0</v>
      </c>
      <c r="O68" s="2223">
        <f t="shared" si="41"/>
        <v>0</v>
      </c>
      <c r="P68" s="2223">
        <f t="shared" si="41"/>
        <v>0</v>
      </c>
      <c r="Q68" s="2223">
        <f t="shared" si="41"/>
        <v>0</v>
      </c>
      <c r="R68" s="2223">
        <f t="shared" si="41"/>
        <v>0</v>
      </c>
      <c r="S68" s="2223">
        <f t="shared" si="41"/>
        <v>0</v>
      </c>
      <c r="T68" s="2223">
        <f t="shared" si="41"/>
        <v>0</v>
      </c>
      <c r="U68" s="2223">
        <f t="shared" si="41"/>
        <v>0</v>
      </c>
      <c r="V68" s="2223">
        <f t="shared" si="41"/>
        <v>0</v>
      </c>
      <c r="W68" s="2223">
        <f t="shared" si="41"/>
        <v>0</v>
      </c>
      <c r="X68" s="2223">
        <f t="shared" si="41"/>
        <v>0</v>
      </c>
    </row>
    <row r="69" spans="1:24">
      <c r="M69" s="2231"/>
      <c r="N69" s="2231"/>
      <c r="O69" s="2231"/>
      <c r="P69" s="2231"/>
      <c r="Q69" s="2231"/>
    </row>
    <row r="70" spans="1:24">
      <c r="M70" s="2232"/>
      <c r="N70" s="2232"/>
      <c r="O70" s="2232"/>
      <c r="P70" s="2232"/>
      <c r="Q70" s="2232"/>
    </row>
  </sheetData>
  <mergeCells count="3">
    <mergeCell ref="B28:B33"/>
    <mergeCell ref="B8:B15"/>
    <mergeCell ref="B34:B49"/>
  </mergeCells>
  <phoneticPr fontId="20" type="noConversion"/>
  <pageMargins left="0.7" right="0.7" top="0.75" bottom="0.75" header="0.3" footer="0.3"/>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1"/>
  <dimension ref="A1:W101"/>
  <sheetViews>
    <sheetView showGridLines="0" zoomScale="70" zoomScaleNormal="70" workbookViewId="0">
      <pane ySplit="2" topLeftCell="A61" activePane="bottomLeft" state="frozen"/>
      <selection activeCell="N6" sqref="N6"/>
      <selection pane="bottomLeft" activeCell="O92" sqref="O92"/>
    </sheetView>
  </sheetViews>
  <sheetFormatPr defaultColWidth="9" defaultRowHeight="15" outlineLevelCol="1"/>
  <cols>
    <col min="1" max="1" width="20.44140625" style="2182" customWidth="1"/>
    <col min="2" max="2" width="27.21875" style="2182" customWidth="1"/>
    <col min="3" max="3" width="14" style="2182" bestFit="1" customWidth="1"/>
    <col min="4" max="4" width="15.109375" style="2182" hidden="1" customWidth="1" outlineLevel="1"/>
    <col min="5" max="5" width="22.33203125" style="2182" hidden="1" customWidth="1" outlineLevel="1"/>
    <col min="6" max="6" width="17.109375" style="2182" hidden="1" customWidth="1" outlineLevel="1"/>
    <col min="7" max="7" width="16.88671875" style="2182" hidden="1" customWidth="1" outlineLevel="1"/>
    <col min="8" max="8" width="13.5546875" style="2182" hidden="1" customWidth="1" outlineLevel="1"/>
    <col min="9" max="9" width="19.109375" style="2182" hidden="1" customWidth="1" outlineLevel="1"/>
    <col min="10" max="10" width="23.88671875" style="2182" hidden="1" customWidth="1" outlineLevel="1"/>
    <col min="11" max="11" width="14.109375" style="2182" bestFit="1" customWidth="1" collapsed="1"/>
    <col min="12" max="15" width="14.109375" style="2182" bestFit="1" customWidth="1"/>
    <col min="16" max="22" width="13.77734375" style="2182" bestFit="1" customWidth="1"/>
    <col min="23" max="16384" width="9" style="2182"/>
  </cols>
  <sheetData>
    <row r="1" spans="1:23">
      <c r="B1" s="2193" t="s">
        <v>2335</v>
      </c>
    </row>
    <row r="2" spans="1:23" s="2179" customFormat="1" ht="15.6">
      <c r="B2" s="2171" t="s">
        <v>2306</v>
      </c>
      <c r="C2" s="2172" t="s">
        <v>2307</v>
      </c>
      <c r="D2" s="2172" t="s">
        <v>2060</v>
      </c>
      <c r="E2" s="2173" t="s">
        <v>2059</v>
      </c>
      <c r="F2" s="2172" t="s">
        <v>2361</v>
      </c>
      <c r="G2" s="2172" t="s">
        <v>2343</v>
      </c>
      <c r="H2" s="2172" t="s">
        <v>2332</v>
      </c>
      <c r="I2" s="2172" t="s">
        <v>2333</v>
      </c>
      <c r="J2" s="2172" t="s">
        <v>2363</v>
      </c>
      <c r="K2" s="2172">
        <f>损益预算完成情况!M2</f>
        <v>2018.01</v>
      </c>
      <c r="L2" s="2172">
        <f>损益预算完成情况!N2</f>
        <v>2018.02</v>
      </c>
      <c r="M2" s="2172">
        <f>损益预算完成情况!O2</f>
        <v>2018.03</v>
      </c>
      <c r="N2" s="2172">
        <f>损益预算完成情况!P2</f>
        <v>2018.04</v>
      </c>
      <c r="O2" s="2172">
        <f>损益预算完成情况!Q2</f>
        <v>2018.05</v>
      </c>
      <c r="P2" s="2172">
        <f>损益预算完成情况!R2</f>
        <v>2018.06</v>
      </c>
      <c r="Q2" s="2172">
        <f>损益预算完成情况!S2</f>
        <v>2018.07</v>
      </c>
      <c r="R2" s="2172">
        <f>损益预算完成情况!T2</f>
        <v>2018.08</v>
      </c>
      <c r="S2" s="2172">
        <f>损益预算完成情况!U2</f>
        <v>2018.09</v>
      </c>
      <c r="T2" s="2172">
        <f>损益预算完成情况!V2</f>
        <v>2018.1</v>
      </c>
      <c r="U2" s="2172">
        <f>损益预算完成情况!W2</f>
        <v>2018.11</v>
      </c>
      <c r="V2" s="2172">
        <f>损益预算完成情况!X2</f>
        <v>2018.12</v>
      </c>
    </row>
    <row r="3" spans="1:23" s="2189" customFormat="1" ht="15.6">
      <c r="B3" s="2188" t="s">
        <v>2324</v>
      </c>
      <c r="C3" s="2169" t="s">
        <v>2327</v>
      </c>
      <c r="D3" s="2169" t="s">
        <v>2325</v>
      </c>
      <c r="E3" s="2178" t="s">
        <v>2326</v>
      </c>
      <c r="F3" s="2178" t="s">
        <v>2364</v>
      </c>
      <c r="G3" s="2220" t="s">
        <v>2365</v>
      </c>
      <c r="H3" s="2221" t="s">
        <v>2329</v>
      </c>
      <c r="I3" s="2221" t="s">
        <v>2330</v>
      </c>
      <c r="J3" s="2221" t="s">
        <v>2366</v>
      </c>
      <c r="K3" s="2175" t="s">
        <v>2328</v>
      </c>
      <c r="L3" s="2175" t="s">
        <v>2328</v>
      </c>
      <c r="M3" s="2175" t="s">
        <v>2328</v>
      </c>
      <c r="N3" s="2175" t="s">
        <v>2328</v>
      </c>
      <c r="O3" s="2175" t="s">
        <v>2328</v>
      </c>
      <c r="P3" s="2175" t="s">
        <v>2328</v>
      </c>
      <c r="Q3" s="2175" t="s">
        <v>2328</v>
      </c>
      <c r="R3" s="2175" t="s">
        <v>2328</v>
      </c>
      <c r="S3" s="2175" t="s">
        <v>2328</v>
      </c>
      <c r="T3" s="2175" t="s">
        <v>2328</v>
      </c>
      <c r="U3" s="2175" t="s">
        <v>2328</v>
      </c>
      <c r="V3" s="2175" t="s">
        <v>2328</v>
      </c>
    </row>
    <row r="4" spans="1:23" s="2189" customFormat="1" ht="15.6">
      <c r="B4" s="2188" t="s">
        <v>2352</v>
      </c>
      <c r="C4" s="2178">
        <f>IFERROR(C81/C50,0)</f>
        <v>0.30499881098344089</v>
      </c>
      <c r="D4" s="2169"/>
      <c r="E4" s="2178"/>
      <c r="F4" s="2265">
        <f t="shared" ref="F4:F5" si="0">P4</f>
        <v>0</v>
      </c>
      <c r="G4" s="2270">
        <f>IFERROR(G81/G50,0)</f>
        <v>0.30499881098344089</v>
      </c>
      <c r="H4" s="2269">
        <f>IF(OR(F4=0,G4=0),0,F4-G4)</f>
        <v>0</v>
      </c>
      <c r="I4" s="2178"/>
      <c r="J4" s="2178"/>
      <c r="K4" s="2178">
        <f t="shared" ref="K4:V4" si="1">IFERROR(K81/K50,0)</f>
        <v>0.29834774833971628</v>
      </c>
      <c r="L4" s="2178">
        <f t="shared" si="1"/>
        <v>0.29249662459413484</v>
      </c>
      <c r="M4" s="2178">
        <f t="shared" si="1"/>
        <v>0.29673812791260634</v>
      </c>
      <c r="N4" s="2178">
        <f t="shared" si="1"/>
        <v>0.29241436665884024</v>
      </c>
      <c r="O4" s="2178">
        <f t="shared" si="1"/>
        <v>0.29420226685174916</v>
      </c>
      <c r="P4" s="2276">
        <f t="shared" si="1"/>
        <v>0</v>
      </c>
      <c r="Q4" s="2178">
        <f t="shared" si="1"/>
        <v>0</v>
      </c>
      <c r="R4" s="2178">
        <f t="shared" si="1"/>
        <v>0</v>
      </c>
      <c r="S4" s="2178">
        <f t="shared" si="1"/>
        <v>0</v>
      </c>
      <c r="T4" s="2178">
        <f t="shared" si="1"/>
        <v>0</v>
      </c>
      <c r="U4" s="2178">
        <f t="shared" si="1"/>
        <v>0</v>
      </c>
      <c r="V4" s="2178">
        <f t="shared" si="1"/>
        <v>0</v>
      </c>
      <c r="W4" s="2182"/>
    </row>
    <row r="5" spans="1:23" ht="15.6">
      <c r="A5" s="2182" t="s">
        <v>2353</v>
      </c>
      <c r="B5" s="1834" t="s">
        <v>73</v>
      </c>
      <c r="C5" s="1835">
        <v>0</v>
      </c>
      <c r="D5" s="1835"/>
      <c r="E5" s="1835"/>
      <c r="F5" s="2265">
        <f t="shared" si="0"/>
        <v>0</v>
      </c>
      <c r="G5" s="2266"/>
      <c r="H5" s="2266"/>
      <c r="I5" s="2266"/>
      <c r="J5" s="2266"/>
      <c r="K5" s="2262"/>
      <c r="L5" s="2262"/>
      <c r="M5" s="2262"/>
      <c r="N5" s="2262"/>
      <c r="O5" s="2262"/>
      <c r="P5" s="2271"/>
      <c r="Q5" s="2262"/>
      <c r="R5" s="2262"/>
      <c r="S5" s="2262"/>
      <c r="T5" s="2262"/>
      <c r="U5" s="2262"/>
      <c r="V5" s="2262"/>
    </row>
    <row r="6" spans="1:23" ht="15.6">
      <c r="A6" s="2182" t="s">
        <v>6</v>
      </c>
      <c r="B6" s="1836" t="s">
        <v>2109</v>
      </c>
      <c r="C6" s="2101">
        <v>162.44456</v>
      </c>
      <c r="D6" s="1837">
        <f>V6</f>
        <v>0</v>
      </c>
      <c r="E6" s="1837">
        <f>IFERROR(D6/C6,0)</f>
        <v>0</v>
      </c>
      <c r="F6" s="2265">
        <f>P6</f>
        <v>0</v>
      </c>
      <c r="G6" s="2101">
        <v>162.44456</v>
      </c>
      <c r="H6" s="2269">
        <f>IF(OR(F6=0,G6=0),0,F6-G6)</f>
        <v>0</v>
      </c>
      <c r="I6" s="2216">
        <f>IFERROR(H6/G6,0)</f>
        <v>0</v>
      </c>
      <c r="J6" s="2277">
        <f>IFERROR((($G$81/(SUM($F$6:F6,G7:$G$24)+$G$49)-$G$81/(SUM(G6,G7:$G$24)+$G$49))/$H$4),0)</f>
        <v>0</v>
      </c>
      <c r="K6" s="2101">
        <v>185.19349038169997</v>
      </c>
      <c r="L6" s="2101">
        <v>183.99158132259998</v>
      </c>
      <c r="M6" s="2101">
        <v>194.56496616640001</v>
      </c>
      <c r="N6" s="2101">
        <v>194.32720929979999</v>
      </c>
      <c r="O6" s="2101">
        <v>208.32040976810001</v>
      </c>
      <c r="P6" s="2272"/>
      <c r="Q6" s="2262"/>
      <c r="R6" s="2262"/>
      <c r="S6" s="2262"/>
      <c r="T6" s="2262"/>
      <c r="U6" s="2262"/>
      <c r="V6" s="2262"/>
    </row>
    <row r="7" spans="1:23" ht="15.6">
      <c r="A7" s="2182" t="s">
        <v>2354</v>
      </c>
      <c r="B7" s="1838" t="s">
        <v>2110</v>
      </c>
      <c r="C7" s="2101">
        <v>0</v>
      </c>
      <c r="D7" s="1837">
        <f t="shared" ref="D7:D70" si="2">V7</f>
        <v>0</v>
      </c>
      <c r="E7" s="1837">
        <f t="shared" ref="E7:E23" si="3">IFERROR(D7/C7,0)</f>
        <v>0</v>
      </c>
      <c r="F7" s="2265">
        <f t="shared" ref="F7:F70" si="4">P7</f>
        <v>0</v>
      </c>
      <c r="G7" s="2101">
        <v>0</v>
      </c>
      <c r="H7" s="2269">
        <f t="shared" ref="H7:H25" si="5">IF(OR(F7=0,G7=0),0,F7-G7)</f>
        <v>0</v>
      </c>
      <c r="I7" s="2216">
        <f t="shared" ref="I7:I70" si="6">IFERROR(H7/G7,0)</f>
        <v>0</v>
      </c>
      <c r="J7" s="2277">
        <f>IFERROR((($G$81/(SUM($F$6:F7,G8:$G$24)+$G$49)-$G$81/(SUM($F$6:F6,G7,G8:$G$24)+$G$49))/$H$4),0)</f>
        <v>0</v>
      </c>
      <c r="K7" s="2101">
        <v>0</v>
      </c>
      <c r="L7" s="2101"/>
      <c r="M7" s="2101"/>
      <c r="N7" s="2101">
        <v>0</v>
      </c>
      <c r="O7" s="2101">
        <v>0</v>
      </c>
      <c r="P7" s="2272"/>
      <c r="Q7" s="2262"/>
      <c r="R7" s="2262"/>
      <c r="S7" s="2262"/>
      <c r="T7" s="2262"/>
      <c r="U7" s="2262"/>
      <c r="V7" s="2262"/>
    </row>
    <row r="8" spans="1:23" ht="15.6">
      <c r="A8" s="2182" t="s">
        <v>160</v>
      </c>
      <c r="B8" s="1838" t="s">
        <v>2111</v>
      </c>
      <c r="C8" s="2101">
        <v>0</v>
      </c>
      <c r="D8" s="1837">
        <f t="shared" si="2"/>
        <v>0</v>
      </c>
      <c r="E8" s="1837">
        <f t="shared" si="3"/>
        <v>0</v>
      </c>
      <c r="F8" s="2265">
        <f t="shared" si="4"/>
        <v>0</v>
      </c>
      <c r="G8" s="2101">
        <v>0</v>
      </c>
      <c r="H8" s="2269">
        <f t="shared" si="5"/>
        <v>0</v>
      </c>
      <c r="I8" s="2216">
        <f t="shared" si="6"/>
        <v>0</v>
      </c>
      <c r="J8" s="2277">
        <f>IFERROR((($G$81/(SUM($F$6:F8,G9:$G$24)+$G$49)-$G$81/(SUM($F$6:F7,G8,G9:$G$24)+$G$49))/$H$4),0)</f>
        <v>0</v>
      </c>
      <c r="K8" s="2101">
        <v>0</v>
      </c>
      <c r="L8" s="2101">
        <v>0</v>
      </c>
      <c r="M8" s="2101">
        <v>0</v>
      </c>
      <c r="N8" s="2101">
        <v>0</v>
      </c>
      <c r="O8" s="2101">
        <v>0</v>
      </c>
      <c r="P8" s="2272"/>
      <c r="Q8" s="2262"/>
      <c r="R8" s="2262"/>
      <c r="S8" s="2262"/>
      <c r="T8" s="2262"/>
      <c r="U8" s="2262"/>
      <c r="V8" s="2262"/>
    </row>
    <row r="9" spans="1:23" ht="15.6">
      <c r="A9" s="2182" t="s">
        <v>9</v>
      </c>
      <c r="B9" s="1836" t="s">
        <v>2112</v>
      </c>
      <c r="C9" s="2101">
        <v>0</v>
      </c>
      <c r="D9" s="1837">
        <f t="shared" si="2"/>
        <v>0</v>
      </c>
      <c r="E9" s="1837">
        <f t="shared" si="3"/>
        <v>0</v>
      </c>
      <c r="F9" s="2265">
        <f t="shared" si="4"/>
        <v>0</v>
      </c>
      <c r="G9" s="2101">
        <v>0</v>
      </c>
      <c r="H9" s="2269">
        <f t="shared" si="5"/>
        <v>0</v>
      </c>
      <c r="I9" s="2216">
        <f t="shared" si="6"/>
        <v>0</v>
      </c>
      <c r="J9" s="2277">
        <f>IFERROR((($G$81/(SUM($F$6:F9,G10:$G$24)+$G$49)-$G$81/(SUM($F$6:F8,G9,G10:$G$24)+$G$49))/$H$4),0)</f>
        <v>0</v>
      </c>
      <c r="K9" s="2101">
        <v>0</v>
      </c>
      <c r="L9" s="2101">
        <v>0</v>
      </c>
      <c r="M9" s="2101">
        <v>0</v>
      </c>
      <c r="N9" s="2101">
        <v>0</v>
      </c>
      <c r="O9" s="2101">
        <v>0</v>
      </c>
      <c r="P9" s="2272"/>
      <c r="Q9" s="2262"/>
      <c r="R9" s="2262"/>
      <c r="S9" s="2262"/>
      <c r="T9" s="2262"/>
      <c r="U9" s="2262"/>
      <c r="V9" s="2262"/>
    </row>
    <row r="10" spans="1:23" ht="15.6">
      <c r="A10" s="2182" t="s">
        <v>8</v>
      </c>
      <c r="B10" s="1838" t="s">
        <v>2113</v>
      </c>
      <c r="C10" s="2101">
        <v>0</v>
      </c>
      <c r="D10" s="1837">
        <f t="shared" si="2"/>
        <v>0</v>
      </c>
      <c r="E10" s="1837">
        <f t="shared" si="3"/>
        <v>0</v>
      </c>
      <c r="F10" s="2265">
        <f t="shared" si="4"/>
        <v>0</v>
      </c>
      <c r="G10" s="2101">
        <v>0</v>
      </c>
      <c r="H10" s="2269">
        <f t="shared" si="5"/>
        <v>0</v>
      </c>
      <c r="I10" s="2216">
        <f t="shared" si="6"/>
        <v>0</v>
      </c>
      <c r="J10" s="2277">
        <f>IFERROR((($G$81/(SUM($F$6:F10,G11:$G$24)+$G$49)-$G$81/(SUM($F$6:F9,G10,G11:$G$24)+$G$49))/$H$4),0)</f>
        <v>0</v>
      </c>
      <c r="K10" s="2101">
        <v>0</v>
      </c>
      <c r="L10" s="2101">
        <v>0</v>
      </c>
      <c r="M10" s="2101">
        <v>0</v>
      </c>
      <c r="N10" s="2101">
        <v>0</v>
      </c>
      <c r="O10" s="2101">
        <v>0</v>
      </c>
      <c r="P10" s="2272"/>
      <c r="Q10" s="2262"/>
      <c r="R10" s="2262"/>
      <c r="S10" s="2262"/>
      <c r="T10" s="2262"/>
      <c r="U10" s="2262"/>
      <c r="V10" s="2262"/>
    </row>
    <row r="11" spans="1:23" ht="15.6">
      <c r="A11" s="2182" t="s">
        <v>1944</v>
      </c>
      <c r="B11" s="1838" t="s">
        <v>2114</v>
      </c>
      <c r="C11" s="2101">
        <v>0</v>
      </c>
      <c r="D11" s="1837">
        <f t="shared" si="2"/>
        <v>0</v>
      </c>
      <c r="E11" s="1837">
        <f t="shared" si="3"/>
        <v>0</v>
      </c>
      <c r="F11" s="2265">
        <f t="shared" si="4"/>
        <v>0</v>
      </c>
      <c r="G11" s="2101">
        <v>0</v>
      </c>
      <c r="H11" s="2269">
        <f t="shared" si="5"/>
        <v>0</v>
      </c>
      <c r="I11" s="2216">
        <f t="shared" si="6"/>
        <v>0</v>
      </c>
      <c r="J11" s="2277">
        <f>IFERROR((($G$81/(SUM($F$6:F11,G12:$G$24)+$G$49)-$G$81/(SUM($F$6:F10,G11,G12:$G$24)+$G$49))/$H$4),0)</f>
        <v>0</v>
      </c>
      <c r="K11" s="2101">
        <v>0.629</v>
      </c>
      <c r="L11" s="2101">
        <v>0.60299999999999998</v>
      </c>
      <c r="M11" s="2101">
        <v>3.5999999999999997E-2</v>
      </c>
      <c r="N11" s="2101">
        <v>0.03</v>
      </c>
      <c r="O11" s="2101">
        <v>6.0000000000000001E-3</v>
      </c>
      <c r="P11" s="2272"/>
      <c r="Q11" s="2262"/>
      <c r="R11" s="2262"/>
      <c r="S11" s="2262"/>
      <c r="T11" s="2262"/>
      <c r="U11" s="2262"/>
      <c r="V11" s="2262"/>
    </row>
    <row r="12" spans="1:23" ht="15.6">
      <c r="A12" s="2182" t="s">
        <v>161</v>
      </c>
      <c r="B12" s="1838" t="s">
        <v>2115</v>
      </c>
      <c r="C12" s="2101">
        <v>3.7429999999999999</v>
      </c>
      <c r="D12" s="1837">
        <f t="shared" si="2"/>
        <v>0</v>
      </c>
      <c r="E12" s="1837">
        <f t="shared" si="3"/>
        <v>0</v>
      </c>
      <c r="F12" s="2265">
        <f t="shared" si="4"/>
        <v>0</v>
      </c>
      <c r="G12" s="2101">
        <v>3.7429999999999999</v>
      </c>
      <c r="H12" s="2269">
        <f t="shared" si="5"/>
        <v>0</v>
      </c>
      <c r="I12" s="2216">
        <f t="shared" si="6"/>
        <v>0</v>
      </c>
      <c r="J12" s="2277">
        <f>IFERROR((($G$81/(SUM($F$6:F12,G13:$G$24)+$G$49)-$G$81/(SUM($F$6:F11,G12,G13:$G$24)+$G$49))/$H$4),0)</f>
        <v>0</v>
      </c>
      <c r="K12" s="2101">
        <v>4.9522920371000003</v>
      </c>
      <c r="L12" s="2101">
        <v>5.3701596082000007</v>
      </c>
      <c r="M12" s="2101">
        <v>5.8623749166999994</v>
      </c>
      <c r="N12" s="2101">
        <v>5.2113844727999998</v>
      </c>
      <c r="O12" s="2101">
        <v>6.8411145254999992</v>
      </c>
      <c r="P12" s="2272"/>
      <c r="Q12" s="2262"/>
      <c r="R12" s="2262"/>
      <c r="S12" s="2262"/>
      <c r="T12" s="2262"/>
      <c r="U12" s="2262"/>
      <c r="V12" s="2262"/>
    </row>
    <row r="13" spans="1:23" ht="15.6">
      <c r="A13" s="2182" t="s">
        <v>315</v>
      </c>
      <c r="B13" s="1838" t="s">
        <v>2116</v>
      </c>
      <c r="C13" s="2101">
        <v>2.8487</v>
      </c>
      <c r="D13" s="1837">
        <f t="shared" si="2"/>
        <v>0</v>
      </c>
      <c r="E13" s="1837">
        <f t="shared" si="3"/>
        <v>0</v>
      </c>
      <c r="F13" s="2265">
        <f t="shared" si="4"/>
        <v>0</v>
      </c>
      <c r="G13" s="2101">
        <v>2.8487</v>
      </c>
      <c r="H13" s="2269">
        <f t="shared" si="5"/>
        <v>0</v>
      </c>
      <c r="I13" s="2216">
        <f t="shared" si="6"/>
        <v>0</v>
      </c>
      <c r="J13" s="2277">
        <f>IFERROR((($G$81/(SUM($F$6:F13,G14:$G$24)+$G$49)-$G$81/(SUM($F$6:F12,G13,G14:$G$24)+$G$49))/$H$4),0)</f>
        <v>0</v>
      </c>
      <c r="K13" s="2101">
        <v>2.6216493075999998</v>
      </c>
      <c r="L13" s="2101">
        <v>2.69939777</v>
      </c>
      <c r="M13" s="2101">
        <v>2.8317561882</v>
      </c>
      <c r="N13" s="2101">
        <v>3.1100685732</v>
      </c>
      <c r="O13" s="2101">
        <v>7.4291292008000003</v>
      </c>
      <c r="P13" s="2272"/>
      <c r="Q13" s="2262"/>
      <c r="R13" s="2262"/>
      <c r="S13" s="2262"/>
      <c r="T13" s="2262"/>
      <c r="U13" s="2262"/>
      <c r="V13" s="2262"/>
    </row>
    <row r="14" spans="1:23" ht="15.6">
      <c r="B14" s="1838" t="s">
        <v>2117</v>
      </c>
      <c r="C14" s="2101">
        <v>0</v>
      </c>
      <c r="D14" s="1837">
        <f t="shared" si="2"/>
        <v>0</v>
      </c>
      <c r="E14" s="1837">
        <f t="shared" si="3"/>
        <v>0</v>
      </c>
      <c r="F14" s="2265">
        <f t="shared" si="4"/>
        <v>0</v>
      </c>
      <c r="G14" s="2101">
        <v>0</v>
      </c>
      <c r="H14" s="2269">
        <f t="shared" si="5"/>
        <v>0</v>
      </c>
      <c r="I14" s="2216">
        <f t="shared" si="6"/>
        <v>0</v>
      </c>
      <c r="J14" s="2277">
        <f>IFERROR((($G$81/(SUM($F$6:F14,G15:$G$24)+$G$49)-$G$81/(SUM($F$6:F13,G14,G15:$G$24)+$G$49))/$H$4),0)</f>
        <v>0</v>
      </c>
      <c r="K14" s="2101">
        <v>0</v>
      </c>
      <c r="L14" s="2101">
        <v>0</v>
      </c>
      <c r="M14" s="2101">
        <v>0</v>
      </c>
      <c r="N14" s="2101">
        <v>0</v>
      </c>
      <c r="O14" s="2101">
        <v>0</v>
      </c>
      <c r="P14" s="2272"/>
      <c r="Q14" s="2262"/>
      <c r="R14" s="2262"/>
      <c r="S14" s="2262"/>
      <c r="T14" s="2262"/>
      <c r="U14" s="2262"/>
      <c r="V14" s="2262"/>
    </row>
    <row r="15" spans="1:23" ht="15.6">
      <c r="B15" s="1838" t="s">
        <v>2118</v>
      </c>
      <c r="C15" s="2101">
        <v>0</v>
      </c>
      <c r="D15" s="1837">
        <f t="shared" si="2"/>
        <v>0</v>
      </c>
      <c r="E15" s="1837">
        <f t="shared" si="3"/>
        <v>0</v>
      </c>
      <c r="F15" s="2265">
        <f t="shared" si="4"/>
        <v>0</v>
      </c>
      <c r="G15" s="2101">
        <v>0</v>
      </c>
      <c r="H15" s="2269">
        <f t="shared" si="5"/>
        <v>0</v>
      </c>
      <c r="I15" s="2216">
        <f t="shared" si="6"/>
        <v>0</v>
      </c>
      <c r="J15" s="2277">
        <f>IFERROR((($G$81/(SUM($F$6:F15,G16:$G$24)+$G$49)-$G$81/(SUM($F$6:F14,G15,G16:$G$24)+$G$49))/$H$4),0)</f>
        <v>0</v>
      </c>
      <c r="K15" s="2101">
        <v>0</v>
      </c>
      <c r="L15" s="2101">
        <v>0</v>
      </c>
      <c r="M15" s="2101">
        <v>0</v>
      </c>
      <c r="N15" s="2101">
        <v>0</v>
      </c>
      <c r="O15" s="2101">
        <v>0</v>
      </c>
      <c r="P15" s="2272"/>
      <c r="Q15" s="2262"/>
      <c r="R15" s="2262"/>
      <c r="S15" s="2262"/>
      <c r="T15" s="2262"/>
      <c r="U15" s="2262"/>
      <c r="V15" s="2262"/>
    </row>
    <row r="16" spans="1:23" ht="15.6">
      <c r="B16" s="1838" t="s">
        <v>2119</v>
      </c>
      <c r="C16" s="2101">
        <v>0</v>
      </c>
      <c r="D16" s="1837">
        <f t="shared" si="2"/>
        <v>0</v>
      </c>
      <c r="E16" s="1837">
        <f t="shared" si="3"/>
        <v>0</v>
      </c>
      <c r="F16" s="2265">
        <f t="shared" si="4"/>
        <v>0</v>
      </c>
      <c r="G16" s="2101">
        <v>0</v>
      </c>
      <c r="H16" s="2269">
        <f t="shared" si="5"/>
        <v>0</v>
      </c>
      <c r="I16" s="2216">
        <f t="shared" si="6"/>
        <v>0</v>
      </c>
      <c r="J16" s="2277">
        <f>IFERROR((($G$81/(SUM($F$6:F16,G17:$G$24)+$G$49)-$G$81/(SUM($F$6:F15,G16,G17:$G$24)+$G$49))/$H$4),0)</f>
        <v>0</v>
      </c>
      <c r="K16" s="2101">
        <v>0</v>
      </c>
      <c r="L16" s="2101">
        <v>0</v>
      </c>
      <c r="M16" s="2101">
        <v>0</v>
      </c>
      <c r="N16" s="2101">
        <v>0</v>
      </c>
      <c r="O16" s="2101">
        <v>0</v>
      </c>
      <c r="P16" s="2272"/>
      <c r="Q16" s="2262"/>
      <c r="R16" s="2262"/>
      <c r="S16" s="2262"/>
      <c r="T16" s="2262"/>
      <c r="U16" s="2262"/>
      <c r="V16" s="2262"/>
    </row>
    <row r="17" spans="1:22" ht="15.6">
      <c r="B17" s="1836" t="s">
        <v>2120</v>
      </c>
      <c r="C17" s="2101">
        <v>0</v>
      </c>
      <c r="D17" s="1837">
        <f t="shared" si="2"/>
        <v>0</v>
      </c>
      <c r="E17" s="1837">
        <f t="shared" si="3"/>
        <v>0</v>
      </c>
      <c r="F17" s="2265">
        <f t="shared" si="4"/>
        <v>0</v>
      </c>
      <c r="G17" s="2101">
        <v>0</v>
      </c>
      <c r="H17" s="2269">
        <f t="shared" si="5"/>
        <v>0</v>
      </c>
      <c r="I17" s="2216">
        <f t="shared" si="6"/>
        <v>0</v>
      </c>
      <c r="J17" s="2277">
        <f>IFERROR((($G$81/(SUM($F$6:F17,G18:$G$24)+$G$49)-$G$81/(SUM($F$6:F16,G17,G18:$G$24)+$G$49))/$H$4),0)</f>
        <v>0</v>
      </c>
      <c r="K17" s="2101">
        <v>0</v>
      </c>
      <c r="L17" s="2101">
        <v>0</v>
      </c>
      <c r="M17" s="2101">
        <v>0</v>
      </c>
      <c r="N17" s="2101">
        <v>0</v>
      </c>
      <c r="O17" s="2101">
        <v>0</v>
      </c>
      <c r="P17" s="2272"/>
      <c r="Q17" s="2262"/>
      <c r="R17" s="2262"/>
      <c r="S17" s="2262"/>
      <c r="T17" s="2262"/>
      <c r="U17" s="2262"/>
      <c r="V17" s="2262"/>
    </row>
    <row r="18" spans="1:22" ht="15.6">
      <c r="B18" s="1838" t="s">
        <v>2121</v>
      </c>
      <c r="C18" s="2101">
        <v>0</v>
      </c>
      <c r="D18" s="1837">
        <f t="shared" si="2"/>
        <v>0</v>
      </c>
      <c r="E18" s="1837">
        <f t="shared" si="3"/>
        <v>0</v>
      </c>
      <c r="F18" s="2265">
        <f t="shared" si="4"/>
        <v>0</v>
      </c>
      <c r="G18" s="2101">
        <v>0</v>
      </c>
      <c r="H18" s="2269">
        <f t="shared" si="5"/>
        <v>0</v>
      </c>
      <c r="I18" s="2216">
        <f t="shared" si="6"/>
        <v>0</v>
      </c>
      <c r="J18" s="2277">
        <f>IFERROR((($G$81/(SUM($F$6:F18,G19:$G$24)+$G$49)-$G$81/(SUM($F$6:F17,G18,G19:$G$24)+$G$49))/$H$4),0)</f>
        <v>0</v>
      </c>
      <c r="K18" s="2101">
        <v>0</v>
      </c>
      <c r="L18" s="2101">
        <v>0</v>
      </c>
      <c r="M18" s="2101">
        <v>0</v>
      </c>
      <c r="N18" s="2101">
        <v>0</v>
      </c>
      <c r="O18" s="2101">
        <v>0</v>
      </c>
      <c r="P18" s="2272"/>
      <c r="Q18" s="2262"/>
      <c r="R18" s="2262"/>
      <c r="S18" s="2262"/>
      <c r="T18" s="2262"/>
      <c r="U18" s="2262"/>
      <c r="V18" s="2262"/>
    </row>
    <row r="19" spans="1:22" ht="15.6">
      <c r="B19" s="1838" t="s">
        <v>2122</v>
      </c>
      <c r="C19" s="2101">
        <v>24.709700000000002</v>
      </c>
      <c r="D19" s="1837">
        <f t="shared" si="2"/>
        <v>0</v>
      </c>
      <c r="E19" s="1837">
        <f t="shared" si="3"/>
        <v>0</v>
      </c>
      <c r="F19" s="2265">
        <f t="shared" si="4"/>
        <v>0</v>
      </c>
      <c r="G19" s="2101">
        <v>24.709700000000002</v>
      </c>
      <c r="H19" s="2269">
        <f t="shared" si="5"/>
        <v>0</v>
      </c>
      <c r="I19" s="2216">
        <f t="shared" si="6"/>
        <v>0</v>
      </c>
      <c r="J19" s="2277">
        <f>IFERROR((($G$81/(SUM($F$6:F19,G20:$G$24)+$G$49)-$G$81/(SUM($F$6:F18,G19,G20:$G$24)+$G$49))/$H$4),0)</f>
        <v>0</v>
      </c>
      <c r="K19" s="2101">
        <v>29.415874328800001</v>
      </c>
      <c r="L19" s="2101">
        <v>29.376652622000002</v>
      </c>
      <c r="M19" s="2101">
        <v>29.537544686199997</v>
      </c>
      <c r="N19" s="2101">
        <v>29.5454322834</v>
      </c>
      <c r="O19" s="2101">
        <v>29.528275379499998</v>
      </c>
      <c r="P19" s="2272"/>
      <c r="Q19" s="2262"/>
      <c r="R19" s="2262"/>
      <c r="S19" s="2262"/>
      <c r="T19" s="2262"/>
      <c r="U19" s="2262"/>
      <c r="V19" s="2262"/>
    </row>
    <row r="20" spans="1:22" ht="15.6">
      <c r="B20" s="1839" t="s">
        <v>2123</v>
      </c>
      <c r="C20" s="2101">
        <v>0</v>
      </c>
      <c r="D20" s="1837">
        <f t="shared" si="2"/>
        <v>0</v>
      </c>
      <c r="E20" s="1837">
        <f t="shared" si="3"/>
        <v>0</v>
      </c>
      <c r="F20" s="2265">
        <f t="shared" si="4"/>
        <v>0</v>
      </c>
      <c r="G20" s="2101">
        <v>0</v>
      </c>
      <c r="H20" s="2269">
        <f t="shared" si="5"/>
        <v>0</v>
      </c>
      <c r="I20" s="2216">
        <f t="shared" si="6"/>
        <v>0</v>
      </c>
      <c r="J20" s="2277">
        <f>IFERROR((($G$81/(SUM($F$6:F20,G21:$G$24)+$G$49)-$G$81/(SUM($F$6:F19,G20,G21:$G$24)+$G$49))/$H$4),0)</f>
        <v>0</v>
      </c>
      <c r="K20" s="2101">
        <v>0</v>
      </c>
      <c r="L20" s="2101">
        <v>0</v>
      </c>
      <c r="M20" s="2101">
        <v>0</v>
      </c>
      <c r="N20" s="2101">
        <v>0</v>
      </c>
      <c r="O20" s="2101">
        <v>0</v>
      </c>
      <c r="P20" s="2272"/>
      <c r="Q20" s="2262"/>
      <c r="R20" s="2262"/>
      <c r="S20" s="2262"/>
      <c r="T20" s="2262"/>
      <c r="U20" s="2262"/>
      <c r="V20" s="2262"/>
    </row>
    <row r="21" spans="1:22" ht="15.6">
      <c r="B21" s="1836" t="s">
        <v>2124</v>
      </c>
      <c r="C21" s="2101">
        <v>4.9366000000000003</v>
      </c>
      <c r="D21" s="1837">
        <f t="shared" si="2"/>
        <v>0</v>
      </c>
      <c r="E21" s="1837">
        <f t="shared" si="3"/>
        <v>0</v>
      </c>
      <c r="F21" s="2265">
        <f t="shared" si="4"/>
        <v>0</v>
      </c>
      <c r="G21" s="2101">
        <v>4.9366000000000003</v>
      </c>
      <c r="H21" s="2269">
        <f t="shared" si="5"/>
        <v>0</v>
      </c>
      <c r="I21" s="2216">
        <f t="shared" si="6"/>
        <v>0</v>
      </c>
      <c r="J21" s="2277">
        <f>IFERROR((($G$81/(SUM($F$6:F21,G22:$G$24)+$G$49)-$G$81/(SUM($F$6:F20,G21,G22:$G$24)+$G$49))/$H$4),0)</f>
        <v>0</v>
      </c>
      <c r="K21" s="2101">
        <v>4.1658864191000005</v>
      </c>
      <c r="L21" s="2101">
        <v>4.3174590611000001</v>
      </c>
      <c r="M21" s="2101">
        <v>4.326644623</v>
      </c>
      <c r="N21" s="2101">
        <v>4.1894378476999998</v>
      </c>
      <c r="O21" s="2101">
        <v>4.2877675791000005</v>
      </c>
      <c r="P21" s="2272"/>
      <c r="Q21" s="2262"/>
      <c r="R21" s="2262"/>
      <c r="S21" s="2262"/>
      <c r="T21" s="2262"/>
      <c r="U21" s="2262"/>
      <c r="V21" s="2262"/>
    </row>
    <row r="22" spans="1:22" ht="15.6">
      <c r="B22" s="1836" t="s">
        <v>2125</v>
      </c>
      <c r="C22" s="2101">
        <v>0</v>
      </c>
      <c r="D22" s="1837">
        <f t="shared" si="2"/>
        <v>0</v>
      </c>
      <c r="E22" s="1837">
        <f t="shared" si="3"/>
        <v>0</v>
      </c>
      <c r="F22" s="2265">
        <f t="shared" si="4"/>
        <v>0</v>
      </c>
      <c r="G22" s="2101">
        <v>0</v>
      </c>
      <c r="H22" s="2269">
        <f t="shared" si="5"/>
        <v>0</v>
      </c>
      <c r="I22" s="2216">
        <f t="shared" si="6"/>
        <v>0</v>
      </c>
      <c r="J22" s="2277">
        <f>IFERROR((($G$81/(SUM($F$6:F22,G23:$G$24)+$G$49)-$G$81/(SUM($F$6:F21,G22,G23:$G$24)+$G$49))/$H$4),0)</f>
        <v>0</v>
      </c>
      <c r="K22" s="2101">
        <v>0</v>
      </c>
      <c r="L22" s="2101">
        <v>0</v>
      </c>
      <c r="M22" s="2101">
        <v>0</v>
      </c>
      <c r="N22" s="2101">
        <v>0</v>
      </c>
      <c r="O22" s="2101">
        <v>0</v>
      </c>
      <c r="P22" s="2272"/>
      <c r="Q22" s="2262"/>
      <c r="R22" s="2262"/>
      <c r="S22" s="2262"/>
      <c r="T22" s="2262"/>
      <c r="U22" s="2262"/>
      <c r="V22" s="2262"/>
    </row>
    <row r="23" spans="1:22" ht="15.6">
      <c r="B23" s="1836" t="s">
        <v>2126</v>
      </c>
      <c r="C23" s="2101">
        <v>0</v>
      </c>
      <c r="D23" s="1837">
        <f t="shared" si="2"/>
        <v>0</v>
      </c>
      <c r="E23" s="1837">
        <f t="shared" si="3"/>
        <v>0</v>
      </c>
      <c r="F23" s="2265">
        <f t="shared" si="4"/>
        <v>0</v>
      </c>
      <c r="G23" s="2101">
        <v>0</v>
      </c>
      <c r="H23" s="2269">
        <f t="shared" si="5"/>
        <v>0</v>
      </c>
      <c r="I23" s="2216">
        <f t="shared" si="6"/>
        <v>0</v>
      </c>
      <c r="J23" s="2277">
        <f>IFERROR((($G$81/(SUM($F$6:F23,G24:$G$24)+$G$49)-$G$81/(SUM($F$6:F22,G23,G24:$G$24)+$G$49))/$H$4),0)</f>
        <v>0</v>
      </c>
      <c r="K23" s="2101">
        <v>29</v>
      </c>
      <c r="L23" s="2101">
        <v>29</v>
      </c>
      <c r="M23" s="2101">
        <v>29</v>
      </c>
      <c r="N23" s="2101">
        <v>29</v>
      </c>
      <c r="O23" s="2101">
        <v>22</v>
      </c>
      <c r="P23" s="2272"/>
      <c r="Q23" s="2262"/>
      <c r="R23" s="2262"/>
      <c r="S23" s="2262"/>
      <c r="T23" s="2262"/>
      <c r="U23" s="2262"/>
      <c r="V23" s="2262"/>
    </row>
    <row r="24" spans="1:22" ht="15.6">
      <c r="B24" s="1836" t="s">
        <v>2127</v>
      </c>
      <c r="C24" s="2101">
        <v>0.37</v>
      </c>
      <c r="D24" s="1837">
        <f t="shared" si="2"/>
        <v>0</v>
      </c>
      <c r="E24" s="1837">
        <f>IFERROR(D24/C24,0)</f>
        <v>0</v>
      </c>
      <c r="F24" s="2265">
        <f t="shared" si="4"/>
        <v>0</v>
      </c>
      <c r="G24" s="2101">
        <v>0.37</v>
      </c>
      <c r="H24" s="2269">
        <f t="shared" si="5"/>
        <v>0</v>
      </c>
      <c r="I24" s="2216">
        <f t="shared" si="6"/>
        <v>0</v>
      </c>
      <c r="J24" s="2277">
        <f>IFERROR((($G$81/(SUM($F$6:F24,G$24:$G25)+$G$49)-$G$81/(SUM($F$6:F23,G24,G$24:$G25)+$G$49))/$H$4),0)</f>
        <v>0</v>
      </c>
      <c r="K24" s="2101">
        <v>0.28263713670000001</v>
      </c>
      <c r="L24" s="2101">
        <v>0.33051357650000002</v>
      </c>
      <c r="M24" s="2101">
        <v>0.2140505768</v>
      </c>
      <c r="N24" s="2101">
        <v>0.21051108069999999</v>
      </c>
      <c r="O24" s="2101">
        <v>0.46436863210000001</v>
      </c>
      <c r="P24" s="2272"/>
      <c r="Q24" s="2262"/>
      <c r="R24" s="2262"/>
      <c r="S24" s="2262"/>
      <c r="T24" s="2262"/>
      <c r="U24" s="2262"/>
      <c r="V24" s="2262"/>
    </row>
    <row r="25" spans="1:22" s="2192" customFormat="1" ht="15.6">
      <c r="A25" s="2182"/>
      <c r="B25" s="1902" t="s">
        <v>315</v>
      </c>
      <c r="C25" s="2191">
        <v>199.05256</v>
      </c>
      <c r="D25" s="2304">
        <f t="shared" si="2"/>
        <v>0</v>
      </c>
      <c r="E25" s="2191">
        <f t="shared" ref="E25" si="7">D25/C25</f>
        <v>0</v>
      </c>
      <c r="F25" s="2217">
        <f t="shared" si="4"/>
        <v>0</v>
      </c>
      <c r="G25" s="2191">
        <v>199.05256</v>
      </c>
      <c r="H25" s="2240">
        <f t="shared" si="5"/>
        <v>0</v>
      </c>
      <c r="I25" s="2210">
        <f t="shared" si="6"/>
        <v>0</v>
      </c>
      <c r="J25" s="2268">
        <f>IFERROR(($G$81/($F$25+$G$49)-$G$81/($G$25+$G$49))/$H$4,0)</f>
        <v>0</v>
      </c>
      <c r="K25" s="2263">
        <v>256.26082961100002</v>
      </c>
      <c r="L25" s="2263">
        <v>255.6887639604</v>
      </c>
      <c r="M25" s="2263">
        <v>266.3733371573</v>
      </c>
      <c r="N25" s="2263">
        <v>265.62404355759998</v>
      </c>
      <c r="O25" s="2263">
        <v>278.87706508509996</v>
      </c>
      <c r="P25" s="2273"/>
      <c r="Q25" s="2263"/>
      <c r="R25" s="2263"/>
      <c r="S25" s="2263"/>
      <c r="T25" s="2263"/>
      <c r="U25" s="2263"/>
      <c r="V25" s="2263"/>
    </row>
    <row r="26" spans="1:22" ht="15.6">
      <c r="A26" s="2182" t="s">
        <v>2355</v>
      </c>
      <c r="B26" s="1840" t="s">
        <v>2128</v>
      </c>
      <c r="C26" s="1837">
        <v>0</v>
      </c>
      <c r="D26" s="1837">
        <f t="shared" si="2"/>
        <v>0</v>
      </c>
      <c r="E26" s="1837"/>
      <c r="F26" s="2267"/>
      <c r="G26" s="1837">
        <v>0</v>
      </c>
      <c r="H26" s="2267"/>
      <c r="I26" s="2267"/>
      <c r="J26" s="2267"/>
      <c r="K26" s="1837">
        <v>0</v>
      </c>
      <c r="L26" s="1837">
        <v>0</v>
      </c>
      <c r="M26" s="1837">
        <v>0</v>
      </c>
      <c r="N26" s="1837">
        <v>0</v>
      </c>
      <c r="O26" s="1837"/>
      <c r="P26" s="2274"/>
      <c r="Q26" s="2190"/>
      <c r="R26" s="2190"/>
      <c r="S26" s="2190"/>
      <c r="T26" s="2190"/>
      <c r="U26" s="2190"/>
      <c r="V26" s="2190"/>
    </row>
    <row r="27" spans="1:22" ht="15.6">
      <c r="A27" s="2182" t="s">
        <v>132</v>
      </c>
      <c r="B27" s="1836" t="s">
        <v>2129</v>
      </c>
      <c r="C27" s="2101">
        <v>0</v>
      </c>
      <c r="D27" s="1837">
        <f t="shared" si="2"/>
        <v>0</v>
      </c>
      <c r="E27" s="1837">
        <f t="shared" ref="E27:E48" si="8">IFERROR(D27/C27,0)</f>
        <v>0</v>
      </c>
      <c r="F27" s="2265">
        <f t="shared" si="4"/>
        <v>0</v>
      </c>
      <c r="G27" s="2101">
        <v>0</v>
      </c>
      <c r="H27" s="2269">
        <f>IF(OR(F27=0,G27=0),0,F27-G27)</f>
        <v>0</v>
      </c>
      <c r="I27" s="2216">
        <f t="shared" si="6"/>
        <v>0</v>
      </c>
      <c r="J27" s="2277">
        <f>IFERROR(($G$81/($F$25+SUM($F$27:F27,G28:$G$33,$G$38:$G$48))-$G$81/($F$25+SUM(G27,G28:$G$33,$G$38:$G$48)))/$H$4,0)</f>
        <v>0</v>
      </c>
      <c r="K27" s="2101">
        <v>0</v>
      </c>
      <c r="L27" s="2101">
        <v>0</v>
      </c>
      <c r="M27" s="2101">
        <v>0</v>
      </c>
      <c r="N27" s="2101">
        <v>0</v>
      </c>
      <c r="O27" s="2101">
        <v>0</v>
      </c>
      <c r="P27" s="2272"/>
      <c r="Q27" s="2262"/>
      <c r="R27" s="2262"/>
      <c r="S27" s="2262"/>
      <c r="T27" s="2262"/>
      <c r="U27" s="2262"/>
      <c r="V27" s="2262"/>
    </row>
    <row r="28" spans="1:22" ht="15.6">
      <c r="A28" s="2182" t="s">
        <v>27</v>
      </c>
      <c r="B28" s="1836" t="s">
        <v>2130</v>
      </c>
      <c r="C28" s="2101">
        <v>7.0469999999999997</v>
      </c>
      <c r="D28" s="1837">
        <f t="shared" si="2"/>
        <v>0</v>
      </c>
      <c r="E28" s="1837">
        <f t="shared" si="8"/>
        <v>0</v>
      </c>
      <c r="F28" s="2265">
        <f t="shared" si="4"/>
        <v>0</v>
      </c>
      <c r="G28" s="2101">
        <v>7.0469999999999997</v>
      </c>
      <c r="H28" s="2269">
        <f t="shared" ref="H28:H91" si="9">IF(OR(F28=0,G28=0),0,F28-G28)</f>
        <v>0</v>
      </c>
      <c r="I28" s="2216">
        <f t="shared" si="6"/>
        <v>0</v>
      </c>
      <c r="J28" s="2277">
        <f>IFERROR(($G$81/($F$25+SUM($F$27:F28,G29:$G$33,$G$38:$G$48))-$G$81/($F$25+SUM($F$27:F27,G28,G29:$G$33,$G$38:$G$48)))/$H$4,0)</f>
        <v>0</v>
      </c>
      <c r="K28" s="2101">
        <v>7.0217739971999995</v>
      </c>
      <c r="L28" s="2101">
        <v>7.0217739971999995</v>
      </c>
      <c r="M28" s="2101">
        <v>7.0217739971999995</v>
      </c>
      <c r="N28" s="2101">
        <v>7.0217739971999995</v>
      </c>
      <c r="O28" s="2101">
        <v>7.1627739972000004</v>
      </c>
      <c r="P28" s="2272"/>
      <c r="Q28" s="2262"/>
      <c r="R28" s="2262"/>
      <c r="S28" s="2262"/>
      <c r="T28" s="2262"/>
      <c r="U28" s="2262"/>
      <c r="V28" s="2262"/>
    </row>
    <row r="29" spans="1:22" ht="15.6">
      <c r="A29" s="2182" t="s">
        <v>99</v>
      </c>
      <c r="B29" s="1836" t="s">
        <v>2131</v>
      </c>
      <c r="C29" s="2101">
        <v>0</v>
      </c>
      <c r="D29" s="1837">
        <f t="shared" si="2"/>
        <v>0</v>
      </c>
      <c r="E29" s="1837">
        <f t="shared" si="8"/>
        <v>0</v>
      </c>
      <c r="F29" s="2265">
        <f t="shared" si="4"/>
        <v>0</v>
      </c>
      <c r="G29" s="2101">
        <v>0</v>
      </c>
      <c r="H29" s="2269">
        <f t="shared" si="9"/>
        <v>0</v>
      </c>
      <c r="I29" s="2216">
        <f t="shared" si="6"/>
        <v>0</v>
      </c>
      <c r="J29" s="2277">
        <f>IFERROR(($G$81/($F$25+SUM($F$27:F29,G30:$G$33,$G$38:$G$48))-$G$81/($F$25+SUM($F$27:F28,G29,G30:$G$33,$G$38:$G$48)))/$H$4,0)</f>
        <v>0</v>
      </c>
      <c r="K29" s="2101">
        <v>0</v>
      </c>
      <c r="L29" s="2101">
        <v>0</v>
      </c>
      <c r="M29" s="2101">
        <v>0</v>
      </c>
      <c r="N29" s="2101">
        <v>0</v>
      </c>
      <c r="O29" s="2101">
        <v>0</v>
      </c>
      <c r="P29" s="2272"/>
      <c r="Q29" s="2262"/>
      <c r="R29" s="2262"/>
      <c r="S29" s="2262"/>
      <c r="T29" s="2262"/>
      <c r="U29" s="2262"/>
      <c r="V29" s="2262"/>
    </row>
    <row r="30" spans="1:22" ht="15.6">
      <c r="A30" s="2182" t="s">
        <v>2319</v>
      </c>
      <c r="B30" s="1836" t="s">
        <v>2132</v>
      </c>
      <c r="C30" s="2101">
        <v>2</v>
      </c>
      <c r="D30" s="1837">
        <f t="shared" si="2"/>
        <v>0</v>
      </c>
      <c r="E30" s="1837">
        <f t="shared" si="8"/>
        <v>0</v>
      </c>
      <c r="F30" s="2265">
        <f t="shared" si="4"/>
        <v>0</v>
      </c>
      <c r="G30" s="2101">
        <v>2</v>
      </c>
      <c r="H30" s="2269">
        <f t="shared" si="9"/>
        <v>0</v>
      </c>
      <c r="I30" s="2216">
        <f t="shared" si="6"/>
        <v>0</v>
      </c>
      <c r="J30" s="2277">
        <f>IFERROR(($G$81/($F$25+SUM($F$27:F30,G31:$G$33,$G$38:$G$48))-$G$81/($F$25+SUM($F$27:F29,G30,G31:$G$33,$G$38:$G$48)))/$H$4,0)</f>
        <v>0</v>
      </c>
      <c r="K30" s="2101">
        <v>2</v>
      </c>
      <c r="L30" s="2101">
        <v>2</v>
      </c>
      <c r="M30" s="2101">
        <v>2</v>
      </c>
      <c r="N30" s="2101">
        <v>2</v>
      </c>
      <c r="O30" s="2101">
        <v>2</v>
      </c>
      <c r="P30" s="2272"/>
      <c r="Q30" s="2262"/>
      <c r="R30" s="2262"/>
      <c r="S30" s="2262"/>
      <c r="T30" s="2262"/>
      <c r="U30" s="2262"/>
      <c r="V30" s="2262"/>
    </row>
    <row r="31" spans="1:22" ht="15.6">
      <c r="A31" s="2182" t="s">
        <v>22</v>
      </c>
      <c r="B31" s="1836" t="s">
        <v>2133</v>
      </c>
      <c r="C31" s="2101">
        <v>20.672599999999999</v>
      </c>
      <c r="D31" s="1837">
        <f t="shared" si="2"/>
        <v>0</v>
      </c>
      <c r="E31" s="1837">
        <f t="shared" si="8"/>
        <v>0</v>
      </c>
      <c r="F31" s="2265">
        <f t="shared" si="4"/>
        <v>0</v>
      </c>
      <c r="G31" s="2101">
        <v>20.672599999999999</v>
      </c>
      <c r="H31" s="2269">
        <f t="shared" si="9"/>
        <v>0</v>
      </c>
      <c r="I31" s="2216">
        <f t="shared" si="6"/>
        <v>0</v>
      </c>
      <c r="J31" s="2277">
        <f>IFERROR(($G$81/($F$25+SUM($F$27:F31,G32:$G$33,$G$38:$G$48))-$G$81/($F$25+SUM($F$27:F30,G31,G32:$G$33,$G$38:$G$48)))/$H$4,0)</f>
        <v>0</v>
      </c>
      <c r="K31" s="2101">
        <v>19.553518912299999</v>
      </c>
      <c r="L31" s="2101">
        <v>19.553518912299999</v>
      </c>
      <c r="M31" s="2101">
        <v>19.553518912299999</v>
      </c>
      <c r="N31" s="2101">
        <v>19.553518912299999</v>
      </c>
      <c r="O31" s="2101">
        <v>21.6323070959</v>
      </c>
      <c r="P31" s="2272"/>
      <c r="Q31" s="2262"/>
      <c r="R31" s="2262"/>
      <c r="S31" s="2262"/>
      <c r="T31" s="2262"/>
      <c r="U31" s="2262"/>
      <c r="V31" s="2262"/>
    </row>
    <row r="32" spans="1:22" ht="15.6">
      <c r="A32" s="2182" t="s">
        <v>26</v>
      </c>
      <c r="B32" s="1836" t="s">
        <v>2134</v>
      </c>
      <c r="C32" s="2101">
        <v>0</v>
      </c>
      <c r="D32" s="1837">
        <f t="shared" si="2"/>
        <v>0</v>
      </c>
      <c r="E32" s="1837">
        <f t="shared" si="8"/>
        <v>0</v>
      </c>
      <c r="F32" s="2265">
        <f t="shared" si="4"/>
        <v>0</v>
      </c>
      <c r="G32" s="2101">
        <v>0</v>
      </c>
      <c r="H32" s="2269">
        <f t="shared" si="9"/>
        <v>0</v>
      </c>
      <c r="I32" s="2216">
        <f t="shared" si="6"/>
        <v>0</v>
      </c>
      <c r="J32" s="2277">
        <f>IFERROR(($G$81/($F$25+SUM($F$27:F32,G33:$G$33,$G$38:$G$48))-$G$81/($F$25+SUM($F$27:F31,G32,G33:$G$33,$G$38:$G$48)))/$H$4,0)</f>
        <v>0</v>
      </c>
      <c r="K32" s="2101">
        <v>0</v>
      </c>
      <c r="L32" s="2101">
        <v>0</v>
      </c>
      <c r="M32" s="2101">
        <v>0</v>
      </c>
      <c r="N32" s="2101">
        <v>0</v>
      </c>
      <c r="O32" s="2101">
        <v>0</v>
      </c>
      <c r="P32" s="2272"/>
      <c r="Q32" s="2262"/>
      <c r="R32" s="2262"/>
      <c r="S32" s="2262"/>
      <c r="T32" s="2262"/>
      <c r="U32" s="2262"/>
      <c r="V32" s="2262"/>
    </row>
    <row r="33" spans="1:22" ht="15.6">
      <c r="A33" s="2182" t="s">
        <v>24</v>
      </c>
      <c r="B33" s="1836" t="s">
        <v>2135</v>
      </c>
      <c r="C33" s="2101">
        <v>0.73050000000000004</v>
      </c>
      <c r="D33" s="1837">
        <f t="shared" si="2"/>
        <v>0</v>
      </c>
      <c r="E33" s="1837">
        <f t="shared" si="8"/>
        <v>0</v>
      </c>
      <c r="F33" s="2265">
        <f t="shared" si="4"/>
        <v>0</v>
      </c>
      <c r="G33" s="2101">
        <v>0.73050000000000004</v>
      </c>
      <c r="H33" s="2269">
        <f t="shared" si="9"/>
        <v>0</v>
      </c>
      <c r="I33" s="2216">
        <f t="shared" si="6"/>
        <v>0</v>
      </c>
      <c r="J33" s="2277">
        <f>IFERROR(($G$81/($F$25+SUM($F$27:F33,G$33:$G34,$G$38:$G$48))-$G$81/($F$25+SUM($F$27:F32,G33,G$33:$G34,$G$38:$G$48)))/$H$4,0)</f>
        <v>0</v>
      </c>
      <c r="K33" s="2101">
        <v>0.80789961840000002</v>
      </c>
      <c r="L33" s="2101">
        <v>0.8008923362</v>
      </c>
      <c r="M33" s="2101">
        <v>0.7938850542</v>
      </c>
      <c r="N33" s="2101">
        <v>0.78687777180000007</v>
      </c>
      <c r="O33" s="2101">
        <v>0.77987048969999995</v>
      </c>
      <c r="P33" s="2272"/>
      <c r="Q33" s="2262"/>
      <c r="R33" s="2262"/>
      <c r="S33" s="2262"/>
      <c r="T33" s="2262"/>
      <c r="U33" s="2262"/>
      <c r="V33" s="2262"/>
    </row>
    <row r="34" spans="1:22" ht="15.6">
      <c r="A34" s="2182" t="s">
        <v>133</v>
      </c>
      <c r="B34" s="1836" t="s">
        <v>2136</v>
      </c>
      <c r="C34" s="2101">
        <v>3168.0302999999999</v>
      </c>
      <c r="D34" s="1837">
        <f t="shared" si="2"/>
        <v>0</v>
      </c>
      <c r="E34" s="1837">
        <f t="shared" si="8"/>
        <v>0</v>
      </c>
      <c r="F34" s="2265">
        <f t="shared" si="4"/>
        <v>0</v>
      </c>
      <c r="G34" s="2101">
        <v>3168.0302999999999</v>
      </c>
      <c r="H34" s="2269">
        <f t="shared" si="9"/>
        <v>0</v>
      </c>
      <c r="I34" s="2216">
        <f t="shared" si="6"/>
        <v>0</v>
      </c>
      <c r="J34" s="2278">
        <f>IFERROR(J36*H34/H36,0)</f>
        <v>0</v>
      </c>
      <c r="K34" s="2101">
        <v>2996.3058346835001</v>
      </c>
      <c r="L34" s="2101">
        <v>2997.0263197378003</v>
      </c>
      <c r="M34" s="2101">
        <v>3002.4511964564999</v>
      </c>
      <c r="N34" s="2101">
        <v>3005.0350247935999</v>
      </c>
      <c r="O34" s="2101">
        <v>3009.0069562885997</v>
      </c>
      <c r="P34" s="2272"/>
      <c r="Q34" s="2262"/>
      <c r="R34" s="2262"/>
      <c r="S34" s="2262"/>
      <c r="T34" s="2262"/>
      <c r="U34" s="2262"/>
      <c r="V34" s="2262"/>
    </row>
    <row r="35" spans="1:22" ht="15.6">
      <c r="A35" s="2182" t="s">
        <v>11</v>
      </c>
      <c r="B35" s="1836" t="s">
        <v>2137</v>
      </c>
      <c r="C35" s="2101">
        <v>1733.1871000000001</v>
      </c>
      <c r="D35" s="1837">
        <f t="shared" si="2"/>
        <v>0</v>
      </c>
      <c r="E35" s="1837">
        <f t="shared" si="8"/>
        <v>0</v>
      </c>
      <c r="F35" s="2265">
        <f t="shared" si="4"/>
        <v>0</v>
      </c>
      <c r="G35" s="2101">
        <v>1733.1871000000001</v>
      </c>
      <c r="H35" s="2269">
        <f t="shared" si="9"/>
        <v>0</v>
      </c>
      <c r="I35" s="2216">
        <f t="shared" si="6"/>
        <v>0</v>
      </c>
      <c r="J35" s="2278">
        <f>IFERROR(J36*H35/H36,0)</f>
        <v>0</v>
      </c>
      <c r="K35" s="2101">
        <v>1620.6899047571999</v>
      </c>
      <c r="L35" s="2101">
        <v>1633.8237450976999</v>
      </c>
      <c r="M35" s="2101">
        <v>1646.7981341567001</v>
      </c>
      <c r="N35" s="2101">
        <v>1659.6695470804998</v>
      </c>
      <c r="O35" s="2101">
        <v>1672.0712166967999</v>
      </c>
      <c r="P35" s="2272"/>
      <c r="Q35" s="2262"/>
      <c r="R35" s="2262"/>
      <c r="S35" s="2262"/>
      <c r="T35" s="2262"/>
      <c r="U35" s="2262"/>
      <c r="V35" s="2262"/>
    </row>
    <row r="36" spans="1:22" ht="15.6">
      <c r="A36" s="2182" t="s">
        <v>2320</v>
      </c>
      <c r="B36" s="1836" t="s">
        <v>2138</v>
      </c>
      <c r="C36" s="2101">
        <v>1434.8432</v>
      </c>
      <c r="D36" s="1837">
        <f t="shared" si="2"/>
        <v>0</v>
      </c>
      <c r="E36" s="1837">
        <f t="shared" si="8"/>
        <v>0</v>
      </c>
      <c r="F36" s="2265">
        <f t="shared" si="4"/>
        <v>0</v>
      </c>
      <c r="G36" s="2101">
        <v>1434.8432</v>
      </c>
      <c r="H36" s="2269">
        <f t="shared" si="9"/>
        <v>0</v>
      </c>
      <c r="I36" s="2216">
        <f t="shared" si="6"/>
        <v>0</v>
      </c>
      <c r="J36" s="2278">
        <f>IFERROR(J38*H36/H38,0)</f>
        <v>0</v>
      </c>
      <c r="K36" s="2101">
        <v>1375.6159299262999</v>
      </c>
      <c r="L36" s="2101">
        <v>1363.2025746400998</v>
      </c>
      <c r="M36" s="2101">
        <v>1355.6530622998</v>
      </c>
      <c r="N36" s="2101">
        <v>1345.3654777131001</v>
      </c>
      <c r="O36" s="2101">
        <v>1336.9357395918</v>
      </c>
      <c r="P36" s="2272"/>
      <c r="Q36" s="2262"/>
      <c r="R36" s="2262"/>
      <c r="S36" s="2262"/>
      <c r="T36" s="2262"/>
      <c r="U36" s="2262"/>
      <c r="V36" s="2262"/>
    </row>
    <row r="37" spans="1:22" ht="15.6">
      <c r="A37" s="2192" t="s">
        <v>12</v>
      </c>
      <c r="B37" s="1836" t="s">
        <v>2139</v>
      </c>
      <c r="C37" s="2101">
        <v>0.1313</v>
      </c>
      <c r="D37" s="1837">
        <f t="shared" si="2"/>
        <v>0</v>
      </c>
      <c r="E37" s="1837">
        <f t="shared" si="8"/>
        <v>0</v>
      </c>
      <c r="F37" s="2265">
        <f t="shared" si="4"/>
        <v>0</v>
      </c>
      <c r="G37" s="2101">
        <v>0.1313</v>
      </c>
      <c r="H37" s="2269">
        <f t="shared" si="9"/>
        <v>0</v>
      </c>
      <c r="I37" s="2216">
        <f t="shared" si="6"/>
        <v>0</v>
      </c>
      <c r="J37" s="2278">
        <f>IFERROR(J38*H37/H38,0)</f>
        <v>0</v>
      </c>
      <c r="K37" s="2101">
        <v>0.13129785250000001</v>
      </c>
      <c r="L37" s="2101">
        <v>0.13129785250000001</v>
      </c>
      <c r="M37" s="2101">
        <v>0.13129785250000001</v>
      </c>
      <c r="N37" s="2101">
        <v>0.13129785250000001</v>
      </c>
      <c r="O37" s="2101">
        <v>0.13129785250000001</v>
      </c>
      <c r="P37" s="2272"/>
      <c r="Q37" s="2262"/>
      <c r="R37" s="2262"/>
      <c r="S37" s="2262"/>
      <c r="T37" s="2262"/>
      <c r="U37" s="2262"/>
      <c r="V37" s="2262"/>
    </row>
    <row r="38" spans="1:22" ht="15.6">
      <c r="A38" s="2182" t="s">
        <v>13</v>
      </c>
      <c r="B38" s="1836" t="s">
        <v>2140</v>
      </c>
      <c r="C38" s="2101">
        <v>1434.7119</v>
      </c>
      <c r="D38" s="1837">
        <f t="shared" si="2"/>
        <v>0</v>
      </c>
      <c r="E38" s="1837">
        <f t="shared" si="8"/>
        <v>0</v>
      </c>
      <c r="F38" s="2265">
        <f t="shared" si="4"/>
        <v>0</v>
      </c>
      <c r="G38" s="2101">
        <v>1434.7119</v>
      </c>
      <c r="H38" s="2269">
        <f t="shared" si="9"/>
        <v>0</v>
      </c>
      <c r="I38" s="2216">
        <f t="shared" si="6"/>
        <v>0</v>
      </c>
      <c r="J38" s="2277">
        <f>IFERROR(($G$81/($F$25+SUM($F$27:$F$33,F38,G39:$G$48))-$G$81/($F$25+SUM($F$27:$F$33,G38:$G$48)))/$H$4,0)</f>
        <v>0</v>
      </c>
      <c r="K38" s="2101">
        <v>1375.4846320738002</v>
      </c>
      <c r="L38" s="2101">
        <v>1363.0712767876</v>
      </c>
      <c r="M38" s="2101">
        <v>1355.5217644473</v>
      </c>
      <c r="N38" s="2101">
        <v>1345.2341798605999</v>
      </c>
      <c r="O38" s="2101">
        <v>1336.8044417392998</v>
      </c>
      <c r="P38" s="2272"/>
      <c r="Q38" s="2262"/>
      <c r="R38" s="2262"/>
      <c r="S38" s="2262"/>
      <c r="T38" s="2262"/>
      <c r="U38" s="2262"/>
      <c r="V38" s="2262"/>
    </row>
    <row r="39" spans="1:22" ht="15.6">
      <c r="A39" s="2182" t="s">
        <v>1947</v>
      </c>
      <c r="B39" s="1836" t="s">
        <v>2141</v>
      </c>
      <c r="C39" s="2101">
        <v>249.22283999999999</v>
      </c>
      <c r="D39" s="1837">
        <f t="shared" si="2"/>
        <v>0</v>
      </c>
      <c r="E39" s="1837">
        <f t="shared" si="8"/>
        <v>0</v>
      </c>
      <c r="F39" s="2265">
        <f t="shared" si="4"/>
        <v>0</v>
      </c>
      <c r="G39" s="2101">
        <v>249.22283999999999</v>
      </c>
      <c r="H39" s="2269">
        <f t="shared" si="9"/>
        <v>0</v>
      </c>
      <c r="I39" s="2216">
        <f t="shared" si="6"/>
        <v>0</v>
      </c>
      <c r="J39" s="2277">
        <f>IFERROR(($G$81/($F$25+SUM($F$27:$F$33,SUM($F$38:F39),G40:$G$48))-$G$81/($F$25+SUM($F$27:$F$33,SUM($F$38:F38),G39:$G$48)))/$H$4,0)</f>
        <v>0</v>
      </c>
      <c r="K39" s="2101">
        <v>227.40244645549998</v>
      </c>
      <c r="L39" s="2101">
        <v>227.55944283900001</v>
      </c>
      <c r="M39" s="2101">
        <v>229.6939886099</v>
      </c>
      <c r="N39" s="2101">
        <v>232.7579912203</v>
      </c>
      <c r="O39" s="2101">
        <v>236.26574453240002</v>
      </c>
      <c r="P39" s="2272"/>
      <c r="Q39" s="2262"/>
      <c r="R39" s="2262"/>
      <c r="S39" s="2262"/>
      <c r="T39" s="2262"/>
      <c r="U39" s="2262"/>
      <c r="V39" s="2262"/>
    </row>
    <row r="40" spans="1:22" ht="15.6">
      <c r="A40" s="2182" t="s">
        <v>1948</v>
      </c>
      <c r="B40" s="1836" t="s">
        <v>2142</v>
      </c>
      <c r="C40" s="2101">
        <v>0.05</v>
      </c>
      <c r="D40" s="1837">
        <f t="shared" si="2"/>
        <v>0</v>
      </c>
      <c r="E40" s="1837">
        <f t="shared" si="8"/>
        <v>0</v>
      </c>
      <c r="F40" s="2265">
        <f t="shared" si="4"/>
        <v>0</v>
      </c>
      <c r="G40" s="2101">
        <v>0.05</v>
      </c>
      <c r="H40" s="2269">
        <f t="shared" si="9"/>
        <v>0</v>
      </c>
      <c r="I40" s="2216">
        <f t="shared" si="6"/>
        <v>0</v>
      </c>
      <c r="J40" s="2277">
        <f>IFERROR(($G$81/($F$25+SUM($F$27:$F$33,SUM($F$38:F40),G41:$G$48))-$G$81/($F$25+SUM($F$27:$F$33,SUM($F$38:F39),G40:$G$48)))/$H$4,0)</f>
        <v>0</v>
      </c>
      <c r="K40" s="2101">
        <v>2.0256651800000001E-2</v>
      </c>
      <c r="L40" s="2101">
        <v>1.9912573700000002E-2</v>
      </c>
      <c r="M40" s="2101">
        <v>2.0738623000000001E-2</v>
      </c>
      <c r="N40" s="2101">
        <v>2.1075165199999999E-2</v>
      </c>
      <c r="O40" s="2101">
        <v>2.6235622200000003E-2</v>
      </c>
      <c r="P40" s="2272"/>
      <c r="Q40" s="2262"/>
      <c r="R40" s="2262"/>
      <c r="S40" s="2262"/>
      <c r="T40" s="2262"/>
      <c r="U40" s="2262"/>
      <c r="V40" s="2262"/>
    </row>
    <row r="41" spans="1:22" ht="15.6">
      <c r="A41" s="2182" t="s">
        <v>92</v>
      </c>
      <c r="B41" s="1836" t="s">
        <v>2143</v>
      </c>
      <c r="C41" s="2101">
        <v>0</v>
      </c>
      <c r="D41" s="1837">
        <f t="shared" si="2"/>
        <v>0</v>
      </c>
      <c r="E41" s="1837">
        <f t="shared" si="8"/>
        <v>0</v>
      </c>
      <c r="F41" s="2265">
        <f t="shared" si="4"/>
        <v>0</v>
      </c>
      <c r="G41" s="2101">
        <v>0</v>
      </c>
      <c r="H41" s="2269">
        <f t="shared" si="9"/>
        <v>0</v>
      </c>
      <c r="I41" s="2216">
        <f t="shared" si="6"/>
        <v>0</v>
      </c>
      <c r="J41" s="2277">
        <f>IFERROR(($G$81/($F$25+SUM($F$27:$F$33,SUM($F$38:F41),G42:$G$48))-$G$81/($F$25+SUM($F$27:$F$33,SUM($F$38:F40),G41:$G$48)))/$H$4,0)</f>
        <v>0</v>
      </c>
      <c r="K41" s="2101">
        <v>-0.10449309679999999</v>
      </c>
      <c r="L41" s="2101">
        <v>-0.11529891740000001</v>
      </c>
      <c r="M41" s="2101">
        <v>-0.1241306024</v>
      </c>
      <c r="N41" s="2101">
        <v>-0.13551273920000001</v>
      </c>
      <c r="O41" s="2101">
        <v>-0.1910032026</v>
      </c>
      <c r="P41" s="2272"/>
      <c r="Q41" s="2262"/>
      <c r="R41" s="2262"/>
      <c r="S41" s="2262"/>
      <c r="T41" s="2262"/>
      <c r="U41" s="2262"/>
      <c r="V41" s="2262"/>
    </row>
    <row r="42" spans="1:22" ht="15.6">
      <c r="A42" s="2182" t="s">
        <v>74</v>
      </c>
      <c r="B42" s="1836" t="s">
        <v>2144</v>
      </c>
      <c r="C42" s="2101">
        <v>0</v>
      </c>
      <c r="D42" s="1837">
        <f t="shared" si="2"/>
        <v>0</v>
      </c>
      <c r="E42" s="1837">
        <f t="shared" si="8"/>
        <v>0</v>
      </c>
      <c r="F42" s="2265">
        <f t="shared" si="4"/>
        <v>0</v>
      </c>
      <c r="G42" s="2101">
        <v>0</v>
      </c>
      <c r="H42" s="2269">
        <f t="shared" si="9"/>
        <v>0</v>
      </c>
      <c r="I42" s="2216">
        <f t="shared" si="6"/>
        <v>0</v>
      </c>
      <c r="J42" s="2277">
        <f>IFERROR(($G$81/($F$25+SUM($F$27:$F$33,SUM($F$38:F42),G43:$G$48))-$G$81/($F$25+SUM($F$27:$F$33,SUM($F$38:F41),G42:$G$48)))/$H$4,0)</f>
        <v>0</v>
      </c>
      <c r="K42" s="2101">
        <v>0</v>
      </c>
      <c r="L42" s="2101">
        <v>0</v>
      </c>
      <c r="M42" s="2101">
        <v>0</v>
      </c>
      <c r="N42" s="2101">
        <v>0</v>
      </c>
      <c r="O42" s="2101">
        <v>0</v>
      </c>
      <c r="P42" s="2272"/>
      <c r="Q42" s="2262"/>
      <c r="R42" s="2262"/>
      <c r="S42" s="2262"/>
      <c r="T42" s="2262"/>
      <c r="U42" s="2262"/>
      <c r="V42" s="2262"/>
    </row>
    <row r="43" spans="1:22" ht="15.6">
      <c r="A43" s="2182" t="s">
        <v>316</v>
      </c>
      <c r="B43" s="1841" t="s">
        <v>2145</v>
      </c>
      <c r="C43" s="2101">
        <v>2.4525999999999999</v>
      </c>
      <c r="D43" s="1837">
        <f t="shared" si="2"/>
        <v>0</v>
      </c>
      <c r="E43" s="1837">
        <f t="shared" si="8"/>
        <v>0</v>
      </c>
      <c r="F43" s="2265">
        <f t="shared" si="4"/>
        <v>0</v>
      </c>
      <c r="G43" s="2101">
        <v>2.4525999999999999</v>
      </c>
      <c r="H43" s="2269">
        <f t="shared" si="9"/>
        <v>0</v>
      </c>
      <c r="I43" s="2216">
        <f t="shared" si="6"/>
        <v>0</v>
      </c>
      <c r="J43" s="2277">
        <f>IFERROR(($G$81/($F$25+SUM($F$27:$F$33,SUM($F$38:F43),G44:$G$48))-$G$81/($F$25+SUM($F$27:$F$33,SUM($F$38:F42),G43:$G$48)))/$H$4,0)</f>
        <v>0</v>
      </c>
      <c r="K43" s="2101">
        <v>2.8257223150000002</v>
      </c>
      <c r="L43" s="2101">
        <v>2.7661185272000002</v>
      </c>
      <c r="M43" s="2101">
        <v>2.8792404297000003</v>
      </c>
      <c r="N43" s="2101">
        <v>2.8182592008</v>
      </c>
      <c r="O43" s="2101">
        <v>2.7558855417000001</v>
      </c>
      <c r="P43" s="2272"/>
      <c r="Q43" s="2262"/>
      <c r="R43" s="2262"/>
      <c r="S43" s="2262"/>
      <c r="T43" s="2262"/>
      <c r="U43" s="2262"/>
      <c r="V43" s="2262"/>
    </row>
    <row r="44" spans="1:22" ht="15.6">
      <c r="B44" s="1841" t="s">
        <v>2146</v>
      </c>
      <c r="C44" s="2101">
        <v>0</v>
      </c>
      <c r="D44" s="1837">
        <f t="shared" si="2"/>
        <v>0</v>
      </c>
      <c r="E44" s="1837">
        <f t="shared" si="8"/>
        <v>0</v>
      </c>
      <c r="F44" s="2265">
        <f t="shared" si="4"/>
        <v>0</v>
      </c>
      <c r="G44" s="2101">
        <v>0</v>
      </c>
      <c r="H44" s="2269">
        <f t="shared" si="9"/>
        <v>0</v>
      </c>
      <c r="I44" s="2216">
        <f t="shared" si="6"/>
        <v>0</v>
      </c>
      <c r="J44" s="2277">
        <f>IFERROR(($G$81/($F$25+SUM($F$27:$F$33,SUM($F$38:F44),G45:$G$48))-$G$81/($F$25+SUM($F$27:$F$33,SUM($F$38:F43),G44:$G$48)))/$H$4,0)</f>
        <v>0</v>
      </c>
      <c r="K44" s="2101">
        <v>2.7961165000000001E-3</v>
      </c>
      <c r="L44" s="2101">
        <v>2.7961165000000001E-3</v>
      </c>
      <c r="M44" s="2101">
        <v>2.7961165000000001E-3</v>
      </c>
      <c r="N44" s="2101">
        <v>2.7961165000000001E-3</v>
      </c>
      <c r="O44" s="2101">
        <v>2.7961165000000001E-3</v>
      </c>
      <c r="P44" s="2272"/>
      <c r="Q44" s="2262"/>
      <c r="R44" s="2262"/>
      <c r="S44" s="2262"/>
      <c r="T44" s="2262"/>
      <c r="U44" s="2262"/>
      <c r="V44" s="2262"/>
    </row>
    <row r="45" spans="1:22" ht="15.6">
      <c r="B45" s="1841" t="s">
        <v>2147</v>
      </c>
      <c r="C45" s="2101">
        <v>0</v>
      </c>
      <c r="D45" s="1837">
        <f t="shared" si="2"/>
        <v>0</v>
      </c>
      <c r="E45" s="1837">
        <f t="shared" si="8"/>
        <v>0</v>
      </c>
      <c r="F45" s="2265">
        <f t="shared" si="4"/>
        <v>0</v>
      </c>
      <c r="G45" s="2101">
        <v>0</v>
      </c>
      <c r="H45" s="2269">
        <f t="shared" si="9"/>
        <v>0</v>
      </c>
      <c r="I45" s="2216">
        <f t="shared" si="6"/>
        <v>0</v>
      </c>
      <c r="J45" s="2277">
        <f>IFERROR(($G$81/($F$25+SUM($F$27:$F$33,SUM($F$38:F45),G46:$G$48))-$G$81/($F$25+SUM($F$27:$F$33,SUM($F$38:F44),G45:$G$48)))/$H$4,0)</f>
        <v>0</v>
      </c>
      <c r="K45" s="2101">
        <v>0</v>
      </c>
      <c r="L45" s="2101">
        <v>0</v>
      </c>
      <c r="M45" s="2101">
        <v>0</v>
      </c>
      <c r="N45" s="2101">
        <v>0</v>
      </c>
      <c r="O45" s="2101">
        <v>0</v>
      </c>
      <c r="P45" s="2272"/>
      <c r="Q45" s="2262"/>
      <c r="R45" s="2262"/>
      <c r="S45" s="2262"/>
      <c r="T45" s="2262"/>
      <c r="U45" s="2262"/>
      <c r="V45" s="2262"/>
    </row>
    <row r="46" spans="1:22" ht="15.6">
      <c r="B46" s="1841" t="s">
        <v>2148</v>
      </c>
      <c r="C46" s="2101">
        <v>0</v>
      </c>
      <c r="D46" s="1837">
        <f t="shared" si="2"/>
        <v>0</v>
      </c>
      <c r="E46" s="1837">
        <f t="shared" si="8"/>
        <v>0</v>
      </c>
      <c r="F46" s="2265">
        <f t="shared" si="4"/>
        <v>0</v>
      </c>
      <c r="G46" s="2101">
        <v>0</v>
      </c>
      <c r="H46" s="2269">
        <f t="shared" si="9"/>
        <v>0</v>
      </c>
      <c r="I46" s="2216">
        <f t="shared" si="6"/>
        <v>0</v>
      </c>
      <c r="J46" s="2277">
        <f>IFERROR(($G$81/($F$25+SUM($F$27:$F$33,SUM($F$38:F46),G47:$G$48))-$G$81/($F$25+SUM($F$27:$F$33,SUM($F$38:F45),G46:$G$48)))/$H$4,0)</f>
        <v>0</v>
      </c>
      <c r="K46" s="2101">
        <v>0.13204534210000002</v>
      </c>
      <c r="L46" s="2101">
        <v>0.1295449487</v>
      </c>
      <c r="M46" s="2101">
        <v>0.12704455599999998</v>
      </c>
      <c r="N46" s="2101">
        <v>0.1245441632</v>
      </c>
      <c r="O46" s="2101">
        <v>0.1220437702</v>
      </c>
      <c r="P46" s="2272"/>
      <c r="Q46" s="2262"/>
      <c r="R46" s="2262"/>
      <c r="S46" s="2262"/>
      <c r="T46" s="2262"/>
      <c r="U46" s="2262"/>
      <c r="V46" s="2262"/>
    </row>
    <row r="47" spans="1:22" ht="15.6">
      <c r="B47" s="1841" t="s">
        <v>2149</v>
      </c>
      <c r="C47" s="2101">
        <v>4.5547000000000004</v>
      </c>
      <c r="D47" s="1837">
        <f t="shared" si="2"/>
        <v>0</v>
      </c>
      <c r="E47" s="1837">
        <f t="shared" si="8"/>
        <v>0</v>
      </c>
      <c r="F47" s="2265">
        <f t="shared" si="4"/>
        <v>0</v>
      </c>
      <c r="G47" s="2101">
        <v>4.5547000000000004</v>
      </c>
      <c r="H47" s="2269">
        <f t="shared" si="9"/>
        <v>0</v>
      </c>
      <c r="I47" s="2216">
        <f t="shared" si="6"/>
        <v>0</v>
      </c>
      <c r="J47" s="2277">
        <f>IFERROR(($G$81/($F$25+SUM($F$27:$F$33,SUM($F$38:F47),G48:$G$48))-$G$81/($F$25+SUM($F$27:$F$33,SUM($F$38:F46),G47:$G$48)))/$H$4,0)</f>
        <v>0</v>
      </c>
      <c r="K47" s="2101">
        <v>4.6711000598999997</v>
      </c>
      <c r="L47" s="2101">
        <v>4.6711000598999997</v>
      </c>
      <c r="M47" s="2101">
        <v>4.6711000598999997</v>
      </c>
      <c r="N47" s="2101">
        <v>4.6711000598999997</v>
      </c>
      <c r="O47" s="2101">
        <v>4.6711000598999997</v>
      </c>
      <c r="P47" s="2272"/>
      <c r="Q47" s="2262"/>
      <c r="R47" s="2262"/>
      <c r="S47" s="2262"/>
      <c r="T47" s="2262"/>
      <c r="U47" s="2262"/>
      <c r="V47" s="2262"/>
    </row>
    <row r="48" spans="1:22" ht="15.6">
      <c r="B48" s="1841" t="s">
        <v>2150</v>
      </c>
      <c r="C48" s="2101">
        <v>0</v>
      </c>
      <c r="D48" s="1837">
        <f t="shared" si="2"/>
        <v>0</v>
      </c>
      <c r="E48" s="1837">
        <f t="shared" si="8"/>
        <v>0</v>
      </c>
      <c r="F48" s="2265">
        <f t="shared" si="4"/>
        <v>0</v>
      </c>
      <c r="G48" s="2101">
        <v>0</v>
      </c>
      <c r="H48" s="2269">
        <f t="shared" si="9"/>
        <v>0</v>
      </c>
      <c r="I48" s="2216">
        <f t="shared" si="6"/>
        <v>0</v>
      </c>
      <c r="J48" s="2277">
        <f>IFERROR(($G$81/($F$25+SUM($F$27:$F$33,SUM($F$38:F48)))-$G$81/($F$25+SUM($F$27:$F$33,SUM($F$38:F47),$G$48)))/$H$4,0)</f>
        <v>0</v>
      </c>
      <c r="K48" s="2101">
        <v>0</v>
      </c>
      <c r="L48" s="2101">
        <v>0</v>
      </c>
      <c r="M48" s="2101">
        <v>0</v>
      </c>
      <c r="N48" s="2101">
        <v>0</v>
      </c>
      <c r="O48" s="2101">
        <v>0</v>
      </c>
      <c r="P48" s="2272"/>
      <c r="Q48" s="2262"/>
      <c r="R48" s="2262"/>
      <c r="S48" s="2262"/>
      <c r="T48" s="2262"/>
      <c r="U48" s="2262"/>
      <c r="V48" s="2262"/>
    </row>
    <row r="49" spans="1:22" s="2192" customFormat="1" ht="15.6">
      <c r="A49" s="2182"/>
      <c r="B49" s="1902" t="s">
        <v>74</v>
      </c>
      <c r="C49" s="2191">
        <v>1721.4421399999999</v>
      </c>
      <c r="D49" s="2304">
        <f t="shared" si="2"/>
        <v>0</v>
      </c>
      <c r="E49" s="2191">
        <f t="shared" ref="E49:E68" si="10">D49/C49</f>
        <v>0</v>
      </c>
      <c r="F49" s="2217">
        <f t="shared" si="4"/>
        <v>0</v>
      </c>
      <c r="G49" s="2191">
        <v>1721.4421399999999</v>
      </c>
      <c r="H49" s="2240">
        <f t="shared" si="9"/>
        <v>0</v>
      </c>
      <c r="I49" s="2210">
        <f t="shared" si="6"/>
        <v>0</v>
      </c>
      <c r="J49" s="2268">
        <f>IFERROR(($G$81/($F$25+$F$49)-$G$81/($F$25+$G$49))/$H$4,0)</f>
        <v>0</v>
      </c>
      <c r="K49" s="2191">
        <v>1639.8176984457002</v>
      </c>
      <c r="L49" s="2191">
        <v>1627.4810781809001</v>
      </c>
      <c r="M49" s="2191">
        <v>1622.1617202036</v>
      </c>
      <c r="N49" s="2191">
        <v>1614.8566037285998</v>
      </c>
      <c r="O49" s="2191">
        <v>1612.0321957623999</v>
      </c>
      <c r="P49" s="2275"/>
      <c r="Q49" s="2191"/>
      <c r="R49" s="2191"/>
      <c r="S49" s="2191"/>
      <c r="T49" s="2191"/>
      <c r="U49" s="2191"/>
      <c r="V49" s="2191"/>
    </row>
    <row r="50" spans="1:22" s="2192" customFormat="1" ht="15.6">
      <c r="A50" s="2182" t="s">
        <v>2356</v>
      </c>
      <c r="B50" s="1902" t="s">
        <v>2151</v>
      </c>
      <c r="C50" s="2191">
        <v>1920.4947</v>
      </c>
      <c r="D50" s="2304">
        <f t="shared" si="2"/>
        <v>0</v>
      </c>
      <c r="E50" s="2191">
        <f t="shared" si="10"/>
        <v>0</v>
      </c>
      <c r="F50" s="2217">
        <f t="shared" si="4"/>
        <v>0</v>
      </c>
      <c r="G50" s="2191">
        <v>1920.4947</v>
      </c>
      <c r="H50" s="2240">
        <f t="shared" si="9"/>
        <v>0</v>
      </c>
      <c r="I50" s="2210">
        <f t="shared" si="6"/>
        <v>0</v>
      </c>
      <c r="J50" s="2268">
        <f>IFERROR(($G$81/$F$50-$G$81/$G$50)/$H$4,0)</f>
        <v>0</v>
      </c>
      <c r="K50" s="2191">
        <v>1896.0785280567002</v>
      </c>
      <c r="L50" s="2191">
        <v>1883.1698421413</v>
      </c>
      <c r="M50" s="2191">
        <v>1888.5350573608998</v>
      </c>
      <c r="N50" s="2191">
        <v>1880.4806472861999</v>
      </c>
      <c r="O50" s="2191">
        <v>1890.9092608475</v>
      </c>
      <c r="P50" s="2275"/>
      <c r="Q50" s="2191"/>
      <c r="R50" s="2191"/>
      <c r="S50" s="2191"/>
      <c r="T50" s="2191"/>
      <c r="U50" s="2191"/>
      <c r="V50" s="2191"/>
    </row>
    <row r="51" spans="1:22" ht="15.6">
      <c r="A51" s="2182" t="s">
        <v>2357</v>
      </c>
      <c r="B51" s="1842" t="s">
        <v>75</v>
      </c>
      <c r="C51" s="1837">
        <v>0</v>
      </c>
      <c r="D51" s="1837">
        <f t="shared" si="2"/>
        <v>0</v>
      </c>
      <c r="E51" s="1837"/>
      <c r="F51" s="2267"/>
      <c r="G51" s="1837">
        <v>0</v>
      </c>
      <c r="H51" s="2267"/>
      <c r="I51" s="2267"/>
      <c r="J51" s="2267"/>
      <c r="K51" s="1837">
        <v>0</v>
      </c>
      <c r="L51" s="1837">
        <v>0</v>
      </c>
      <c r="M51" s="1837">
        <v>0</v>
      </c>
      <c r="N51" s="1837">
        <v>0</v>
      </c>
      <c r="O51" s="1837">
        <v>0</v>
      </c>
      <c r="P51" s="2274">
        <v>0</v>
      </c>
      <c r="Q51" s="2190"/>
      <c r="R51" s="2190"/>
      <c r="S51" s="2190"/>
      <c r="T51" s="2190"/>
      <c r="U51" s="2190"/>
      <c r="V51" s="2190"/>
    </row>
    <row r="52" spans="1:22" ht="15.6">
      <c r="A52" s="2182" t="s">
        <v>14</v>
      </c>
      <c r="B52" s="1843" t="s">
        <v>2152</v>
      </c>
      <c r="C52" s="2101">
        <v>0</v>
      </c>
      <c r="D52" s="1837">
        <f t="shared" si="2"/>
        <v>0</v>
      </c>
      <c r="E52" s="1837">
        <f t="shared" ref="E52:E67" si="11">IFERROR(D52/C52,0)</f>
        <v>0</v>
      </c>
      <c r="F52" s="2265">
        <f t="shared" si="4"/>
        <v>0</v>
      </c>
      <c r="G52" s="2101">
        <v>0</v>
      </c>
      <c r="H52" s="2269">
        <f t="shared" si="9"/>
        <v>0</v>
      </c>
      <c r="I52" s="2216">
        <f t="shared" si="6"/>
        <v>0</v>
      </c>
      <c r="J52" s="2277">
        <f>IFERROR(((SUM(F52,G53:$G$67)+$G$80)/$F$50-(SUM(G52:$G$67)+$G$80)/$F$50)/$H$4,0)</f>
        <v>0</v>
      </c>
      <c r="K52" s="2101">
        <v>0</v>
      </c>
      <c r="L52" s="2101">
        <v>0</v>
      </c>
      <c r="M52" s="2101">
        <v>0</v>
      </c>
      <c r="N52" s="2101">
        <v>0</v>
      </c>
      <c r="O52" s="2101">
        <v>0</v>
      </c>
      <c r="P52" s="2272"/>
      <c r="Q52" s="2262"/>
      <c r="R52" s="2262"/>
      <c r="S52" s="2262"/>
      <c r="T52" s="2262"/>
      <c r="U52" s="2262"/>
      <c r="V52" s="2262"/>
    </row>
    <row r="53" spans="1:22" ht="18.600000000000001" customHeight="1">
      <c r="A53" s="2182" t="s">
        <v>15</v>
      </c>
      <c r="B53" s="1844" t="s">
        <v>2153</v>
      </c>
      <c r="C53" s="2101">
        <v>0</v>
      </c>
      <c r="D53" s="1837">
        <f t="shared" si="2"/>
        <v>0</v>
      </c>
      <c r="E53" s="1837">
        <f t="shared" si="11"/>
        <v>0</v>
      </c>
      <c r="F53" s="2265">
        <f t="shared" si="4"/>
        <v>0</v>
      </c>
      <c r="G53" s="2101">
        <v>0</v>
      </c>
      <c r="H53" s="2269">
        <f t="shared" si="9"/>
        <v>0</v>
      </c>
      <c r="I53" s="2216">
        <f t="shared" si="6"/>
        <v>0</v>
      </c>
      <c r="J53" s="2277">
        <f>IFERROR(((SUM($F$52:F53,G54:$G$67)+$G$80)/$F$50-(SUM($F$52:F52,G53:$G$67)+$G$80)/$F$50)/$H$4,0)</f>
        <v>0</v>
      </c>
      <c r="K53" s="2101">
        <v>0</v>
      </c>
      <c r="L53" s="2101">
        <v>0</v>
      </c>
      <c r="M53" s="2101">
        <v>0</v>
      </c>
      <c r="N53" s="2101">
        <v>0</v>
      </c>
      <c r="O53" s="2101">
        <v>0</v>
      </c>
      <c r="P53" s="2272"/>
      <c r="Q53" s="2262"/>
      <c r="R53" s="2262"/>
      <c r="S53" s="2262"/>
      <c r="T53" s="2262"/>
      <c r="U53" s="2262"/>
      <c r="V53" s="2262"/>
    </row>
    <row r="54" spans="1:22" ht="15.6">
      <c r="A54" s="2182" t="s">
        <v>317</v>
      </c>
      <c r="B54" s="1844" t="s">
        <v>2154</v>
      </c>
      <c r="C54" s="2101">
        <v>0</v>
      </c>
      <c r="D54" s="1837">
        <f t="shared" si="2"/>
        <v>0</v>
      </c>
      <c r="E54" s="1837">
        <f t="shared" si="11"/>
        <v>0</v>
      </c>
      <c r="F54" s="2265">
        <f t="shared" si="4"/>
        <v>0</v>
      </c>
      <c r="G54" s="2101">
        <v>0</v>
      </c>
      <c r="H54" s="2269">
        <f t="shared" si="9"/>
        <v>0</v>
      </c>
      <c r="I54" s="2216">
        <f t="shared" si="6"/>
        <v>0</v>
      </c>
      <c r="J54" s="2277">
        <f>IFERROR(((SUM($F$52:F54,G55:$G$67)+$G$80)/$F$50-(SUM($F$52:F53,G54:$G$67)+$G$80)/$F$50)/$H$4,0)</f>
        <v>0</v>
      </c>
      <c r="K54" s="2101">
        <v>0</v>
      </c>
      <c r="L54" s="2101">
        <v>0</v>
      </c>
      <c r="M54" s="2101">
        <v>0</v>
      </c>
      <c r="N54" s="2101">
        <v>0</v>
      </c>
      <c r="O54" s="2101">
        <v>0</v>
      </c>
      <c r="P54" s="2272"/>
      <c r="Q54" s="2262"/>
      <c r="R54" s="2262"/>
      <c r="S54" s="2262"/>
      <c r="T54" s="2262"/>
      <c r="U54" s="2262"/>
      <c r="V54" s="2262"/>
    </row>
    <row r="55" spans="1:22" ht="15.6">
      <c r="A55" s="2182" t="s">
        <v>93</v>
      </c>
      <c r="B55" s="1844" t="s">
        <v>2155</v>
      </c>
      <c r="C55" s="2101">
        <v>83.6387</v>
      </c>
      <c r="D55" s="1837">
        <f t="shared" si="2"/>
        <v>0</v>
      </c>
      <c r="E55" s="1837">
        <f t="shared" si="11"/>
        <v>0</v>
      </c>
      <c r="F55" s="2265">
        <f t="shared" si="4"/>
        <v>0</v>
      </c>
      <c r="G55" s="2101">
        <v>83.6387</v>
      </c>
      <c r="H55" s="2269">
        <f t="shared" si="9"/>
        <v>0</v>
      </c>
      <c r="I55" s="2216">
        <f t="shared" si="6"/>
        <v>0</v>
      </c>
      <c r="J55" s="2277">
        <f>IFERROR(((SUM($F$52:F55,G56:$G$67)+$G$80)/$F$50-(SUM($F$52:F54,G55:$G$67)+$G$80)/$F$50)/$H$4,0)</f>
        <v>0</v>
      </c>
      <c r="K55" s="2101">
        <v>98.495835567299991</v>
      </c>
      <c r="L55" s="2101">
        <v>78.602191962500001</v>
      </c>
      <c r="M55" s="2101">
        <v>90.195880095300012</v>
      </c>
      <c r="N55" s="2101">
        <v>81.838615953499996</v>
      </c>
      <c r="O55" s="2101">
        <v>96.3498650226</v>
      </c>
      <c r="P55" s="2272"/>
      <c r="Q55" s="2262"/>
      <c r="R55" s="2262"/>
      <c r="S55" s="2262"/>
      <c r="T55" s="2262"/>
      <c r="U55" s="2262"/>
      <c r="V55" s="2262"/>
    </row>
    <row r="56" spans="1:22" ht="15.6">
      <c r="A56" s="2182" t="s">
        <v>146</v>
      </c>
      <c r="B56" s="1844" t="s">
        <v>2156</v>
      </c>
      <c r="C56" s="2101">
        <v>56.843000000000004</v>
      </c>
      <c r="D56" s="1837">
        <f t="shared" si="2"/>
        <v>0</v>
      </c>
      <c r="E56" s="1837">
        <f t="shared" si="11"/>
        <v>0</v>
      </c>
      <c r="F56" s="2265">
        <f t="shared" si="4"/>
        <v>0</v>
      </c>
      <c r="G56" s="2101">
        <v>56.843000000000004</v>
      </c>
      <c r="H56" s="2269">
        <f t="shared" si="9"/>
        <v>0</v>
      </c>
      <c r="I56" s="2216">
        <f t="shared" si="6"/>
        <v>0</v>
      </c>
      <c r="J56" s="2277">
        <f>IFERROR(((SUM($F$52:F56,G57:$G$67)+$G$80)/$F$50-(SUM($F$52:F55,G56:$G$67)+$G$80)/$F$50)/$H$4,0)</f>
        <v>0</v>
      </c>
      <c r="K56" s="2101">
        <v>45.328346886999995</v>
      </c>
      <c r="L56" s="2101">
        <v>57.610605645699998</v>
      </c>
      <c r="M56" s="2101">
        <v>57.610054903800005</v>
      </c>
      <c r="N56" s="2101">
        <v>61.312821108199991</v>
      </c>
      <c r="O56" s="2101">
        <v>57.117702781400006</v>
      </c>
      <c r="P56" s="2272"/>
      <c r="Q56" s="2262"/>
      <c r="R56" s="2262"/>
      <c r="S56" s="2262"/>
      <c r="T56" s="2262"/>
      <c r="U56" s="2262"/>
      <c r="V56" s="2262"/>
    </row>
    <row r="57" spans="1:22" ht="15.6">
      <c r="A57" s="2182" t="s">
        <v>17</v>
      </c>
      <c r="B57" s="1844" t="s">
        <v>2157</v>
      </c>
      <c r="C57" s="2101">
        <v>0</v>
      </c>
      <c r="D57" s="1837">
        <f t="shared" si="2"/>
        <v>0</v>
      </c>
      <c r="E57" s="1837">
        <f t="shared" si="11"/>
        <v>0</v>
      </c>
      <c r="F57" s="2265">
        <f t="shared" si="4"/>
        <v>0</v>
      </c>
      <c r="G57" s="2101">
        <v>0</v>
      </c>
      <c r="H57" s="2269">
        <f t="shared" si="9"/>
        <v>0</v>
      </c>
      <c r="I57" s="2216">
        <f t="shared" si="6"/>
        <v>0</v>
      </c>
      <c r="J57" s="2277">
        <f>IFERROR(((SUM($F$52:F57,G58:$G$67)+$G$80)/$F$50-(SUM($F$52:F56,G57:$G$67)+$G$80)/$F$50)/$H$4,0)</f>
        <v>0</v>
      </c>
      <c r="K57" s="2101">
        <v>0</v>
      </c>
      <c r="L57" s="2101">
        <v>0</v>
      </c>
      <c r="M57" s="2101">
        <v>0</v>
      </c>
      <c r="N57" s="2101">
        <v>0</v>
      </c>
      <c r="O57" s="2101">
        <v>0</v>
      </c>
      <c r="P57" s="2272"/>
      <c r="Q57" s="2262"/>
      <c r="R57" s="2262"/>
      <c r="S57" s="2262"/>
      <c r="T57" s="2262"/>
      <c r="U57" s="2262"/>
      <c r="V57" s="2262"/>
    </row>
    <row r="58" spans="1:22" ht="15.6">
      <c r="A58" s="2182" t="s">
        <v>28</v>
      </c>
      <c r="B58" s="1844" t="s">
        <v>2158</v>
      </c>
      <c r="C58" s="2101">
        <v>0</v>
      </c>
      <c r="D58" s="1837">
        <f t="shared" si="2"/>
        <v>0</v>
      </c>
      <c r="E58" s="1837">
        <f t="shared" si="11"/>
        <v>0</v>
      </c>
      <c r="F58" s="2265">
        <f t="shared" si="4"/>
        <v>0</v>
      </c>
      <c r="G58" s="2101">
        <v>0</v>
      </c>
      <c r="H58" s="2269">
        <f t="shared" si="9"/>
        <v>0</v>
      </c>
      <c r="I58" s="2216">
        <f t="shared" si="6"/>
        <v>0</v>
      </c>
      <c r="J58" s="2277">
        <f>IFERROR(((SUM($F$52:F58,G59:$G$67)+$G$80)/$F$50-(SUM($F$52:F57,G58:$G$67)+$G$80)/$F$50)/$H$4,0)</f>
        <v>0</v>
      </c>
      <c r="K58" s="2101">
        <v>0</v>
      </c>
      <c r="L58" s="2101">
        <v>0</v>
      </c>
      <c r="M58" s="2101">
        <v>0</v>
      </c>
      <c r="N58" s="2101">
        <v>0</v>
      </c>
      <c r="O58" s="2101">
        <v>0</v>
      </c>
      <c r="P58" s="2272"/>
      <c r="Q58" s="2262"/>
      <c r="R58" s="2262"/>
      <c r="S58" s="2262"/>
      <c r="T58" s="2262"/>
      <c r="U58" s="2262"/>
      <c r="V58" s="2262"/>
    </row>
    <row r="59" spans="1:22" ht="15.6">
      <c r="A59" s="2182" t="s">
        <v>147</v>
      </c>
      <c r="B59" s="1843" t="s">
        <v>2159</v>
      </c>
      <c r="C59" s="2101">
        <v>1.1655</v>
      </c>
      <c r="D59" s="1837">
        <f t="shared" si="2"/>
        <v>0</v>
      </c>
      <c r="E59" s="1837">
        <f t="shared" si="11"/>
        <v>0</v>
      </c>
      <c r="F59" s="2265">
        <f t="shared" si="4"/>
        <v>0</v>
      </c>
      <c r="G59" s="2101">
        <v>1.1655</v>
      </c>
      <c r="H59" s="2269">
        <f t="shared" si="9"/>
        <v>0</v>
      </c>
      <c r="I59" s="2216">
        <f t="shared" si="6"/>
        <v>0</v>
      </c>
      <c r="J59" s="2277">
        <f>IFERROR(((SUM($F$52:F59,G60:$G$67)+$G$80)/$F$50-(SUM($F$52:F58,G59:$G$67)+$G$80)/$F$50)/$H$4,0)</f>
        <v>0</v>
      </c>
      <c r="K59" s="2101">
        <v>1.0517419612000001</v>
      </c>
      <c r="L59" s="2101">
        <v>1.1230728384999999</v>
      </c>
      <c r="M59" s="2101">
        <v>1.1779955310999999</v>
      </c>
      <c r="N59" s="2101">
        <v>1.2045954476999998</v>
      </c>
      <c r="O59" s="2101">
        <v>1.2387611724000001</v>
      </c>
      <c r="P59" s="2272"/>
      <c r="Q59" s="2262"/>
      <c r="R59" s="2262"/>
      <c r="S59" s="2262"/>
      <c r="T59" s="2262"/>
      <c r="U59" s="2262"/>
      <c r="V59" s="2262"/>
    </row>
    <row r="60" spans="1:22" ht="15.6">
      <c r="A60" s="2182" t="s">
        <v>94</v>
      </c>
      <c r="B60" s="1845" t="s">
        <v>2160</v>
      </c>
      <c r="C60" s="2101">
        <v>19.830200000000001</v>
      </c>
      <c r="D60" s="1837">
        <f t="shared" si="2"/>
        <v>0</v>
      </c>
      <c r="E60" s="1837">
        <f t="shared" si="11"/>
        <v>0</v>
      </c>
      <c r="F60" s="2265">
        <f t="shared" si="4"/>
        <v>0</v>
      </c>
      <c r="G60" s="2101">
        <v>19.830200000000001</v>
      </c>
      <c r="H60" s="2269">
        <f t="shared" si="9"/>
        <v>0</v>
      </c>
      <c r="I60" s="2216">
        <f t="shared" si="6"/>
        <v>0</v>
      </c>
      <c r="J60" s="2277">
        <f>IFERROR(((SUM($F$52:F60,G61:$G$67)+$G$80)/$F$50-(SUM($F$52:F59,G60:$G$67)+$G$80)/$F$50)/$H$4,0)</f>
        <v>0</v>
      </c>
      <c r="K60" s="2101">
        <v>26.6574596791</v>
      </c>
      <c r="L60" s="2101">
        <v>18.9190889391</v>
      </c>
      <c r="M60" s="2101">
        <v>17.0782260593</v>
      </c>
      <c r="N60" s="2101">
        <v>9.4842399860000004</v>
      </c>
      <c r="O60" s="2101">
        <v>7.2562220329999993</v>
      </c>
      <c r="P60" s="2272"/>
      <c r="Q60" s="2262"/>
      <c r="R60" s="2262"/>
      <c r="S60" s="2262"/>
      <c r="T60" s="2262"/>
      <c r="U60" s="2262"/>
      <c r="V60" s="2262"/>
    </row>
    <row r="61" spans="1:22" ht="15.6">
      <c r="A61" s="2182" t="s">
        <v>76</v>
      </c>
      <c r="B61" s="1845" t="s">
        <v>2161</v>
      </c>
      <c r="C61" s="2101">
        <v>0.05</v>
      </c>
      <c r="D61" s="1837">
        <f t="shared" si="2"/>
        <v>0</v>
      </c>
      <c r="E61" s="1837">
        <f t="shared" si="11"/>
        <v>0</v>
      </c>
      <c r="F61" s="2265">
        <f t="shared" si="4"/>
        <v>0</v>
      </c>
      <c r="G61" s="2101">
        <v>0.05</v>
      </c>
      <c r="H61" s="2269">
        <f t="shared" si="9"/>
        <v>0</v>
      </c>
      <c r="I61" s="2216">
        <f t="shared" si="6"/>
        <v>0</v>
      </c>
      <c r="J61" s="2277">
        <f>IFERROR(((SUM($F$52:F61,G62:$G$67)+$G$80)/$F$50-(SUM($F$52:F60,G61:$G$67)+$G$80)/$F$50)/$H$4,0)</f>
        <v>0</v>
      </c>
      <c r="K61" s="2101">
        <v>8.2195420300000002E-2</v>
      </c>
      <c r="L61" s="2101">
        <v>0.11142645699999998</v>
      </c>
      <c r="M61" s="2101">
        <v>0.13829589050000002</v>
      </c>
      <c r="N61" s="2101">
        <v>0.16917785800000001</v>
      </c>
      <c r="O61" s="2101">
        <v>0.20099363749999999</v>
      </c>
      <c r="P61" s="2272"/>
      <c r="Q61" s="2262"/>
      <c r="R61" s="2262"/>
      <c r="S61" s="2262"/>
      <c r="T61" s="2262"/>
      <c r="U61" s="2262"/>
      <c r="V61" s="2262"/>
    </row>
    <row r="62" spans="1:22" ht="15.6">
      <c r="B62" s="1846" t="s">
        <v>2162</v>
      </c>
      <c r="C62" s="2101">
        <v>0</v>
      </c>
      <c r="D62" s="1837">
        <f t="shared" si="2"/>
        <v>0</v>
      </c>
      <c r="E62" s="1837">
        <f t="shared" si="11"/>
        <v>0</v>
      </c>
      <c r="F62" s="2265">
        <f t="shared" si="4"/>
        <v>0</v>
      </c>
      <c r="G62" s="2101">
        <v>0</v>
      </c>
      <c r="H62" s="2269">
        <f t="shared" si="9"/>
        <v>0</v>
      </c>
      <c r="I62" s="2216">
        <f t="shared" si="6"/>
        <v>0</v>
      </c>
      <c r="J62" s="2277">
        <f>IFERROR(((SUM($F$52:F62,G63:$G$67)+$G$80)/$F$50-(SUM($F$52:F61,G62:$G$67)+$G$80)/$F$50)/$H$4,0)</f>
        <v>0</v>
      </c>
      <c r="K62" s="2101">
        <v>0</v>
      </c>
      <c r="L62" s="2101">
        <v>0</v>
      </c>
      <c r="M62" s="2101">
        <v>0</v>
      </c>
      <c r="N62" s="2101">
        <v>0</v>
      </c>
      <c r="O62" s="2101">
        <v>0</v>
      </c>
      <c r="P62" s="2272"/>
      <c r="Q62" s="2262"/>
      <c r="R62" s="2262"/>
      <c r="S62" s="2262"/>
      <c r="T62" s="2262"/>
      <c r="U62" s="2262"/>
      <c r="V62" s="2262"/>
    </row>
    <row r="63" spans="1:22" ht="15.6">
      <c r="B63" s="1845" t="s">
        <v>2163</v>
      </c>
      <c r="C63" s="2101">
        <v>371.36110000000002</v>
      </c>
      <c r="D63" s="1837">
        <f t="shared" si="2"/>
        <v>0</v>
      </c>
      <c r="E63" s="1837">
        <f t="shared" si="11"/>
        <v>0</v>
      </c>
      <c r="F63" s="2265">
        <f t="shared" si="4"/>
        <v>0</v>
      </c>
      <c r="G63" s="2101">
        <v>371.36110000000002</v>
      </c>
      <c r="H63" s="2269">
        <f t="shared" si="9"/>
        <v>0</v>
      </c>
      <c r="I63" s="2216">
        <f t="shared" si="6"/>
        <v>0</v>
      </c>
      <c r="J63" s="2277">
        <f>IFERROR(((SUM($F$52:F63,G64:$G$67)+$G$80)/$F$50-(SUM($F$52:F62,G63:$G$67)+$G$80)/$F$50)/$H$4,0)</f>
        <v>0</v>
      </c>
      <c r="K63" s="2101">
        <v>337.32628220919997</v>
      </c>
      <c r="L63" s="2101">
        <v>337.56317158209998</v>
      </c>
      <c r="M63" s="2101">
        <v>337.01922368150002</v>
      </c>
      <c r="N63" s="2101">
        <v>337.88819290250001</v>
      </c>
      <c r="O63" s="2101">
        <v>333.6737927726</v>
      </c>
      <c r="P63" s="2272"/>
      <c r="Q63" s="2262"/>
      <c r="R63" s="2262"/>
      <c r="S63" s="2262"/>
      <c r="T63" s="2262"/>
      <c r="U63" s="2262"/>
      <c r="V63" s="2262"/>
    </row>
    <row r="64" spans="1:22" ht="15.6">
      <c r="B64" s="1843" t="s">
        <v>2164</v>
      </c>
      <c r="C64" s="2101">
        <v>0</v>
      </c>
      <c r="D64" s="1837">
        <f t="shared" si="2"/>
        <v>0</v>
      </c>
      <c r="E64" s="1837">
        <f t="shared" si="11"/>
        <v>0</v>
      </c>
      <c r="F64" s="2265">
        <f t="shared" si="4"/>
        <v>0</v>
      </c>
      <c r="G64" s="2101">
        <v>0</v>
      </c>
      <c r="H64" s="2269">
        <f t="shared" si="9"/>
        <v>0</v>
      </c>
      <c r="I64" s="2216">
        <f t="shared" si="6"/>
        <v>0</v>
      </c>
      <c r="J64" s="2277">
        <f>IFERROR(((SUM($F$52:F64,G65:$G$67)+$G$80)/$F$50-(SUM($F$52:F63,G64:$G$67)+$G$80)/$F$50)/$H$4,0)</f>
        <v>0</v>
      </c>
      <c r="K64" s="2101">
        <v>0</v>
      </c>
      <c r="L64" s="2101">
        <v>0</v>
      </c>
      <c r="M64" s="2101">
        <v>0</v>
      </c>
      <c r="N64" s="2101">
        <v>0</v>
      </c>
      <c r="O64" s="2101">
        <v>0</v>
      </c>
      <c r="P64" s="2272"/>
      <c r="Q64" s="2262"/>
      <c r="R64" s="2262"/>
      <c r="S64" s="2262"/>
      <c r="T64" s="2262"/>
      <c r="U64" s="2262"/>
      <c r="V64" s="2262"/>
    </row>
    <row r="65" spans="1:22" ht="15.6">
      <c r="B65" s="1843" t="s">
        <v>2165</v>
      </c>
      <c r="C65" s="2101">
        <v>0</v>
      </c>
      <c r="D65" s="1837">
        <f t="shared" si="2"/>
        <v>0</v>
      </c>
      <c r="E65" s="1837">
        <f t="shared" si="11"/>
        <v>0</v>
      </c>
      <c r="F65" s="2265">
        <f t="shared" si="4"/>
        <v>0</v>
      </c>
      <c r="G65" s="2101">
        <v>0</v>
      </c>
      <c r="H65" s="2269">
        <f t="shared" si="9"/>
        <v>0</v>
      </c>
      <c r="I65" s="2216">
        <f t="shared" si="6"/>
        <v>0</v>
      </c>
      <c r="J65" s="2277">
        <f>IFERROR(((SUM($F$52:F65,G66:$G$67)+$G$80)/$F$50-(SUM($F$52:F64,G65:$G$67)+$G$80)/$F$50)/$H$4,0)</f>
        <v>0</v>
      </c>
      <c r="K65" s="2101">
        <v>0</v>
      </c>
      <c r="L65" s="2101">
        <v>0</v>
      </c>
      <c r="M65" s="2101">
        <v>0</v>
      </c>
      <c r="N65" s="2101">
        <v>0</v>
      </c>
      <c r="O65" s="2101">
        <v>0</v>
      </c>
      <c r="P65" s="2272"/>
      <c r="Q65" s="2262"/>
      <c r="R65" s="2262"/>
      <c r="S65" s="2262"/>
      <c r="T65" s="2262"/>
      <c r="U65" s="2262"/>
      <c r="V65" s="2262"/>
    </row>
    <row r="66" spans="1:22" ht="15.6">
      <c r="B66" s="1845" t="s">
        <v>2166</v>
      </c>
      <c r="C66" s="2101">
        <v>0</v>
      </c>
      <c r="D66" s="1837">
        <f t="shared" si="2"/>
        <v>0</v>
      </c>
      <c r="E66" s="1837">
        <f t="shared" si="11"/>
        <v>0</v>
      </c>
      <c r="F66" s="2265">
        <f t="shared" si="4"/>
        <v>0</v>
      </c>
      <c r="G66" s="2101">
        <v>0</v>
      </c>
      <c r="H66" s="2269">
        <f t="shared" si="9"/>
        <v>0</v>
      </c>
      <c r="I66" s="2216">
        <f t="shared" si="6"/>
        <v>0</v>
      </c>
      <c r="J66" s="2277">
        <f>IFERROR(((SUM($F$52:F66,G67:$G$67)+$G$80)/$F$50-(SUM($F$52:F65,G66:$G$67)+$G$80)/$F$50)/$H$4,0)</f>
        <v>0</v>
      </c>
      <c r="K66" s="2101">
        <v>11.454000000000001</v>
      </c>
      <c r="L66" s="2101">
        <v>11.454000000000001</v>
      </c>
      <c r="M66" s="2101">
        <v>11.1111269225</v>
      </c>
      <c r="N66" s="2101">
        <v>11.1122524259</v>
      </c>
      <c r="O66" s="2101">
        <v>11.113419002100001</v>
      </c>
      <c r="P66" s="2272"/>
      <c r="Q66" s="2262"/>
      <c r="R66" s="2262"/>
      <c r="S66" s="2262"/>
      <c r="T66" s="2262"/>
      <c r="U66" s="2262"/>
      <c r="V66" s="2262"/>
    </row>
    <row r="67" spans="1:22" ht="15.6">
      <c r="B67" s="1845" t="s">
        <v>2167</v>
      </c>
      <c r="C67" s="2101">
        <v>0</v>
      </c>
      <c r="D67" s="1837">
        <f t="shared" si="2"/>
        <v>0</v>
      </c>
      <c r="E67" s="1837">
        <f t="shared" si="11"/>
        <v>0</v>
      </c>
      <c r="F67" s="2265">
        <f t="shared" si="4"/>
        <v>0</v>
      </c>
      <c r="G67" s="2101">
        <v>0</v>
      </c>
      <c r="H67" s="2269">
        <f t="shared" si="9"/>
        <v>0</v>
      </c>
      <c r="I67" s="2216">
        <f t="shared" si="6"/>
        <v>0</v>
      </c>
      <c r="J67" s="2277">
        <f>IFERROR(((SUM($F$52:F67,G$67)+$G$80)/$F$50-(SUM($F$52:F66,G67:$G$67)+$G$80)/$F$50)/$H$4,0)</f>
        <v>0</v>
      </c>
      <c r="K67" s="2101">
        <v>0</v>
      </c>
      <c r="L67" s="2101">
        <v>0</v>
      </c>
      <c r="M67" s="2101">
        <v>0</v>
      </c>
      <c r="N67" s="2101">
        <v>0</v>
      </c>
      <c r="O67" s="2101">
        <v>0</v>
      </c>
      <c r="P67" s="2272"/>
      <c r="Q67" s="2262"/>
      <c r="R67" s="2262"/>
      <c r="S67" s="2262"/>
      <c r="T67" s="2262"/>
      <c r="U67" s="2262"/>
      <c r="V67" s="2262"/>
    </row>
    <row r="68" spans="1:22" ht="15.6">
      <c r="B68" s="1902" t="s">
        <v>76</v>
      </c>
      <c r="C68" s="2191">
        <v>532.88850000000002</v>
      </c>
      <c r="D68" s="2304">
        <f t="shared" si="2"/>
        <v>0</v>
      </c>
      <c r="E68" s="2191">
        <f t="shared" si="10"/>
        <v>0</v>
      </c>
      <c r="F68" s="2217">
        <f t="shared" si="4"/>
        <v>0</v>
      </c>
      <c r="G68" s="2191">
        <v>532.88850000000002</v>
      </c>
      <c r="H68" s="2240">
        <f t="shared" si="9"/>
        <v>0</v>
      </c>
      <c r="I68" s="2210">
        <f t="shared" si="6"/>
        <v>0</v>
      </c>
      <c r="J68" s="2268">
        <f>IFERROR((($F$68+$G$80)/$F$50-($G$68+$G$80)/$F$50)/$H$4,0)</f>
        <v>0</v>
      </c>
      <c r="K68" s="2191">
        <v>520.39586172410009</v>
      </c>
      <c r="L68" s="2191">
        <v>505.38355742489995</v>
      </c>
      <c r="M68" s="2191">
        <v>514.33080308399997</v>
      </c>
      <c r="N68" s="2191">
        <v>503.00989568180006</v>
      </c>
      <c r="O68" s="2191">
        <v>506.95075642160003</v>
      </c>
      <c r="P68" s="2275"/>
      <c r="Q68" s="2191"/>
      <c r="R68" s="2191"/>
      <c r="S68" s="2191"/>
      <c r="T68" s="2191"/>
      <c r="U68" s="2191"/>
      <c r="V68" s="2191"/>
    </row>
    <row r="69" spans="1:22" ht="15.6">
      <c r="A69" s="2182" t="s">
        <v>2358</v>
      </c>
      <c r="B69" s="1848" t="s">
        <v>77</v>
      </c>
      <c r="C69" s="1837">
        <v>0</v>
      </c>
      <c r="D69" s="1837">
        <f t="shared" si="2"/>
        <v>0</v>
      </c>
      <c r="E69" s="1837"/>
      <c r="F69" s="2265">
        <f t="shared" si="4"/>
        <v>0</v>
      </c>
      <c r="G69" s="1837">
        <v>0</v>
      </c>
      <c r="H69" s="2267"/>
      <c r="I69" s="2267"/>
      <c r="J69" s="2267"/>
      <c r="K69" s="1837">
        <v>0</v>
      </c>
      <c r="L69" s="1837">
        <v>0</v>
      </c>
      <c r="M69" s="1837">
        <v>0</v>
      </c>
      <c r="N69" s="1837">
        <v>0</v>
      </c>
      <c r="O69" s="1837"/>
      <c r="P69" s="2274"/>
      <c r="Q69" s="2190"/>
      <c r="R69" s="2190"/>
      <c r="S69" s="2190"/>
      <c r="T69" s="2190"/>
      <c r="U69" s="2190"/>
      <c r="V69" s="2190"/>
    </row>
    <row r="70" spans="1:22" ht="15.6">
      <c r="A70" s="2182" t="s">
        <v>18</v>
      </c>
      <c r="B70" s="1845" t="s">
        <v>2168</v>
      </c>
      <c r="C70" s="2101">
        <v>0.4471</v>
      </c>
      <c r="D70" s="1837">
        <f t="shared" si="2"/>
        <v>0</v>
      </c>
      <c r="E70" s="1837">
        <f t="shared" ref="E70:E79" si="12">IFERROR(D70/C70,0)</f>
        <v>0</v>
      </c>
      <c r="F70" s="2265">
        <f t="shared" si="4"/>
        <v>0</v>
      </c>
      <c r="G70" s="2101">
        <v>0.4471</v>
      </c>
      <c r="H70" s="2269">
        <f t="shared" si="9"/>
        <v>0</v>
      </c>
      <c r="I70" s="2216">
        <f t="shared" si="6"/>
        <v>0</v>
      </c>
      <c r="J70" s="2277">
        <f>IFERROR((($F$68+SUM(F70,G71:G79))/$F$50-($F$68+SUM(G70:G79))/$F$50)/$H$4,0)</f>
        <v>0</v>
      </c>
      <c r="K70" s="2101">
        <v>0.4471</v>
      </c>
      <c r="L70" s="2101">
        <v>0.4471</v>
      </c>
      <c r="M70" s="2101">
        <v>0.4471</v>
      </c>
      <c r="N70" s="2101">
        <v>0.4471</v>
      </c>
      <c r="O70" s="2101">
        <v>0.4471</v>
      </c>
      <c r="P70" s="2272"/>
      <c r="Q70" s="2262"/>
      <c r="R70" s="2262"/>
      <c r="S70" s="2262"/>
      <c r="T70" s="2262"/>
      <c r="U70" s="2262"/>
      <c r="V70" s="2262"/>
    </row>
    <row r="71" spans="1:22" ht="15.6">
      <c r="A71" s="2182" t="s">
        <v>19</v>
      </c>
      <c r="B71" s="1849" t="s">
        <v>2169</v>
      </c>
      <c r="C71" s="2101">
        <v>0</v>
      </c>
      <c r="D71" s="1837">
        <f t="shared" ref="D71:D98" si="13">V71</f>
        <v>0</v>
      </c>
      <c r="E71" s="1837">
        <f t="shared" si="12"/>
        <v>0</v>
      </c>
      <c r="F71" s="2265">
        <f t="shared" ref="F71:F81" si="14">P71</f>
        <v>0</v>
      </c>
      <c r="G71" s="2101">
        <v>0</v>
      </c>
      <c r="H71" s="2269">
        <f t="shared" si="9"/>
        <v>0</v>
      </c>
      <c r="I71" s="2216">
        <f t="shared" ref="I71:I81" si="15">IFERROR(H71/G71,0)</f>
        <v>0</v>
      </c>
      <c r="J71" s="2277">
        <f>IFERROR((($F$68+SUM($F$70:F71,G72:$G$79))/$F$50-($F$68+SUM($F$70:F70,G71:$G$79))/$F$50)/$H$4,0)</f>
        <v>0</v>
      </c>
      <c r="K71" s="2101">
        <v>-1.0976615600000001E-2</v>
      </c>
      <c r="L71" s="2101">
        <v>-9.9324343999999988E-3</v>
      </c>
      <c r="M71" s="2101">
        <v>0</v>
      </c>
      <c r="N71" s="2101">
        <v>0</v>
      </c>
      <c r="O71" s="2101">
        <v>0</v>
      </c>
      <c r="P71" s="2272"/>
      <c r="Q71" s="2262"/>
      <c r="R71" s="2262"/>
      <c r="S71" s="2262"/>
      <c r="T71" s="2262"/>
      <c r="U71" s="2262"/>
      <c r="V71" s="2262"/>
    </row>
    <row r="72" spans="1:22" ht="15.6">
      <c r="A72" s="2182" t="s">
        <v>20</v>
      </c>
      <c r="B72" s="1849" t="s">
        <v>2170</v>
      </c>
      <c r="C72" s="2101">
        <v>0</v>
      </c>
      <c r="D72" s="1837">
        <f t="shared" si="13"/>
        <v>0</v>
      </c>
      <c r="E72" s="1837">
        <f t="shared" si="12"/>
        <v>0</v>
      </c>
      <c r="F72" s="2265">
        <f t="shared" si="14"/>
        <v>0</v>
      </c>
      <c r="G72" s="2101">
        <v>0</v>
      </c>
      <c r="H72" s="2269">
        <f t="shared" si="9"/>
        <v>0</v>
      </c>
      <c r="I72" s="2216">
        <f t="shared" si="15"/>
        <v>0</v>
      </c>
      <c r="J72" s="2277">
        <f>IFERROR((($F$68+SUM($F$70:F72,G73:$G$79))/$F$50-($F$68+SUM($F$70:F71,G72:$G$79))/$F$50)/$H$4,0)</f>
        <v>0</v>
      </c>
      <c r="K72" s="2101">
        <v>0</v>
      </c>
      <c r="L72" s="2101">
        <v>0</v>
      </c>
      <c r="M72" s="2101">
        <v>0</v>
      </c>
      <c r="N72" s="2101">
        <v>0</v>
      </c>
      <c r="O72" s="2101">
        <v>0</v>
      </c>
      <c r="P72" s="2272"/>
      <c r="Q72" s="2262"/>
      <c r="R72" s="2262"/>
      <c r="S72" s="2262"/>
      <c r="T72" s="2262"/>
      <c r="U72" s="2262"/>
      <c r="V72" s="2262"/>
    </row>
    <row r="73" spans="1:22" ht="15.6">
      <c r="A73" s="2182" t="s">
        <v>1949</v>
      </c>
      <c r="B73" s="1849" t="s">
        <v>2171</v>
      </c>
      <c r="C73" s="2101">
        <v>8.2654999999999994</v>
      </c>
      <c r="D73" s="1837">
        <f t="shared" si="13"/>
        <v>0</v>
      </c>
      <c r="E73" s="1837">
        <f t="shared" si="12"/>
        <v>0</v>
      </c>
      <c r="F73" s="2265">
        <f t="shared" si="14"/>
        <v>0</v>
      </c>
      <c r="G73" s="2101">
        <v>8.2654999999999994</v>
      </c>
      <c r="H73" s="2269">
        <f t="shared" si="9"/>
        <v>0</v>
      </c>
      <c r="I73" s="2216">
        <f t="shared" si="15"/>
        <v>0</v>
      </c>
      <c r="J73" s="2277">
        <f>IFERROR((($F$68+SUM($F$70:F73,G74:$G$79))/$F$50-($F$68+SUM($F$70:F72,G73:$G$79))/$F$50)/$H$4,0)</f>
        <v>0</v>
      </c>
      <c r="K73" s="2101">
        <v>8.3626603819999996</v>
      </c>
      <c r="L73" s="2101">
        <v>8.3626603819999996</v>
      </c>
      <c r="M73" s="2101">
        <v>8.3626603819999996</v>
      </c>
      <c r="N73" s="2101">
        <v>8.3626603819999996</v>
      </c>
      <c r="O73" s="2101">
        <v>8.3626603819999996</v>
      </c>
      <c r="P73" s="2272"/>
      <c r="Q73" s="2262"/>
      <c r="R73" s="2262"/>
      <c r="S73" s="2262"/>
      <c r="T73" s="2262"/>
      <c r="U73" s="2262"/>
      <c r="V73" s="2262"/>
    </row>
    <row r="74" spans="1:22" ht="15.6">
      <c r="A74" s="2264" t="s">
        <v>95</v>
      </c>
      <c r="B74" s="1849" t="s">
        <v>2172</v>
      </c>
      <c r="C74" s="2101">
        <v>0</v>
      </c>
      <c r="D74" s="1837">
        <f t="shared" si="13"/>
        <v>0</v>
      </c>
      <c r="E74" s="1837">
        <f t="shared" si="12"/>
        <v>0</v>
      </c>
      <c r="F74" s="2265">
        <f t="shared" si="14"/>
        <v>0</v>
      </c>
      <c r="G74" s="2101">
        <v>0</v>
      </c>
      <c r="H74" s="2269">
        <f t="shared" si="9"/>
        <v>0</v>
      </c>
      <c r="I74" s="2216">
        <f t="shared" si="15"/>
        <v>0</v>
      </c>
      <c r="J74" s="2277">
        <f>IFERROR((($F$68+SUM($F$70:F74,G75:$G$79))/$F$50-($F$68+SUM($F$70:F73,G74:$G$79))/$F$50)/$H$4,0)</f>
        <v>0</v>
      </c>
      <c r="K74" s="2101">
        <v>0</v>
      </c>
      <c r="L74" s="2101">
        <v>0</v>
      </c>
      <c r="M74" s="2101">
        <v>0</v>
      </c>
      <c r="N74" s="2101">
        <v>0</v>
      </c>
      <c r="O74" s="2101">
        <v>0</v>
      </c>
      <c r="P74" s="2272"/>
      <c r="Q74" s="2262"/>
      <c r="R74" s="2262"/>
      <c r="S74" s="2262"/>
      <c r="T74" s="2262"/>
      <c r="U74" s="2262"/>
      <c r="V74" s="2262"/>
    </row>
    <row r="75" spans="1:22" ht="15.6">
      <c r="A75" s="2264" t="s">
        <v>1950</v>
      </c>
      <c r="B75" s="1843" t="s">
        <v>2173</v>
      </c>
      <c r="C75" s="2101">
        <v>1.117</v>
      </c>
      <c r="D75" s="1837">
        <f t="shared" si="13"/>
        <v>0</v>
      </c>
      <c r="E75" s="1837">
        <f t="shared" si="12"/>
        <v>0</v>
      </c>
      <c r="F75" s="2265">
        <f t="shared" si="14"/>
        <v>0</v>
      </c>
      <c r="G75" s="2101">
        <v>1.117</v>
      </c>
      <c r="H75" s="2269">
        <f t="shared" si="9"/>
        <v>0</v>
      </c>
      <c r="I75" s="2216">
        <f t="shared" si="15"/>
        <v>0</v>
      </c>
      <c r="J75" s="2277">
        <f>IFERROR((($F$68+SUM($F$70:F75,G76:$G$79))/$F$50-($F$68+SUM($F$70:F74,G75:$G$79))/$F$50)/$H$4,0)</f>
        <v>0</v>
      </c>
      <c r="K75" s="2101">
        <v>0.93387044220000004</v>
      </c>
      <c r="L75" s="2101">
        <v>0.93386675219999993</v>
      </c>
      <c r="M75" s="2101">
        <v>0.93425910069999996</v>
      </c>
      <c r="N75" s="2101">
        <v>0.93631189820000005</v>
      </c>
      <c r="O75" s="2101">
        <v>0.93598708640000006</v>
      </c>
      <c r="P75" s="2272"/>
      <c r="Q75" s="2262"/>
      <c r="R75" s="2262"/>
      <c r="S75" s="2262"/>
      <c r="T75" s="2262"/>
      <c r="U75" s="2262"/>
      <c r="V75" s="2262"/>
    </row>
    <row r="76" spans="1:22" ht="15.6">
      <c r="A76" s="2182" t="s">
        <v>1951</v>
      </c>
      <c r="B76" s="1845" t="s">
        <v>2174</v>
      </c>
      <c r="C76" s="2101">
        <v>0</v>
      </c>
      <c r="D76" s="1837">
        <f t="shared" si="13"/>
        <v>0</v>
      </c>
      <c r="E76" s="1837">
        <f t="shared" si="12"/>
        <v>0</v>
      </c>
      <c r="F76" s="2265">
        <f t="shared" si="14"/>
        <v>0</v>
      </c>
      <c r="G76" s="2101">
        <v>0</v>
      </c>
      <c r="H76" s="2269">
        <f t="shared" si="9"/>
        <v>0</v>
      </c>
      <c r="I76" s="2216">
        <f t="shared" si="15"/>
        <v>0</v>
      </c>
      <c r="J76" s="2277">
        <f>IFERROR((($F$68+SUM($F$70:F76,G77:$G$79))/$F$50-($F$68+SUM($F$70:F75,G76:$G$79))/$F$50)/$H$4,0)</f>
        <v>0</v>
      </c>
      <c r="K76" s="2101">
        <v>0</v>
      </c>
      <c r="L76" s="2101">
        <v>0</v>
      </c>
      <c r="M76" s="2101">
        <v>0</v>
      </c>
      <c r="N76" s="2101">
        <v>0</v>
      </c>
      <c r="O76" s="2101">
        <v>0</v>
      </c>
      <c r="P76" s="2272"/>
      <c r="Q76" s="2262"/>
      <c r="R76" s="2262"/>
      <c r="S76" s="2262"/>
      <c r="T76" s="2262"/>
      <c r="U76" s="2262"/>
      <c r="V76" s="2262"/>
    </row>
    <row r="77" spans="1:22" ht="15.6">
      <c r="A77" s="2182" t="s">
        <v>96</v>
      </c>
      <c r="B77" s="1845" t="s">
        <v>2175</v>
      </c>
      <c r="C77" s="2101">
        <v>43.002899999999997</v>
      </c>
      <c r="D77" s="1837">
        <f t="shared" si="13"/>
        <v>0</v>
      </c>
      <c r="E77" s="1837">
        <f t="shared" si="12"/>
        <v>0</v>
      </c>
      <c r="F77" s="2265">
        <f t="shared" si="14"/>
        <v>0</v>
      </c>
      <c r="G77" s="2101">
        <v>43.002899999999997</v>
      </c>
      <c r="H77" s="2269">
        <f t="shared" si="9"/>
        <v>0</v>
      </c>
      <c r="I77" s="2216">
        <f t="shared" si="15"/>
        <v>0</v>
      </c>
      <c r="J77" s="2277">
        <f>IFERROR((($F$68+SUM($F$70:F77,G78:$G$79))/$F$50-($F$68+SUM($F$70:F76,G77:$G$79))/$F$50)/$H$4,0)</f>
        <v>0</v>
      </c>
      <c r="K77" s="2101">
        <v>35.535115017899997</v>
      </c>
      <c r="L77" s="2101">
        <v>35.676441668699994</v>
      </c>
      <c r="M77" s="2101">
        <v>36.2984062815</v>
      </c>
      <c r="N77" s="2101">
        <v>37.096460958000002</v>
      </c>
      <c r="O77" s="2101">
        <v>39.586158491900001</v>
      </c>
      <c r="P77" s="2272"/>
      <c r="Q77" s="2262"/>
      <c r="R77" s="2262"/>
      <c r="S77" s="2262"/>
      <c r="T77" s="2262"/>
      <c r="U77" s="2262"/>
      <c r="V77" s="2262"/>
    </row>
    <row r="78" spans="1:22" ht="15.6">
      <c r="A78" s="2182" t="s">
        <v>78</v>
      </c>
      <c r="B78" s="1843" t="s">
        <v>2176</v>
      </c>
      <c r="C78" s="2101">
        <v>2.76E-2</v>
      </c>
      <c r="D78" s="1837">
        <f t="shared" si="13"/>
        <v>0</v>
      </c>
      <c r="E78" s="1837">
        <f t="shared" si="12"/>
        <v>0</v>
      </c>
      <c r="F78" s="2265">
        <f t="shared" si="14"/>
        <v>0</v>
      </c>
      <c r="G78" s="2101">
        <v>2.76E-2</v>
      </c>
      <c r="H78" s="2269">
        <f t="shared" si="9"/>
        <v>0</v>
      </c>
      <c r="I78" s="2216">
        <f t="shared" si="15"/>
        <v>0</v>
      </c>
      <c r="J78" s="2277">
        <f>IFERROR((($F$68+SUM($F$70:F78,G79:$G$79))/$F$50-($F$68+SUM($F$70:F77,G78:$G$79))/$F$50)/$H$4,0)</f>
        <v>0</v>
      </c>
      <c r="K78" s="2101">
        <v>2.71285704E-2</v>
      </c>
      <c r="L78" s="2101">
        <v>2.71285704E-2</v>
      </c>
      <c r="M78" s="2101">
        <v>2.71285704E-2</v>
      </c>
      <c r="N78" s="2101">
        <v>2.71285704E-2</v>
      </c>
      <c r="O78" s="2101">
        <v>2.71285704E-2</v>
      </c>
      <c r="P78" s="2272"/>
      <c r="Q78" s="2262"/>
      <c r="R78" s="2262"/>
      <c r="S78" s="2262"/>
      <c r="T78" s="2262"/>
      <c r="U78" s="2262"/>
      <c r="V78" s="2262"/>
    </row>
    <row r="79" spans="1:22" ht="15.6">
      <c r="A79" s="2182" t="s">
        <v>318</v>
      </c>
      <c r="B79" s="1843" t="s">
        <v>2177</v>
      </c>
      <c r="C79" s="2101">
        <v>0</v>
      </c>
      <c r="D79" s="1837">
        <f t="shared" si="13"/>
        <v>0</v>
      </c>
      <c r="E79" s="1837">
        <f t="shared" si="12"/>
        <v>0</v>
      </c>
      <c r="F79" s="2265">
        <f t="shared" si="14"/>
        <v>0</v>
      </c>
      <c r="G79" s="2101">
        <v>0</v>
      </c>
      <c r="H79" s="2269">
        <f t="shared" si="9"/>
        <v>0</v>
      </c>
      <c r="I79" s="2216">
        <f t="shared" si="15"/>
        <v>0</v>
      </c>
      <c r="J79" s="2277">
        <f>IFERROR((($F$68+SUM($F$70:F79,G$79))/$F$50-($F$68+SUM($F$70:F78,G79:$G$79))/$F$50)/$H$4,0)</f>
        <v>0</v>
      </c>
      <c r="K79" s="2101">
        <v>0</v>
      </c>
      <c r="L79" s="2101">
        <v>0</v>
      </c>
      <c r="M79" s="2101">
        <v>0</v>
      </c>
      <c r="N79" s="2101">
        <v>0</v>
      </c>
      <c r="O79" s="2101">
        <v>0</v>
      </c>
      <c r="P79" s="2272"/>
      <c r="Q79" s="2262"/>
      <c r="R79" s="2262"/>
      <c r="S79" s="2262"/>
      <c r="T79" s="2262"/>
      <c r="U79" s="2262"/>
      <c r="V79" s="2262"/>
    </row>
    <row r="80" spans="1:22" ht="15.6">
      <c r="B80" s="1902" t="s">
        <v>78</v>
      </c>
      <c r="C80" s="2191">
        <v>52.860100000000003</v>
      </c>
      <c r="D80" s="2304">
        <f t="shared" si="13"/>
        <v>0</v>
      </c>
      <c r="E80" s="2191">
        <f t="shared" ref="E80:E98" si="16">D80/C80</f>
        <v>0</v>
      </c>
      <c r="F80" s="2217">
        <f t="shared" si="14"/>
        <v>0</v>
      </c>
      <c r="G80" s="2191">
        <v>52.860100000000003</v>
      </c>
      <c r="H80" s="2240">
        <f t="shared" si="9"/>
        <v>0</v>
      </c>
      <c r="I80" s="2210">
        <f t="shared" si="15"/>
        <v>0</v>
      </c>
      <c r="J80" s="2268">
        <f>IFERROR((($F$68+$F$80)/$F$50-($F$68+$G$80)/$F$50)/$H$4,0)</f>
        <v>0</v>
      </c>
      <c r="K80" s="2191">
        <v>45.294897796899996</v>
      </c>
      <c r="L80" s="2191">
        <v>45.4372649389</v>
      </c>
      <c r="M80" s="2191">
        <v>46.069554334599999</v>
      </c>
      <c r="N80" s="2191">
        <v>46.8696618086</v>
      </c>
      <c r="O80" s="2191">
        <v>49.359034530699994</v>
      </c>
      <c r="P80" s="2275"/>
      <c r="Q80" s="2191"/>
      <c r="R80" s="2191"/>
      <c r="S80" s="2191"/>
      <c r="T80" s="2191"/>
      <c r="U80" s="2191"/>
      <c r="V80" s="2191"/>
    </row>
    <row r="81" spans="1:22" ht="15.6">
      <c r="B81" s="1902" t="s">
        <v>2178</v>
      </c>
      <c r="C81" s="2191">
        <v>585.74860000000001</v>
      </c>
      <c r="D81" s="2304">
        <f t="shared" si="13"/>
        <v>0</v>
      </c>
      <c r="E81" s="2191">
        <f t="shared" si="16"/>
        <v>0</v>
      </c>
      <c r="F81" s="2217">
        <f t="shared" si="14"/>
        <v>0</v>
      </c>
      <c r="G81" s="2191">
        <v>585.74860000000001</v>
      </c>
      <c r="H81" s="2240">
        <f t="shared" si="9"/>
        <v>0</v>
      </c>
      <c r="I81" s="2210">
        <f t="shared" si="15"/>
        <v>0</v>
      </c>
      <c r="J81" s="2268">
        <f>IFERROR(($F$81/$F$50-$G$81/$F$50)/$H$4,0)</f>
        <v>0</v>
      </c>
      <c r="K81" s="2191">
        <v>565.69075952100002</v>
      </c>
      <c r="L81" s="2191">
        <v>550.82082236379995</v>
      </c>
      <c r="M81" s="2191">
        <v>560.40035741860004</v>
      </c>
      <c r="N81" s="2191">
        <v>549.87955749040009</v>
      </c>
      <c r="O81" s="2191">
        <v>556.30979095229998</v>
      </c>
      <c r="P81" s="2275"/>
      <c r="Q81" s="2191"/>
      <c r="R81" s="2191"/>
      <c r="S81" s="2191"/>
      <c r="T81" s="2191"/>
      <c r="U81" s="2191"/>
      <c r="V81" s="2191"/>
    </row>
    <row r="82" spans="1:22" ht="15.6">
      <c r="A82" s="2182" t="s">
        <v>2359</v>
      </c>
      <c r="B82" s="1847" t="s">
        <v>79</v>
      </c>
      <c r="C82" s="1837">
        <v>0</v>
      </c>
      <c r="D82" s="1837">
        <f t="shared" si="13"/>
        <v>0</v>
      </c>
      <c r="E82" s="1837"/>
      <c r="F82" s="2267"/>
      <c r="G82" s="1837">
        <v>0</v>
      </c>
      <c r="H82" s="2267"/>
      <c r="I82" s="2267"/>
      <c r="J82" s="2267"/>
      <c r="K82" s="2101">
        <v>0</v>
      </c>
      <c r="L82" s="2101">
        <v>0</v>
      </c>
      <c r="M82" s="2101">
        <v>0</v>
      </c>
      <c r="N82" s="2101">
        <v>0</v>
      </c>
      <c r="O82" s="2272">
        <v>0</v>
      </c>
      <c r="P82" s="2272"/>
      <c r="Q82" s="2262"/>
      <c r="R82" s="2262"/>
      <c r="S82" s="2262"/>
      <c r="T82" s="2262"/>
      <c r="U82" s="2262"/>
      <c r="V82" s="2262"/>
    </row>
    <row r="83" spans="1:22" ht="15.6">
      <c r="A83" s="2182" t="s">
        <v>319</v>
      </c>
      <c r="B83" s="1843" t="s">
        <v>2179</v>
      </c>
      <c r="C83" s="2101">
        <v>1289.2809</v>
      </c>
      <c r="D83" s="1837">
        <f t="shared" si="13"/>
        <v>0</v>
      </c>
      <c r="E83" s="1837">
        <f t="shared" ref="E83:E94" si="17">IFERROR(D83/C83,0)</f>
        <v>0</v>
      </c>
      <c r="F83" s="2265">
        <f t="shared" ref="F83:F96" si="18">P83</f>
        <v>0</v>
      </c>
      <c r="G83" s="2101">
        <v>1289.2809</v>
      </c>
      <c r="H83" s="2269">
        <f t="shared" si="9"/>
        <v>0</v>
      </c>
      <c r="I83" s="2216">
        <f t="shared" ref="I83:I92" si="19">IFERROR(H83/G83,0)</f>
        <v>0</v>
      </c>
      <c r="J83" s="2277">
        <f>IFERROR(($F$81/($F$81+SUM(F83,G84,G86,G88:G89,G92)-G85+$G$94)-$F$81/($F$81+SUM(G83,G84,G86,G88:G89,G92)-G85+$G$94))/$H$4,0)</f>
        <v>0</v>
      </c>
      <c r="K83" s="2101">
        <v>1289.246215744</v>
      </c>
      <c r="L83" s="2101">
        <v>1289.246215744</v>
      </c>
      <c r="M83" s="2101">
        <v>1289.246215744</v>
      </c>
      <c r="N83" s="2101">
        <v>1289.246215744</v>
      </c>
      <c r="O83" s="2272">
        <v>1291.3250039275999</v>
      </c>
      <c r="P83" s="2272"/>
      <c r="Q83" s="2262"/>
      <c r="R83" s="2262"/>
      <c r="S83" s="2262"/>
      <c r="T83" s="2262"/>
      <c r="U83" s="2262"/>
      <c r="V83" s="2262"/>
    </row>
    <row r="84" spans="1:22" ht="15.6">
      <c r="A84" s="2182" t="s">
        <v>1952</v>
      </c>
      <c r="B84" s="1849" t="s">
        <v>2180</v>
      </c>
      <c r="C84" s="2101">
        <v>3.7780999999999998</v>
      </c>
      <c r="D84" s="1837">
        <f t="shared" si="13"/>
        <v>0</v>
      </c>
      <c r="E84" s="1837">
        <f t="shared" si="17"/>
        <v>0</v>
      </c>
      <c r="F84" s="2265">
        <f t="shared" si="18"/>
        <v>0</v>
      </c>
      <c r="G84" s="2101">
        <v>3.7780999999999998</v>
      </c>
      <c r="H84" s="2269">
        <f t="shared" si="9"/>
        <v>0</v>
      </c>
      <c r="I84" s="2216">
        <f t="shared" si="19"/>
        <v>0</v>
      </c>
      <c r="J84" s="2267">
        <f>IFERROR(($F$81/($F$81+SUM(F83,F84,G86,G88:G89,G92)-G85+$G$94)-$F$81/($F$81+SUM(F83,G84,G86,G88:G89,G92)-G85+$G$94))/$H$4,0)</f>
        <v>0</v>
      </c>
      <c r="K84" s="2101">
        <v>3.7780997376999998</v>
      </c>
      <c r="L84" s="2101">
        <v>3.7780997376999998</v>
      </c>
      <c r="M84" s="2101">
        <v>3.7780997376999998</v>
      </c>
      <c r="N84" s="2101">
        <v>3.7780997376999998</v>
      </c>
      <c r="O84" s="2272">
        <v>3.7780997376999998</v>
      </c>
      <c r="P84" s="2272"/>
      <c r="Q84" s="2262"/>
      <c r="R84" s="2262"/>
      <c r="S84" s="2262"/>
      <c r="T84" s="2262"/>
      <c r="U84" s="2262"/>
      <c r="V84" s="2262"/>
    </row>
    <row r="85" spans="1:22" ht="15.6">
      <c r="A85" s="2182" t="s">
        <v>1953</v>
      </c>
      <c r="B85" s="1846" t="s">
        <v>2181</v>
      </c>
      <c r="C85" s="2101">
        <v>0</v>
      </c>
      <c r="D85" s="1837">
        <f t="shared" si="13"/>
        <v>0</v>
      </c>
      <c r="E85" s="1837">
        <f t="shared" si="17"/>
        <v>0</v>
      </c>
      <c r="F85" s="2265">
        <f t="shared" si="18"/>
        <v>0</v>
      </c>
      <c r="G85" s="2101">
        <v>0</v>
      </c>
      <c r="H85" s="2269">
        <f t="shared" si="9"/>
        <v>0</v>
      </c>
      <c r="I85" s="2216">
        <f t="shared" si="19"/>
        <v>0</v>
      </c>
      <c r="J85" s="2267">
        <f>IFERROR(($F$81/($F$81+SUM(F83,F84,G86,G88:G89,G92)-F85+$G$94)-$F$81/($F$81+SUM(F83,F84,G86,G88:G89,G92)-G85+$G$94))/$H$4,0)</f>
        <v>0</v>
      </c>
      <c r="K85" s="2101">
        <v>0</v>
      </c>
      <c r="L85" s="2101">
        <v>0</v>
      </c>
      <c r="M85" s="2101">
        <v>0</v>
      </c>
      <c r="N85" s="2101">
        <v>0</v>
      </c>
      <c r="O85" s="2272">
        <v>0</v>
      </c>
      <c r="P85" s="2272"/>
      <c r="Q85" s="2262"/>
      <c r="R85" s="2262"/>
      <c r="S85" s="2262"/>
      <c r="T85" s="2262"/>
      <c r="U85" s="2262"/>
      <c r="V85" s="2262"/>
    </row>
    <row r="86" spans="1:22" ht="15.6">
      <c r="A86" s="2182" t="s">
        <v>173</v>
      </c>
      <c r="B86" s="1849" t="s">
        <v>2182</v>
      </c>
      <c r="C86" s="2101">
        <v>7.6799999999999993E-2</v>
      </c>
      <c r="D86" s="1837">
        <f t="shared" si="13"/>
        <v>0</v>
      </c>
      <c r="E86" s="1837">
        <f t="shared" si="17"/>
        <v>0</v>
      </c>
      <c r="F86" s="2265">
        <f t="shared" si="18"/>
        <v>0</v>
      </c>
      <c r="G86" s="2101">
        <v>7.6799999999999993E-2</v>
      </c>
      <c r="H86" s="2269">
        <f t="shared" si="9"/>
        <v>0</v>
      </c>
      <c r="I86" s="2216">
        <f t="shared" si="19"/>
        <v>0</v>
      </c>
      <c r="J86" s="2267">
        <f>IFERROR(($F$81/($F$81+SUM(F83,F84,F86,G88:G89,G92)-F85+$G$94)-$F$81/($F$81+SUM(F83,F84,G86,G88:G89,G92)-F85+$G$94))/$H$4,0)</f>
        <v>0</v>
      </c>
      <c r="K86" s="2101">
        <v>7.2604876299999996E-2</v>
      </c>
      <c r="L86" s="2101">
        <v>7.2604876299999996E-2</v>
      </c>
      <c r="M86" s="2101">
        <v>7.1282009399999999E-2</v>
      </c>
      <c r="N86" s="2101">
        <v>7.1282009399999999E-2</v>
      </c>
      <c r="O86" s="2272">
        <v>7.1282009399999999E-2</v>
      </c>
      <c r="P86" s="2272"/>
      <c r="Q86" s="2262"/>
      <c r="R86" s="2262"/>
      <c r="S86" s="2262"/>
      <c r="T86" s="2262"/>
      <c r="U86" s="2262"/>
      <c r="V86" s="2262"/>
    </row>
    <row r="87" spans="1:22" ht="15.6">
      <c r="A87" s="2182" t="s">
        <v>174</v>
      </c>
      <c r="B87" s="1849" t="s">
        <v>2183</v>
      </c>
      <c r="C87" s="2101">
        <v>2E-3</v>
      </c>
      <c r="D87" s="1837">
        <f t="shared" si="13"/>
        <v>0</v>
      </c>
      <c r="E87" s="1837">
        <f t="shared" si="17"/>
        <v>0</v>
      </c>
      <c r="F87" s="2265">
        <f t="shared" si="18"/>
        <v>0</v>
      </c>
      <c r="G87" s="2101">
        <v>2E-3</v>
      </c>
      <c r="H87" s="2269">
        <f t="shared" si="9"/>
        <v>0</v>
      </c>
      <c r="I87" s="2216">
        <f t="shared" si="19"/>
        <v>0</v>
      </c>
      <c r="J87" s="2267"/>
      <c r="K87" s="2101">
        <v>-1.1322645E-3</v>
      </c>
      <c r="L87" s="2101">
        <v>-1.1322645E-3</v>
      </c>
      <c r="M87" s="2101">
        <v>-2.4551314000000003E-3</v>
      </c>
      <c r="N87" s="2101">
        <v>-2.4551314000000003E-3</v>
      </c>
      <c r="O87" s="2272">
        <v>-2.4551314000000003E-3</v>
      </c>
      <c r="P87" s="2272"/>
      <c r="Q87" s="2262"/>
      <c r="R87" s="2262"/>
      <c r="S87" s="2262"/>
      <c r="T87" s="2262"/>
      <c r="U87" s="2262"/>
      <c r="V87" s="2262"/>
    </row>
    <row r="88" spans="1:22" ht="15.6">
      <c r="A88" s="2182" t="s">
        <v>175</v>
      </c>
      <c r="B88" s="1849" t="s">
        <v>2184</v>
      </c>
      <c r="C88" s="2101">
        <v>0</v>
      </c>
      <c r="D88" s="1837">
        <f t="shared" si="13"/>
        <v>0</v>
      </c>
      <c r="E88" s="1837">
        <f t="shared" si="17"/>
        <v>0</v>
      </c>
      <c r="F88" s="2265">
        <f t="shared" si="18"/>
        <v>0</v>
      </c>
      <c r="G88" s="2101">
        <v>0</v>
      </c>
      <c r="H88" s="2269">
        <f t="shared" si="9"/>
        <v>0</v>
      </c>
      <c r="I88" s="2216">
        <f t="shared" si="19"/>
        <v>0</v>
      </c>
      <c r="J88" s="2267">
        <f>IFERROR(($F$81/($F$81+SUM(F83,F84,F86,F88,G89,G92)-F85+$G$94)-$F$81/($F$81+SUM(F83,F84,F86,G88,G89,G92)-F85+$G$94))/$H$4,0)</f>
        <v>0</v>
      </c>
      <c r="K88" s="2101">
        <v>0</v>
      </c>
      <c r="L88" s="2101">
        <v>0</v>
      </c>
      <c r="M88" s="2101">
        <v>0</v>
      </c>
      <c r="N88" s="2101">
        <v>0</v>
      </c>
      <c r="O88" s="2272">
        <v>0</v>
      </c>
      <c r="P88" s="2272"/>
      <c r="Q88" s="2262"/>
      <c r="R88" s="2262"/>
      <c r="S88" s="2262"/>
      <c r="T88" s="2262"/>
      <c r="U88" s="2262"/>
      <c r="V88" s="2262"/>
    </row>
    <row r="89" spans="1:22" ht="15.6">
      <c r="A89" s="2182" t="s">
        <v>64</v>
      </c>
      <c r="B89" s="1849" t="s">
        <v>2185</v>
      </c>
      <c r="C89" s="2101">
        <v>65.835800000000006</v>
      </c>
      <c r="D89" s="1837">
        <f t="shared" si="13"/>
        <v>0</v>
      </c>
      <c r="E89" s="1837">
        <f t="shared" si="17"/>
        <v>0</v>
      </c>
      <c r="F89" s="2265">
        <f t="shared" si="18"/>
        <v>0</v>
      </c>
      <c r="G89" s="2101">
        <v>65.835800000000006</v>
      </c>
      <c r="H89" s="2269">
        <f t="shared" si="9"/>
        <v>0</v>
      </c>
      <c r="I89" s="2216">
        <f t="shared" si="19"/>
        <v>0</v>
      </c>
      <c r="J89" s="2267">
        <f>IFERROR(($F$81/($F$81+SUM(F83,F84,F86,F88,F89,G92)-F85+$G$94)-$F$81/($F$81+SUM(F83,F84,F86,F88,G89,G92)-F85+$G$94))/$H$4,0)</f>
        <v>0</v>
      </c>
      <c r="K89" s="2101">
        <v>65.307811745699993</v>
      </c>
      <c r="L89" s="2101">
        <v>31.538804493200001</v>
      </c>
      <c r="M89" s="2101">
        <v>31.538804493200001</v>
      </c>
      <c r="N89" s="2101">
        <v>31.538804493200001</v>
      </c>
      <c r="O89" s="2272">
        <v>31.538804493200001</v>
      </c>
      <c r="P89" s="2272"/>
      <c r="Q89" s="2262"/>
      <c r="R89" s="2262"/>
      <c r="S89" s="2262"/>
      <c r="T89" s="2262"/>
      <c r="U89" s="2262"/>
      <c r="V89" s="2262"/>
    </row>
    <row r="90" spans="1:22" ht="15.6">
      <c r="A90" s="2182" t="s">
        <v>80</v>
      </c>
      <c r="B90" s="1849" t="s">
        <v>2186</v>
      </c>
      <c r="C90" s="2101">
        <v>32.271599999999999</v>
      </c>
      <c r="D90" s="1837">
        <f t="shared" si="13"/>
        <v>0</v>
      </c>
      <c r="E90" s="1837">
        <f t="shared" si="17"/>
        <v>0</v>
      </c>
      <c r="F90" s="2265">
        <f t="shared" si="18"/>
        <v>0</v>
      </c>
      <c r="G90" s="2101">
        <v>32.271599999999999</v>
      </c>
      <c r="H90" s="2269">
        <f t="shared" si="9"/>
        <v>0</v>
      </c>
      <c r="I90" s="2216">
        <f t="shared" si="19"/>
        <v>0</v>
      </c>
      <c r="J90" s="2267"/>
      <c r="K90" s="2101">
        <v>31.538804493200001</v>
      </c>
      <c r="L90" s="2101">
        <v>31.538804493200001</v>
      </c>
      <c r="M90" s="2101">
        <v>31.538804493200001</v>
      </c>
      <c r="N90" s="2101">
        <v>31.538804493200001</v>
      </c>
      <c r="O90" s="2272">
        <v>31.538804493200001</v>
      </c>
      <c r="P90" s="2272"/>
      <c r="Q90" s="2262"/>
      <c r="R90" s="2262"/>
      <c r="S90" s="2262"/>
      <c r="T90" s="2262"/>
      <c r="U90" s="2262"/>
      <c r="V90" s="2262"/>
    </row>
    <row r="91" spans="1:22" ht="15.6">
      <c r="A91" s="2182" t="s">
        <v>21</v>
      </c>
      <c r="B91" s="1849" t="s">
        <v>2187</v>
      </c>
      <c r="C91" s="2101">
        <v>33.5642</v>
      </c>
      <c r="D91" s="1837">
        <f t="shared" si="13"/>
        <v>0</v>
      </c>
      <c r="E91" s="1837">
        <f t="shared" si="17"/>
        <v>0</v>
      </c>
      <c r="F91" s="2265">
        <f t="shared" si="18"/>
        <v>0</v>
      </c>
      <c r="G91" s="2101">
        <v>33.5642</v>
      </c>
      <c r="H91" s="2269">
        <f t="shared" si="9"/>
        <v>0</v>
      </c>
      <c r="I91" s="2216">
        <f t="shared" si="19"/>
        <v>0</v>
      </c>
      <c r="J91" s="2267"/>
      <c r="K91" s="2101">
        <v>33.769007252500003</v>
      </c>
      <c r="L91" s="2101">
        <v>0</v>
      </c>
      <c r="M91" s="2101">
        <v>0</v>
      </c>
      <c r="N91" s="2101">
        <v>0</v>
      </c>
      <c r="O91" s="2272">
        <v>0</v>
      </c>
      <c r="P91" s="2272"/>
      <c r="Q91" s="2262"/>
      <c r="R91" s="2262"/>
      <c r="S91" s="2262"/>
      <c r="T91" s="2262"/>
      <c r="U91" s="2262"/>
      <c r="V91" s="2262"/>
    </row>
    <row r="92" spans="1:22" ht="15.6">
      <c r="A92" s="2182" t="s">
        <v>81</v>
      </c>
      <c r="B92" s="1849" t="s">
        <v>2188</v>
      </c>
      <c r="C92" s="2101">
        <v>-24.6205</v>
      </c>
      <c r="D92" s="1837">
        <f t="shared" si="13"/>
        <v>0</v>
      </c>
      <c r="E92" s="1837">
        <f t="shared" si="17"/>
        <v>0</v>
      </c>
      <c r="F92" s="2265">
        <f t="shared" si="18"/>
        <v>0</v>
      </c>
      <c r="G92" s="2101">
        <v>-24.6205</v>
      </c>
      <c r="H92" s="2269">
        <f t="shared" ref="H92:H96" si="20">IF(OR(F92=0,G92=0),0,F92-G92)</f>
        <v>0</v>
      </c>
      <c r="I92" s="2216">
        <f t="shared" si="19"/>
        <v>0</v>
      </c>
      <c r="J92" s="2267">
        <f>IFERROR(($F$81/($F$81+SUM(F83,F84,F86,F88,F89,F92)-F85+$G$94)-$F$81/($F$81+SUM(F83,F84,F86,F88,F89,G92)-F85+$G$94))/$H$4,0)</f>
        <v>0</v>
      </c>
      <c r="K92" s="2101">
        <v>-28.363305851</v>
      </c>
      <c r="L92" s="2101">
        <v>7.3669526433000003</v>
      </c>
      <c r="M92" s="2101">
        <v>3.1539556750000002</v>
      </c>
      <c r="N92" s="2101">
        <v>5.6203455285000006</v>
      </c>
      <c r="O92" s="2272">
        <v>7.5399374442999996</v>
      </c>
      <c r="P92" s="2272"/>
      <c r="Q92" s="2262"/>
      <c r="R92" s="2262"/>
      <c r="S92" s="2262"/>
      <c r="T92" s="2262"/>
      <c r="U92" s="2262"/>
      <c r="V92" s="2262"/>
    </row>
    <row r="93" spans="1:22" ht="15.6">
      <c r="A93" s="2182" t="s">
        <v>320</v>
      </c>
      <c r="B93" s="1850" t="s">
        <v>80</v>
      </c>
      <c r="C93" s="1837">
        <v>1334.3511000000001</v>
      </c>
      <c r="D93" s="1837">
        <f t="shared" si="13"/>
        <v>0</v>
      </c>
      <c r="E93" s="1837">
        <f t="shared" si="17"/>
        <v>0</v>
      </c>
      <c r="F93" s="2265">
        <f t="shared" si="18"/>
        <v>0</v>
      </c>
      <c r="G93" s="2101">
        <v>1334.3511000000001</v>
      </c>
      <c r="H93" s="2269">
        <f t="shared" si="20"/>
        <v>0</v>
      </c>
      <c r="I93" s="2267"/>
      <c r="J93" s="2277">
        <f>IFERROR(($F$81/($F$81+$F$93+$G$94)-$F$81/($F$81+$G$93+$G$94))/$H$4,0)</f>
        <v>0</v>
      </c>
      <c r="K93" s="2101">
        <v>1330.0414262526999</v>
      </c>
      <c r="L93" s="2101">
        <v>1332.0026774944999</v>
      </c>
      <c r="M93" s="2101">
        <v>1327.7883576592999</v>
      </c>
      <c r="N93" s="2101">
        <v>1330.2547475128001</v>
      </c>
      <c r="O93" s="2272">
        <v>1334.2531276121999</v>
      </c>
      <c r="P93" s="2272"/>
      <c r="Q93" s="2262"/>
      <c r="R93" s="2262"/>
      <c r="S93" s="2262"/>
      <c r="T93" s="2262"/>
      <c r="U93" s="2262"/>
      <c r="V93" s="2262"/>
    </row>
    <row r="94" spans="1:22" ht="15.6">
      <c r="B94" s="1849" t="s">
        <v>2189</v>
      </c>
      <c r="C94" s="2101">
        <v>0.39500000000000002</v>
      </c>
      <c r="D94" s="1837">
        <f t="shared" si="13"/>
        <v>0</v>
      </c>
      <c r="E94" s="1837">
        <f t="shared" si="17"/>
        <v>0</v>
      </c>
      <c r="F94" s="2265">
        <f t="shared" si="18"/>
        <v>0</v>
      </c>
      <c r="G94" s="2101">
        <v>0.39500000000000002</v>
      </c>
      <c r="H94" s="2269">
        <f t="shared" si="20"/>
        <v>0</v>
      </c>
      <c r="I94" s="2216">
        <f t="shared" ref="I94:I96" si="21">IFERROR(H94/G94,0)</f>
        <v>0</v>
      </c>
      <c r="J94" s="2277">
        <f>IFERROR(($F$81/($F$81+F93+F94)-$F$81/($F$81+F93+G94))/$H$4,0)</f>
        <v>0</v>
      </c>
      <c r="K94" s="2101">
        <v>0.34634228299999997</v>
      </c>
      <c r="L94" s="2101">
        <v>0.34634228299999997</v>
      </c>
      <c r="M94" s="2101">
        <v>0.34634228299999997</v>
      </c>
      <c r="N94" s="2101">
        <v>0.34634228299999997</v>
      </c>
      <c r="O94" s="2272">
        <v>0.34634228299999997</v>
      </c>
      <c r="P94" s="2272"/>
      <c r="Q94" s="2262"/>
      <c r="R94" s="2262"/>
      <c r="S94" s="2262"/>
      <c r="T94" s="2262"/>
      <c r="U94" s="2262"/>
      <c r="V94" s="2262"/>
    </row>
    <row r="95" spans="1:22" ht="15.6">
      <c r="B95" s="1902" t="s">
        <v>81</v>
      </c>
      <c r="C95" s="2191">
        <v>1334.7461000000001</v>
      </c>
      <c r="D95" s="2304">
        <f t="shared" si="13"/>
        <v>0</v>
      </c>
      <c r="E95" s="2191">
        <f t="shared" si="16"/>
        <v>0</v>
      </c>
      <c r="F95" s="2217">
        <f t="shared" si="18"/>
        <v>0</v>
      </c>
      <c r="G95" s="2191">
        <v>1334.7461000000001</v>
      </c>
      <c r="H95" s="2240">
        <f t="shared" si="20"/>
        <v>0</v>
      </c>
      <c r="I95" s="2210">
        <f t="shared" si="21"/>
        <v>0</v>
      </c>
      <c r="J95" s="2268">
        <f>IFERROR(($F$81/($F$81+$F$95)-$F$81/($F$81+$G$95))/$H$4,0)</f>
        <v>0</v>
      </c>
      <c r="K95" s="2191">
        <v>1330.3877685357002</v>
      </c>
      <c r="L95" s="2191">
        <v>1332.3490197775</v>
      </c>
      <c r="M95" s="2191">
        <v>1328.1346999422999</v>
      </c>
      <c r="N95" s="2191">
        <v>1330.6010897957999</v>
      </c>
      <c r="O95" s="2191">
        <v>1334.5994698951999</v>
      </c>
      <c r="P95" s="2275"/>
      <c r="Q95" s="2191"/>
      <c r="R95" s="2191"/>
      <c r="S95" s="2191"/>
      <c r="T95" s="2191"/>
      <c r="U95" s="2191"/>
      <c r="V95" s="2191"/>
    </row>
    <row r="96" spans="1:22" ht="15.6">
      <c r="B96" s="1902" t="s">
        <v>320</v>
      </c>
      <c r="C96" s="2191">
        <v>1920.4947</v>
      </c>
      <c r="D96" s="2304">
        <f t="shared" si="13"/>
        <v>0</v>
      </c>
      <c r="E96" s="2191">
        <f t="shared" si="16"/>
        <v>0</v>
      </c>
      <c r="F96" s="2217">
        <f t="shared" si="18"/>
        <v>0</v>
      </c>
      <c r="G96" s="2191">
        <v>1920.4947</v>
      </c>
      <c r="H96" s="2240">
        <f t="shared" si="20"/>
        <v>0</v>
      </c>
      <c r="I96" s="2210">
        <f t="shared" si="21"/>
        <v>0</v>
      </c>
      <c r="J96" s="2268"/>
      <c r="K96" s="2191">
        <v>1896.0785280567002</v>
      </c>
      <c r="L96" s="2191">
        <v>1883.1698421413</v>
      </c>
      <c r="M96" s="2191">
        <v>1888.5350573608998</v>
      </c>
      <c r="N96" s="2191">
        <v>1880.4806472861999</v>
      </c>
      <c r="O96" s="2191">
        <v>1890.9092608475</v>
      </c>
      <c r="P96" s="2275"/>
      <c r="Q96" s="2191"/>
      <c r="R96" s="2191"/>
      <c r="S96" s="2191"/>
      <c r="T96" s="2191"/>
      <c r="U96" s="2191"/>
      <c r="V96" s="2191"/>
    </row>
    <row r="97" spans="3:22" hidden="1">
      <c r="C97" s="2487" t="s">
        <v>2336</v>
      </c>
      <c r="D97" s="1837">
        <f t="shared" si="13"/>
        <v>0</v>
      </c>
      <c r="E97" s="1837" t="e">
        <f t="shared" si="16"/>
        <v>#VALUE!</v>
      </c>
      <c r="F97" s="2267"/>
      <c r="G97" s="2267"/>
      <c r="H97" s="2267"/>
      <c r="I97" s="2267"/>
      <c r="J97" s="2267"/>
      <c r="K97" s="1837">
        <v>13303877.685357001</v>
      </c>
      <c r="L97" s="1837">
        <v>13323490.197775001</v>
      </c>
      <c r="M97" s="1837">
        <v>13281346.999422999</v>
      </c>
      <c r="N97" s="1837">
        <v>13306010.897957999</v>
      </c>
      <c r="O97" s="1837">
        <v>13323490.197775001</v>
      </c>
      <c r="P97" s="2190"/>
      <c r="Q97" s="2190"/>
      <c r="R97" s="2190"/>
      <c r="S97" s="2190"/>
      <c r="T97" s="2190"/>
      <c r="U97" s="2190"/>
      <c r="V97" s="2190"/>
    </row>
    <row r="98" spans="3:22" hidden="1">
      <c r="C98" s="2488"/>
      <c r="D98" s="1837">
        <f t="shared" si="13"/>
        <v>0</v>
      </c>
      <c r="E98" s="1837" t="e">
        <f t="shared" si="16"/>
        <v>#DIV/0!</v>
      </c>
      <c r="F98" s="2267"/>
      <c r="G98" s="2267"/>
      <c r="H98" s="2267"/>
      <c r="I98" s="2267"/>
      <c r="J98" s="2267"/>
      <c r="K98" s="1837">
        <v>18960785.280567002</v>
      </c>
      <c r="L98" s="1837">
        <v>18831698.421413001</v>
      </c>
      <c r="M98" s="1837">
        <v>18885350.573608998</v>
      </c>
      <c r="N98" s="1837">
        <v>18804806.472861998</v>
      </c>
      <c r="O98" s="1837">
        <v>18831698.421413001</v>
      </c>
      <c r="P98" s="2190"/>
      <c r="Q98" s="2190"/>
      <c r="R98" s="2190"/>
      <c r="S98" s="2190"/>
      <c r="T98" s="2190"/>
      <c r="U98" s="2190"/>
      <c r="V98" s="2190"/>
    </row>
    <row r="100" spans="3:22">
      <c r="K100" s="2279">
        <f>SUM(K83:K86,K88:K89,K92)</f>
        <v>1330.0414262526999</v>
      </c>
      <c r="L100" s="2279">
        <f t="shared" ref="L100:O100" si="22">SUM(L83:L86,L88:L89,L92)</f>
        <v>1332.0026774944997</v>
      </c>
      <c r="M100" s="2279">
        <f t="shared" si="22"/>
        <v>1327.7883576592997</v>
      </c>
      <c r="N100" s="2279">
        <f t="shared" si="22"/>
        <v>1330.2547475127997</v>
      </c>
      <c r="O100" s="2279">
        <f t="shared" si="22"/>
        <v>1334.2531276121997</v>
      </c>
    </row>
    <row r="101" spans="3:22">
      <c r="K101" s="2279">
        <f>K93</f>
        <v>1330.0414262526999</v>
      </c>
      <c r="L101" s="2279">
        <f t="shared" ref="L101:O101" si="23">L93</f>
        <v>1332.0026774944999</v>
      </c>
      <c r="M101" s="2279">
        <f t="shared" si="23"/>
        <v>1327.7883576592999</v>
      </c>
      <c r="N101" s="2279">
        <f t="shared" si="23"/>
        <v>1330.2547475128001</v>
      </c>
      <c r="O101" s="2279">
        <f t="shared" si="23"/>
        <v>1334.2531276121999</v>
      </c>
    </row>
  </sheetData>
  <mergeCells count="1">
    <mergeCell ref="C97:C98"/>
  </mergeCells>
  <phoneticPr fontId="20" type="noConversion"/>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6"/>
  <dimension ref="B2:W15"/>
  <sheetViews>
    <sheetView showGridLines="0" workbookViewId="0">
      <selection activeCell="L25" sqref="L25"/>
    </sheetView>
  </sheetViews>
  <sheetFormatPr defaultRowHeight="14.4"/>
  <cols>
    <col min="1" max="1" width="2.44140625" customWidth="1"/>
    <col min="2" max="2" width="18.44140625" customWidth="1"/>
    <col min="3" max="3" width="15.44140625" customWidth="1"/>
    <col min="4" max="4" width="16.109375" customWidth="1"/>
    <col min="5" max="5" width="22.88671875" customWidth="1"/>
    <col min="6" max="6" width="11.33203125" customWidth="1"/>
    <col min="7" max="7" width="11.5546875" customWidth="1"/>
    <col min="8" max="8" width="12.44140625" customWidth="1"/>
    <col min="10" max="10" width="13.33203125" customWidth="1"/>
    <col min="11" max="22" width="10.33203125" customWidth="1"/>
  </cols>
  <sheetData>
    <row r="2" spans="2:23" s="2179" customFormat="1" ht="15.6">
      <c r="B2" s="2171" t="s">
        <v>2306</v>
      </c>
      <c r="C2" s="2172" t="s">
        <v>2307</v>
      </c>
      <c r="D2" s="2172" t="s">
        <v>2060</v>
      </c>
      <c r="E2" s="2173" t="s">
        <v>2059</v>
      </c>
      <c r="F2" s="2172" t="s">
        <v>2361</v>
      </c>
      <c r="G2" s="2172" t="s">
        <v>2343</v>
      </c>
      <c r="H2" s="2172" t="s">
        <v>2332</v>
      </c>
      <c r="I2" s="2172" t="s">
        <v>2333</v>
      </c>
      <c r="J2" s="2172" t="s">
        <v>2372</v>
      </c>
      <c r="K2" s="2172">
        <f>损益预算完成情况!M2</f>
        <v>2018.01</v>
      </c>
      <c r="L2" s="2172">
        <f>损益预算完成情况!N2</f>
        <v>2018.02</v>
      </c>
      <c r="M2" s="2172">
        <f>损益预算完成情况!O2</f>
        <v>2018.03</v>
      </c>
      <c r="N2" s="2172">
        <f>损益预算完成情况!P2</f>
        <v>2018.04</v>
      </c>
      <c r="O2" s="2172">
        <f>损益预算完成情况!Q2</f>
        <v>2018.05</v>
      </c>
      <c r="P2" s="2172">
        <f>损益预算完成情况!R2</f>
        <v>2018.06</v>
      </c>
      <c r="Q2" s="2172">
        <f>损益预算完成情况!S2</f>
        <v>2018.07</v>
      </c>
      <c r="R2" s="2172">
        <f>损益预算完成情况!T2</f>
        <v>2018.08</v>
      </c>
      <c r="S2" s="2172">
        <f>损益预算完成情况!U2</f>
        <v>2018.09</v>
      </c>
      <c r="T2" s="2172">
        <f>损益预算完成情况!V2</f>
        <v>2018.1</v>
      </c>
      <c r="U2" s="2172">
        <f>损益预算完成情况!W2</f>
        <v>2018.11</v>
      </c>
      <c r="V2" s="2172">
        <f>损益预算完成情况!X2</f>
        <v>2018.12</v>
      </c>
    </row>
    <row r="3" spans="2:23" s="2189" customFormat="1" ht="15.6">
      <c r="B3" s="2188" t="s">
        <v>257</v>
      </c>
      <c r="C3" s="2169" t="s">
        <v>2327</v>
      </c>
      <c r="D3" s="2169" t="s">
        <v>2325</v>
      </c>
      <c r="E3" s="2178" t="s">
        <v>2326</v>
      </c>
      <c r="F3" s="2178" t="s">
        <v>2375</v>
      </c>
      <c r="G3" s="2220" t="s">
        <v>2374</v>
      </c>
      <c r="H3" s="2221" t="s">
        <v>2329</v>
      </c>
      <c r="I3" s="2221" t="s">
        <v>2330</v>
      </c>
      <c r="J3" s="2221" t="s">
        <v>2373</v>
      </c>
      <c r="K3" s="2175" t="s">
        <v>2328</v>
      </c>
      <c r="L3" s="2175" t="s">
        <v>2328</v>
      </c>
      <c r="M3" s="2175" t="s">
        <v>2328</v>
      </c>
      <c r="N3" s="2175" t="s">
        <v>2328</v>
      </c>
      <c r="O3" s="2175" t="s">
        <v>2328</v>
      </c>
      <c r="P3" s="2175" t="s">
        <v>2328</v>
      </c>
      <c r="Q3" s="2175" t="s">
        <v>2328</v>
      </c>
      <c r="R3" s="2175" t="s">
        <v>2328</v>
      </c>
      <c r="S3" s="2175" t="s">
        <v>2328</v>
      </c>
      <c r="T3" s="2175" t="s">
        <v>2328</v>
      </c>
      <c r="U3" s="2175" t="s">
        <v>2328</v>
      </c>
      <c r="V3" s="2175" t="s">
        <v>2328</v>
      </c>
    </row>
    <row r="4" spans="2:23" s="2189" customFormat="1" ht="16.2">
      <c r="B4" s="2280" t="s">
        <v>2322</v>
      </c>
      <c r="C4" s="2281">
        <f>IFERROR(C5*C8*C12,0)</f>
        <v>0</v>
      </c>
      <c r="D4" s="2281">
        <f>IFERROR(D5*D8*D12,0)</f>
        <v>0</v>
      </c>
      <c r="E4" s="2299">
        <f>IFERROR(D4/C4,0)</f>
        <v>0</v>
      </c>
      <c r="F4" s="2281">
        <f>IFERROR(F5*F8*F12,0)</f>
        <v>0</v>
      </c>
      <c r="G4" s="2281">
        <f>IFERROR(G5*G8*G12,0)</f>
        <v>0</v>
      </c>
      <c r="H4" s="2282">
        <f t="shared" ref="H4:H10" si="0">F4-G4</f>
        <v>0</v>
      </c>
      <c r="I4" s="2282">
        <f t="shared" ref="I4:I10" si="1">IFERROR(H4/G4,0)</f>
        <v>0</v>
      </c>
      <c r="J4" s="2283">
        <f>IFERROR(SUM(J5,J8,J12),0)</f>
        <v>0</v>
      </c>
      <c r="K4" s="2178"/>
      <c r="L4" s="2178"/>
      <c r="M4" s="2178"/>
      <c r="N4" s="2178"/>
      <c r="O4" s="2178"/>
      <c r="P4" s="2276"/>
      <c r="Q4" s="2178"/>
      <c r="R4" s="2178"/>
      <c r="S4" s="2178"/>
      <c r="T4" s="2178"/>
      <c r="U4" s="2178"/>
      <c r="V4" s="2178"/>
      <c r="W4" s="2182"/>
    </row>
    <row r="5" spans="2:23" s="2182" customFormat="1" ht="15.6">
      <c r="B5" s="2284" t="s">
        <v>2367</v>
      </c>
      <c r="C5" s="2285">
        <f>IFERROR(C6/C7,0)</f>
        <v>0</v>
      </c>
      <c r="D5" s="2285">
        <f>IFERROR(D6/D7,0)</f>
        <v>0</v>
      </c>
      <c r="E5" s="2299">
        <f t="shared" ref="E5:E14" si="2">IFERROR(D5/C5,0)</f>
        <v>0</v>
      </c>
      <c r="F5" s="2285">
        <f>IFERROR(F6/F7,0)</f>
        <v>0</v>
      </c>
      <c r="G5" s="2285">
        <f>IFERROR(G6/G7,0)</f>
        <v>0</v>
      </c>
      <c r="H5" s="2282">
        <f t="shared" si="0"/>
        <v>0</v>
      </c>
      <c r="I5" s="2282">
        <f t="shared" si="1"/>
        <v>0</v>
      </c>
      <c r="J5" s="2286">
        <f>IFERROR((F5*G8*G12-G4)/ABS($F$4),0)</f>
        <v>0</v>
      </c>
      <c r="K5" s="2297"/>
      <c r="L5" s="2297"/>
      <c r="M5" s="2297"/>
      <c r="N5" s="2297"/>
      <c r="O5" s="2297"/>
      <c r="P5" s="2297"/>
      <c r="Q5" s="2297"/>
      <c r="R5" s="2297"/>
      <c r="S5" s="2297"/>
      <c r="T5" s="2297"/>
      <c r="U5" s="2297"/>
      <c r="V5" s="2297"/>
    </row>
    <row r="6" spans="2:23" s="2182" customFormat="1" ht="15.6">
      <c r="B6" s="2287" t="s">
        <v>2368</v>
      </c>
      <c r="C6" s="2101"/>
      <c r="D6" s="1837">
        <f>SUM(K6:V6)</f>
        <v>0</v>
      </c>
      <c r="E6" s="2299">
        <f t="shared" si="2"/>
        <v>0</v>
      </c>
      <c r="F6" s="2292">
        <f>SUM(K6:P6)</f>
        <v>0</v>
      </c>
      <c r="G6" s="2295"/>
      <c r="H6" s="2288">
        <f t="shared" si="0"/>
        <v>0</v>
      </c>
      <c r="I6" s="2282">
        <f t="shared" si="1"/>
        <v>0</v>
      </c>
      <c r="J6" s="2289">
        <f>IFERROR((F6/G7-G6/G7)/H5*J5,0)</f>
        <v>0</v>
      </c>
      <c r="K6" s="2101"/>
      <c r="L6" s="2101"/>
      <c r="M6" s="2101"/>
      <c r="N6" s="2101"/>
      <c r="O6" s="2101"/>
      <c r="P6" s="2272"/>
      <c r="Q6" s="2262"/>
      <c r="R6" s="2262"/>
      <c r="S6" s="2262"/>
      <c r="T6" s="2262"/>
      <c r="U6" s="2262"/>
      <c r="V6" s="2262"/>
    </row>
    <row r="7" spans="2:23" s="2182" customFormat="1" ht="15.6">
      <c r="B7" s="2296" t="s">
        <v>1203</v>
      </c>
      <c r="C7" s="1837">
        <f>损益预算完成情况!E5</f>
        <v>896.77070800000001</v>
      </c>
      <c r="D7" s="1837">
        <f>SUM(K7:V7)</f>
        <v>351.10908084409999</v>
      </c>
      <c r="E7" s="2299">
        <f t="shared" si="2"/>
        <v>0.39152603637907851</v>
      </c>
      <c r="F7" s="2292">
        <f>SUM(K7:P7)</f>
        <v>351.10908084409999</v>
      </c>
      <c r="G7" s="2292">
        <f>损益预算完成情况!I5</f>
        <v>448.38535399999995</v>
      </c>
      <c r="H7" s="2288">
        <f t="shared" si="0"/>
        <v>-97.276273155899958</v>
      </c>
      <c r="I7" s="2282">
        <f t="shared" si="1"/>
        <v>-0.21694792724184289</v>
      </c>
      <c r="J7" s="2290">
        <f>IFERROR((F6/F7-F6/G7)/H5*J5,0)</f>
        <v>0</v>
      </c>
      <c r="K7" s="1837">
        <f>损益预算完成情况!M5</f>
        <v>83.492232803600004</v>
      </c>
      <c r="L7" s="1837">
        <f>损益预算完成情况!N5</f>
        <v>63.925429839899998</v>
      </c>
      <c r="M7" s="1837">
        <f>损益预算完成情况!O5</f>
        <v>70.746372467100002</v>
      </c>
      <c r="N7" s="1837">
        <f>损益预算完成情况!P5</f>
        <v>63.150898991000005</v>
      </c>
      <c r="O7" s="1837">
        <f>损益预算完成情况!Q5</f>
        <v>69.794146742500004</v>
      </c>
      <c r="P7" s="1837">
        <f>损益预算完成情况!R5</f>
        <v>0</v>
      </c>
      <c r="Q7" s="1837">
        <f>损益预算完成情况!S5</f>
        <v>0</v>
      </c>
      <c r="R7" s="1837">
        <f>损益预算完成情况!T5</f>
        <v>0</v>
      </c>
      <c r="S7" s="1837">
        <f>损益预算完成情况!U5</f>
        <v>0</v>
      </c>
      <c r="T7" s="1837">
        <f>损益预算完成情况!V5</f>
        <v>0</v>
      </c>
      <c r="U7" s="1837">
        <f>损益预算完成情况!W5</f>
        <v>0</v>
      </c>
      <c r="V7" s="1837">
        <f>损益预算完成情况!X5</f>
        <v>0</v>
      </c>
    </row>
    <row r="8" spans="2:23" s="2182" customFormat="1" ht="15.6">
      <c r="B8" s="2291" t="s">
        <v>2369</v>
      </c>
      <c r="C8" s="2285">
        <f>IFERROR(C9/C10,0)</f>
        <v>0.47191415581746582</v>
      </c>
      <c r="D8" s="2285">
        <f>IFERROR(D9/D10,0)</f>
        <v>0</v>
      </c>
      <c r="E8" s="2299">
        <f t="shared" si="2"/>
        <v>0</v>
      </c>
      <c r="F8" s="2285">
        <f>IFERROR(F9/F10,0)</f>
        <v>0</v>
      </c>
      <c r="G8" s="2285">
        <f>IFERROR(G9/G10,0)</f>
        <v>0.23595707790873288</v>
      </c>
      <c r="H8" s="2282">
        <f t="shared" si="0"/>
        <v>-0.23595707790873288</v>
      </c>
      <c r="I8" s="2282">
        <f t="shared" si="1"/>
        <v>-1</v>
      </c>
      <c r="J8" s="2286">
        <f>IFERROR((F5*F8*G12-F5*G8*G12)/ABS($F$4),0)</f>
        <v>0</v>
      </c>
      <c r="K8" s="2301"/>
      <c r="L8" s="2301"/>
      <c r="M8" s="2301"/>
      <c r="N8" s="2301"/>
      <c r="O8" s="2301"/>
      <c r="P8" s="2301"/>
      <c r="Q8" s="2301"/>
      <c r="R8" s="2301"/>
      <c r="S8" s="2301"/>
      <c r="T8" s="2301"/>
      <c r="U8" s="2301"/>
      <c r="V8" s="2301"/>
    </row>
    <row r="9" spans="2:23" s="2182" customFormat="1" ht="15.6">
      <c r="B9" s="2296" t="s">
        <v>1203</v>
      </c>
      <c r="C9" s="2292">
        <f>C7</f>
        <v>896.77070800000001</v>
      </c>
      <c r="D9" s="2292">
        <f>D7</f>
        <v>351.10908084409999</v>
      </c>
      <c r="E9" s="2299">
        <f t="shared" si="2"/>
        <v>0.39152603637907851</v>
      </c>
      <c r="F9" s="2292">
        <f>F7</f>
        <v>351.10908084409999</v>
      </c>
      <c r="G9" s="2292">
        <f>G7</f>
        <v>448.38535399999995</v>
      </c>
      <c r="H9" s="2288">
        <f t="shared" si="0"/>
        <v>-97.276273155899958</v>
      </c>
      <c r="I9" s="2282">
        <f t="shared" si="1"/>
        <v>-0.21694792724184289</v>
      </c>
      <c r="J9" s="2289">
        <f>IFERROR((F9/G10-G9/G10)/H8*J8,0)</f>
        <v>0</v>
      </c>
      <c r="K9" s="2267">
        <f>K7</f>
        <v>83.492232803600004</v>
      </c>
      <c r="L9" s="2267">
        <f t="shared" ref="L9:V9" si="3">L7</f>
        <v>63.925429839899998</v>
      </c>
      <c r="M9" s="2267">
        <f t="shared" si="3"/>
        <v>70.746372467100002</v>
      </c>
      <c r="N9" s="2267">
        <f t="shared" si="3"/>
        <v>63.150898991000005</v>
      </c>
      <c r="O9" s="2267">
        <f t="shared" si="3"/>
        <v>69.794146742500004</v>
      </c>
      <c r="P9" s="2267">
        <f t="shared" si="3"/>
        <v>0</v>
      </c>
      <c r="Q9" s="2267">
        <f t="shared" si="3"/>
        <v>0</v>
      </c>
      <c r="R9" s="2267">
        <f t="shared" si="3"/>
        <v>0</v>
      </c>
      <c r="S9" s="2267">
        <f t="shared" si="3"/>
        <v>0</v>
      </c>
      <c r="T9" s="2267">
        <f t="shared" si="3"/>
        <v>0</v>
      </c>
      <c r="U9" s="2267">
        <f t="shared" si="3"/>
        <v>0</v>
      </c>
      <c r="V9" s="2267">
        <f t="shared" si="3"/>
        <v>0</v>
      </c>
    </row>
    <row r="10" spans="2:23" s="2182" customFormat="1" ht="15.6">
      <c r="B10" s="2296" t="s">
        <v>2370</v>
      </c>
      <c r="C10" s="2267">
        <f>AVERAGE(资产负债预算完成情况!C50,资产负债表!F31)</f>
        <v>1900.28355145775</v>
      </c>
      <c r="D10" s="2267">
        <f>IF(V11=0,0,AVERAGE(V11,资产负债表!F31))</f>
        <v>0</v>
      </c>
      <c r="E10" s="2299">
        <f t="shared" si="2"/>
        <v>0</v>
      </c>
      <c r="F10" s="2292">
        <f>IF(P11=0,0,AVERAGE(P11,资产负债表!$F$31))</f>
        <v>0</v>
      </c>
      <c r="G10" s="2292">
        <f>AVERAGE(资产负债预算完成情况!G50,资产负债表!F31)</f>
        <v>1900.28355145775</v>
      </c>
      <c r="H10" s="2288">
        <f t="shared" si="0"/>
        <v>-1900.28355145775</v>
      </c>
      <c r="I10" s="2282">
        <f t="shared" si="1"/>
        <v>-1</v>
      </c>
      <c r="J10" s="2290">
        <f>IFERROR((F9/F10-F9/G10)/H8*J8,0)</f>
        <v>0</v>
      </c>
      <c r="K10" s="2302"/>
      <c r="L10" s="2302"/>
      <c r="M10" s="2302"/>
      <c r="N10" s="2302"/>
      <c r="O10" s="2302"/>
      <c r="P10" s="2302"/>
      <c r="Q10" s="2302"/>
      <c r="R10" s="2302"/>
      <c r="S10" s="2302"/>
      <c r="T10" s="2302"/>
      <c r="U10" s="2302"/>
      <c r="V10" s="2302"/>
    </row>
    <row r="11" spans="2:23" s="2182" customFormat="1" ht="15.6">
      <c r="B11" s="2296" t="s">
        <v>1204</v>
      </c>
      <c r="C11" s="2267"/>
      <c r="D11" s="2267"/>
      <c r="E11" s="2299"/>
      <c r="F11" s="2292"/>
      <c r="G11" s="2292"/>
      <c r="H11" s="2288"/>
      <c r="I11" s="2282"/>
      <c r="J11" s="2290"/>
      <c r="K11" s="2267">
        <f>资产负债预算完成情况!K50</f>
        <v>1896.0785280567002</v>
      </c>
      <c r="L11" s="2267">
        <f>资产负债预算完成情况!L50</f>
        <v>1883.1698421413</v>
      </c>
      <c r="M11" s="2267">
        <f>资产负债预算完成情况!M50</f>
        <v>1888.5350573608998</v>
      </c>
      <c r="N11" s="2267">
        <f>资产负债预算完成情况!N50</f>
        <v>1880.4806472861999</v>
      </c>
      <c r="O11" s="2267">
        <f>资产负债预算完成情况!O50</f>
        <v>1890.9092608475</v>
      </c>
      <c r="P11" s="2267">
        <f>资产负债预算完成情况!P50</f>
        <v>0</v>
      </c>
      <c r="Q11" s="2267">
        <f>资产负债预算完成情况!Q50</f>
        <v>0</v>
      </c>
      <c r="R11" s="2267">
        <f>资产负债预算完成情况!R50</f>
        <v>0</v>
      </c>
      <c r="S11" s="2267">
        <f>资产负债预算完成情况!S50</f>
        <v>0</v>
      </c>
      <c r="T11" s="2267">
        <f>资产负债预算完成情况!T50</f>
        <v>0</v>
      </c>
      <c r="U11" s="2267">
        <f>资产负债预算完成情况!U50</f>
        <v>0</v>
      </c>
      <c r="V11" s="2267">
        <f>资产负债预算完成情况!V50</f>
        <v>0</v>
      </c>
    </row>
    <row r="12" spans="2:23" s="2182" customFormat="1" ht="15.6">
      <c r="B12" s="2291" t="s">
        <v>2371</v>
      </c>
      <c r="C12" s="2298">
        <f>IFERROR(C13/C14,0)</f>
        <v>1.428514355775852</v>
      </c>
      <c r="D12" s="2293">
        <f>IFERROR(D13/D14,0)</f>
        <v>0</v>
      </c>
      <c r="E12" s="2299">
        <f t="shared" si="2"/>
        <v>0</v>
      </c>
      <c r="F12" s="2293">
        <f>IFERROR(F13/F14,0)</f>
        <v>0</v>
      </c>
      <c r="G12" s="2293">
        <f>IFERROR(G13/G14,0)</f>
        <v>1.428514355775852</v>
      </c>
      <c r="H12" s="2282">
        <f>F12-G12</f>
        <v>-1.428514355775852</v>
      </c>
      <c r="I12" s="2282">
        <f>IFERROR(H12/G12,0)</f>
        <v>-1</v>
      </c>
      <c r="J12" s="2286">
        <f>IFERROR((F4-F5*F8*G12)/ABS($F$4),0)</f>
        <v>0</v>
      </c>
      <c r="K12" s="2301"/>
      <c r="L12" s="2301"/>
      <c r="M12" s="2301"/>
      <c r="N12" s="2301"/>
      <c r="O12" s="2301"/>
      <c r="P12" s="2301"/>
      <c r="Q12" s="2301"/>
      <c r="R12" s="2301"/>
      <c r="S12" s="2301"/>
      <c r="T12" s="2301"/>
      <c r="U12" s="2301"/>
      <c r="V12" s="2301"/>
    </row>
    <row r="13" spans="2:23" s="2182" customFormat="1" ht="15.6">
      <c r="B13" s="2296" t="s">
        <v>2370</v>
      </c>
      <c r="C13" s="2292">
        <f>C10</f>
        <v>1900.28355145775</v>
      </c>
      <c r="D13" s="2292">
        <f>D10</f>
        <v>0</v>
      </c>
      <c r="E13" s="2299">
        <f t="shared" si="2"/>
        <v>0</v>
      </c>
      <c r="F13" s="2292">
        <f>F10</f>
        <v>0</v>
      </c>
      <c r="G13" s="2292">
        <f>G10</f>
        <v>1900.28355145775</v>
      </c>
      <c r="H13" s="2288">
        <f>F13-G13</f>
        <v>-1900.28355145775</v>
      </c>
      <c r="I13" s="2282">
        <f>IFERROR(H13/G13,0)</f>
        <v>-1</v>
      </c>
      <c r="J13" s="2289">
        <f>IFERROR((F13/G14-G13/G14)/H12*J12,0)</f>
        <v>0</v>
      </c>
      <c r="K13" s="2267">
        <f t="shared" ref="K13:V13" si="4">K11</f>
        <v>1896.0785280567002</v>
      </c>
      <c r="L13" s="2267">
        <f t="shared" si="4"/>
        <v>1883.1698421413</v>
      </c>
      <c r="M13" s="2267">
        <f t="shared" si="4"/>
        <v>1888.5350573608998</v>
      </c>
      <c r="N13" s="2267">
        <f t="shared" si="4"/>
        <v>1880.4806472861999</v>
      </c>
      <c r="O13" s="2267">
        <f t="shared" si="4"/>
        <v>1890.9092608475</v>
      </c>
      <c r="P13" s="2267">
        <f t="shared" si="4"/>
        <v>0</v>
      </c>
      <c r="Q13" s="2267">
        <f t="shared" si="4"/>
        <v>0</v>
      </c>
      <c r="R13" s="2267">
        <f t="shared" si="4"/>
        <v>0</v>
      </c>
      <c r="S13" s="2267">
        <f t="shared" si="4"/>
        <v>0</v>
      </c>
      <c r="T13" s="2267">
        <f t="shared" si="4"/>
        <v>0</v>
      </c>
      <c r="U13" s="2267">
        <f t="shared" si="4"/>
        <v>0</v>
      </c>
      <c r="V13" s="2267">
        <f t="shared" si="4"/>
        <v>0</v>
      </c>
    </row>
    <row r="14" spans="2:23" s="2182" customFormat="1" ht="15.6">
      <c r="B14" s="2296" t="s">
        <v>1427</v>
      </c>
      <c r="C14" s="2267">
        <f>AVERAGE(资产负债预算完成情况!C95,资产负债表!F65)</f>
        <v>1330.2516308459999</v>
      </c>
      <c r="D14" s="2267">
        <f>IF(V15=0,0,AVERAGE(V15,资产负债表!F65))</f>
        <v>0</v>
      </c>
      <c r="E14" s="2299">
        <f t="shared" si="2"/>
        <v>0</v>
      </c>
      <c r="F14" s="2292">
        <f>IF(P15=0,0,AVERAGE(P15,资产负债表!F65))</f>
        <v>0</v>
      </c>
      <c r="G14" s="2292">
        <f>AVERAGE(资产负债预算完成情况!G95,资产负债表!F65)</f>
        <v>1330.2516308459999</v>
      </c>
      <c r="H14" s="2288">
        <f>F14-G14</f>
        <v>-1330.2516308459999</v>
      </c>
      <c r="I14" s="2282">
        <f>IFERROR(H14/G14,0)</f>
        <v>-1</v>
      </c>
      <c r="J14" s="2294">
        <f>IFERROR((F13/F14-F13/G14)/H12*J12,0)</f>
        <v>0</v>
      </c>
      <c r="K14" s="2302"/>
      <c r="L14" s="2302"/>
      <c r="M14" s="2302"/>
      <c r="N14" s="2302"/>
      <c r="O14" s="2302"/>
      <c r="P14" s="2302"/>
      <c r="Q14" s="2302"/>
      <c r="R14" s="2302"/>
      <c r="S14" s="2302"/>
      <c r="T14" s="2302"/>
      <c r="U14" s="2302"/>
      <c r="V14" s="2302"/>
    </row>
    <row r="15" spans="2:23" ht="15.6">
      <c r="B15" s="2296" t="s">
        <v>1741</v>
      </c>
      <c r="C15" s="2300"/>
      <c r="D15" s="2300"/>
      <c r="E15" s="2300"/>
      <c r="F15" s="2300"/>
      <c r="G15" s="2300"/>
      <c r="H15" s="2300"/>
      <c r="I15" s="2300"/>
      <c r="J15" s="2300"/>
      <c r="K15" s="2267">
        <f>资产负债预算完成情况!K95</f>
        <v>1330.3877685357002</v>
      </c>
      <c r="L15" s="2267">
        <f>资产负债预算完成情况!L95</f>
        <v>1332.3490197775</v>
      </c>
      <c r="M15" s="2267">
        <f>资产负债预算完成情况!M95</f>
        <v>1328.1346999422999</v>
      </c>
      <c r="N15" s="2267">
        <f>资产负债预算完成情况!N95</f>
        <v>1330.6010897957999</v>
      </c>
      <c r="O15" s="2267">
        <f>资产负债预算完成情况!O95</f>
        <v>1334.5994698951999</v>
      </c>
      <c r="P15" s="2267">
        <f>资产负债预算完成情况!P95</f>
        <v>0</v>
      </c>
      <c r="Q15" s="2267">
        <f>资产负债预算完成情况!Q95</f>
        <v>0</v>
      </c>
      <c r="R15" s="2267">
        <f>资产负债预算完成情况!R95</f>
        <v>0</v>
      </c>
      <c r="S15" s="2267">
        <f>资产负债预算完成情况!S95</f>
        <v>0</v>
      </c>
      <c r="T15" s="2267">
        <f>资产负债预算完成情况!T95</f>
        <v>0</v>
      </c>
      <c r="U15" s="2267">
        <f>资产负债预算完成情况!U95</f>
        <v>0</v>
      </c>
      <c r="V15" s="2267">
        <f>资产负债预算完成情况!V95</f>
        <v>0</v>
      </c>
    </row>
  </sheetData>
  <phoneticPr fontId="20"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2"/>
  <dimension ref="A1:F117"/>
  <sheetViews>
    <sheetView showGridLines="0" workbookViewId="0">
      <pane xSplit="2" ySplit="2" topLeftCell="C39" activePane="bottomRight" state="frozen"/>
      <selection activeCell="B3" sqref="B3"/>
      <selection pane="topRight" activeCell="B3" sqref="B3"/>
      <selection pane="bottomLeft" activeCell="B3" sqref="B3"/>
      <selection pane="bottomRight" activeCell="D52" sqref="D52"/>
    </sheetView>
  </sheetViews>
  <sheetFormatPr defaultColWidth="9" defaultRowHeight="15"/>
  <cols>
    <col min="1" max="1" width="9.21875" style="1372" bestFit="1" customWidth="1"/>
    <col min="2" max="2" width="43.109375" style="1372" customWidth="1"/>
    <col min="3" max="3" width="12.109375" style="1399" customWidth="1"/>
    <col min="4" max="4" width="16.109375" style="1372" bestFit="1" customWidth="1"/>
    <col min="5" max="5" width="15" style="1372" bestFit="1" customWidth="1"/>
    <col min="6" max="6" width="13.88671875" style="1372" bestFit="1" customWidth="1"/>
    <col min="7" max="16384" width="9" style="1372"/>
  </cols>
  <sheetData>
    <row r="1" spans="2:6" ht="15.6" thickBot="1"/>
    <row r="2" spans="2:6" ht="15.6">
      <c r="B2" s="1570" t="s">
        <v>1937</v>
      </c>
      <c r="C2" s="1640" t="s">
        <v>1931</v>
      </c>
      <c r="D2" s="1571" t="s">
        <v>32</v>
      </c>
      <c r="E2" s="1571" t="s">
        <v>1932</v>
      </c>
      <c r="F2" s="1572" t="s">
        <v>1933</v>
      </c>
    </row>
    <row r="3" spans="2:6" ht="15.6">
      <c r="B3" s="1573" t="s">
        <v>1930</v>
      </c>
      <c r="C3" s="1641"/>
      <c r="D3" s="1190"/>
      <c r="E3" s="1190"/>
      <c r="F3" s="1574"/>
    </row>
    <row r="4" spans="2:6" ht="15.6">
      <c r="B4" s="1575" t="s">
        <v>298</v>
      </c>
      <c r="C4" s="1639">
        <v>896.77070799999979</v>
      </c>
      <c r="D4" s="1527">
        <f>损益表!G4</f>
        <v>890.25524394621448</v>
      </c>
      <c r="E4" s="1527">
        <f>D4-C4</f>
        <v>-6.5154640537853084</v>
      </c>
      <c r="F4" s="1576">
        <f>IFERROR(E4/C4,0)</f>
        <v>-7.2654737667739592E-3</v>
      </c>
    </row>
    <row r="5" spans="2:6" ht="15.6">
      <c r="B5" s="1577" t="s">
        <v>44</v>
      </c>
      <c r="C5" s="1639">
        <v>866.48928367999997</v>
      </c>
      <c r="D5" s="1527">
        <f ca="1">损益表!G5</f>
        <v>859.81985121847856</v>
      </c>
      <c r="E5" s="1527">
        <f t="shared" ref="E5:E22" ca="1" si="0">D5-C5</f>
        <v>-6.66943246152141</v>
      </c>
      <c r="F5" s="1576">
        <f t="shared" ref="F5:F22" ca="1" si="1">IFERROR(E5/C5,0)</f>
        <v>-7.6970743748799482E-3</v>
      </c>
    </row>
    <row r="6" spans="2:6">
      <c r="B6" s="1578" t="s">
        <v>583</v>
      </c>
      <c r="C6" s="1639">
        <v>858.84928367999998</v>
      </c>
      <c r="D6" s="1527">
        <f ca="1">损益表!G6</f>
        <v>852.13186448465535</v>
      </c>
      <c r="E6" s="1527">
        <f t="shared" ca="1" si="0"/>
        <v>-6.7174191953446325</v>
      </c>
      <c r="F6" s="1576">
        <f t="shared" ca="1" si="1"/>
        <v>-7.8214179402488586E-3</v>
      </c>
    </row>
    <row r="7" spans="2:6">
      <c r="B7" s="1578" t="s">
        <v>351</v>
      </c>
      <c r="C7" s="1639">
        <v>6.117</v>
      </c>
      <c r="D7" s="1527">
        <f>损益表!G7</f>
        <v>6.1625687160459783</v>
      </c>
      <c r="E7" s="1527">
        <f t="shared" si="0"/>
        <v>4.5568716045978341E-2</v>
      </c>
      <c r="F7" s="1576">
        <f t="shared" si="1"/>
        <v>7.4495203606307573E-3</v>
      </c>
    </row>
    <row r="8" spans="2:6">
      <c r="B8" s="1578" t="s">
        <v>334</v>
      </c>
      <c r="C8" s="1639">
        <v>0.73309999999999997</v>
      </c>
      <c r="D8" s="1527">
        <f>损益表!G8</f>
        <v>0.70669076236000006</v>
      </c>
      <c r="E8" s="1527">
        <f t="shared" si="0"/>
        <v>-2.6409237639999916E-2</v>
      </c>
      <c r="F8" s="1576">
        <f t="shared" si="1"/>
        <v>-3.6024058982403379E-2</v>
      </c>
    </row>
    <row r="9" spans="2:6">
      <c r="B9" s="1578" t="s">
        <v>61</v>
      </c>
      <c r="C9" s="1639">
        <v>1.5025999999999999</v>
      </c>
      <c r="D9" s="1527">
        <f>损益表!G9</f>
        <v>1.7260255686577797</v>
      </c>
      <c r="E9" s="1527">
        <f t="shared" si="0"/>
        <v>0.22342556865777974</v>
      </c>
      <c r="F9" s="1576">
        <f t="shared" si="1"/>
        <v>0.14869264518686259</v>
      </c>
    </row>
    <row r="10" spans="2:6">
      <c r="B10" s="1578" t="s">
        <v>341</v>
      </c>
      <c r="C10" s="1639">
        <v>-0.72770000000000001</v>
      </c>
      <c r="D10" s="1527">
        <f ca="1">损益表!G10</f>
        <v>-0.93587504064049842</v>
      </c>
      <c r="E10" s="1527">
        <f t="shared" ca="1" si="0"/>
        <v>-0.20817504064049841</v>
      </c>
      <c r="F10" s="1576">
        <f t="shared" ca="1" si="1"/>
        <v>0.28607261322041833</v>
      </c>
    </row>
    <row r="11" spans="2:6">
      <c r="B11" s="1579" t="s">
        <v>63</v>
      </c>
      <c r="C11" s="1639">
        <v>1.4999999999999999E-2</v>
      </c>
      <c r="D11" s="1527">
        <f>损益表!G11</f>
        <v>2.8576727400000002E-2</v>
      </c>
      <c r="E11" s="1527">
        <f t="shared" si="0"/>
        <v>1.3576727400000002E-2</v>
      </c>
      <c r="F11" s="1576">
        <f t="shared" si="1"/>
        <v>0.90511516000000014</v>
      </c>
    </row>
    <row r="12" spans="2:6">
      <c r="B12" s="1579" t="s">
        <v>346</v>
      </c>
      <c r="C12" s="1639">
        <v>0</v>
      </c>
      <c r="D12" s="1527">
        <f>损益表!G12</f>
        <v>0</v>
      </c>
      <c r="E12" s="1527">
        <f t="shared" si="0"/>
        <v>0</v>
      </c>
      <c r="F12" s="1576">
        <f t="shared" si="1"/>
        <v>0</v>
      </c>
    </row>
    <row r="13" spans="2:6">
      <c r="B13" s="1579" t="s">
        <v>350</v>
      </c>
      <c r="C13" s="1639">
        <v>0.77080000000000004</v>
      </c>
      <c r="D13" s="1527">
        <f>损益表!G13</f>
        <v>1.093034816178674</v>
      </c>
      <c r="E13" s="1527">
        <f t="shared" si="0"/>
        <v>0.322234816178674</v>
      </c>
      <c r="F13" s="1576">
        <f t="shared" si="1"/>
        <v>0.41805243406677994</v>
      </c>
    </row>
    <row r="14" spans="2:6">
      <c r="B14" s="1579" t="s">
        <v>1161</v>
      </c>
      <c r="C14" s="1639">
        <v>2.5638999999999998</v>
      </c>
      <c r="D14" s="1527">
        <f>损益表!G14</f>
        <v>2</v>
      </c>
      <c r="E14" s="1527">
        <f t="shared" si="0"/>
        <v>-0.56389999999999985</v>
      </c>
      <c r="F14" s="1576">
        <f t="shared" si="1"/>
        <v>-0.21993837513163536</v>
      </c>
    </row>
    <row r="15" spans="2:6" ht="15.6">
      <c r="B15" s="1580" t="s">
        <v>45</v>
      </c>
      <c r="C15" s="1639">
        <v>33.616124319999848</v>
      </c>
      <c r="D15" s="1527">
        <f ca="1">损益表!G15</f>
        <v>33.528427543914589</v>
      </c>
      <c r="E15" s="1527">
        <f t="shared" ca="1" si="0"/>
        <v>-8.7696776085259387E-2</v>
      </c>
      <c r="F15" s="1576">
        <f t="shared" ca="1" si="1"/>
        <v>-2.6087711733349451E-3</v>
      </c>
    </row>
    <row r="16" spans="2:6">
      <c r="B16" s="1579" t="s">
        <v>392</v>
      </c>
      <c r="C16" s="1639">
        <v>1.1835</v>
      </c>
      <c r="D16" s="1527">
        <f>损益表!G16</f>
        <v>1.1835</v>
      </c>
      <c r="E16" s="1527">
        <f t="shared" si="0"/>
        <v>0</v>
      </c>
      <c r="F16" s="1576">
        <f t="shared" si="1"/>
        <v>0</v>
      </c>
    </row>
    <row r="17" spans="1:6" ht="15.6" thickBot="1">
      <c r="B17" s="1581" t="s">
        <v>393</v>
      </c>
      <c r="C17" s="1639">
        <v>3.3327</v>
      </c>
      <c r="D17" s="1527">
        <f>损益表!G17</f>
        <v>3.3327</v>
      </c>
      <c r="E17" s="1527">
        <f t="shared" si="0"/>
        <v>0</v>
      </c>
      <c r="F17" s="1576">
        <f t="shared" si="1"/>
        <v>0</v>
      </c>
    </row>
    <row r="18" spans="1:6" ht="15.6">
      <c r="B18" s="1582" t="s">
        <v>46</v>
      </c>
      <c r="C18" s="1639">
        <v>31.466924319999851</v>
      </c>
      <c r="D18" s="1527">
        <f ca="1">损益表!G18</f>
        <v>31.379227543914592</v>
      </c>
      <c r="E18" s="1527">
        <f t="shared" ca="1" si="0"/>
        <v>-8.7696776085259387E-2</v>
      </c>
      <c r="F18" s="1576">
        <f t="shared" ca="1" si="1"/>
        <v>-2.7869509963362E-3</v>
      </c>
    </row>
    <row r="19" spans="1:6">
      <c r="B19" s="1579" t="s">
        <v>66</v>
      </c>
      <c r="C19" s="1639"/>
      <c r="D19" s="1527">
        <f ca="1">损益表!G19</f>
        <v>7.8448068859786479</v>
      </c>
      <c r="E19" s="1527">
        <f t="shared" ca="1" si="0"/>
        <v>7.8448068859786479</v>
      </c>
      <c r="F19" s="1576">
        <f t="shared" ca="1" si="1"/>
        <v>0</v>
      </c>
    </row>
    <row r="20" spans="1:6" ht="15.6">
      <c r="B20" s="1580" t="s">
        <v>47</v>
      </c>
      <c r="C20" s="1639"/>
      <c r="D20" s="1527">
        <f ca="1">损益表!G20</f>
        <v>23.534420657935943</v>
      </c>
      <c r="E20" s="1527">
        <f t="shared" ca="1" si="0"/>
        <v>23.534420657935943</v>
      </c>
      <c r="F20" s="1576">
        <f t="shared" ca="1" si="1"/>
        <v>0</v>
      </c>
    </row>
    <row r="21" spans="1:6">
      <c r="B21" s="1578" t="s">
        <v>400</v>
      </c>
      <c r="C21" s="1639"/>
      <c r="D21" s="1527">
        <f ca="1">损益表!G21</f>
        <v>23.522504853411061</v>
      </c>
      <c r="E21" s="1527">
        <f t="shared" ca="1" si="0"/>
        <v>23.522504853411061</v>
      </c>
      <c r="F21" s="1576">
        <f t="shared" ca="1" si="1"/>
        <v>0</v>
      </c>
    </row>
    <row r="22" spans="1:6">
      <c r="B22" s="1578" t="s">
        <v>349</v>
      </c>
      <c r="C22" s="1639"/>
      <c r="D22" s="1527">
        <f ca="1">损益表!G22</f>
        <v>1.1915804524883371E-2</v>
      </c>
      <c r="E22" s="1527">
        <f t="shared" ca="1" si="0"/>
        <v>1.1915804524883371E-2</v>
      </c>
      <c r="F22" s="1576">
        <f t="shared" ca="1" si="1"/>
        <v>0</v>
      </c>
    </row>
    <row r="23" spans="1:6" ht="15.6">
      <c r="B23" s="1573" t="s">
        <v>1934</v>
      </c>
      <c r="C23" s="1642"/>
      <c r="D23" s="1583"/>
      <c r="E23" s="1583"/>
      <c r="F23" s="1584"/>
    </row>
    <row r="24" spans="1:6" ht="15.6">
      <c r="B24" s="1585" t="s">
        <v>384</v>
      </c>
      <c r="C24" s="1639"/>
      <c r="D24" s="1527">
        <f>资产负债表!G5</f>
        <v>0</v>
      </c>
      <c r="E24" s="1527">
        <f t="shared" ref="E24" si="2">D24-C24</f>
        <v>0</v>
      </c>
      <c r="F24" s="1576">
        <f t="shared" ref="F24" si="3">IFERROR(E24/C24,0)</f>
        <v>0</v>
      </c>
    </row>
    <row r="25" spans="1:6">
      <c r="B25" s="1586" t="s">
        <v>331</v>
      </c>
      <c r="C25" s="1639">
        <v>162.44456</v>
      </c>
      <c r="D25" s="1527">
        <f ca="1">资产负债表!G6</f>
        <v>219.77373745139934</v>
      </c>
      <c r="E25" s="1527">
        <f t="shared" ref="E25:E82" ca="1" si="4">D25-C25</f>
        <v>57.329177451399346</v>
      </c>
      <c r="F25" s="1576">
        <f t="shared" ref="F25:F82" ca="1" si="5">IFERROR(E25/C25,0)</f>
        <v>0.35291534201822056</v>
      </c>
    </row>
    <row r="26" spans="1:6">
      <c r="B26" s="1587" t="s">
        <v>335</v>
      </c>
      <c r="C26" s="1639">
        <v>3.7429999999999999</v>
      </c>
      <c r="D26" s="1527">
        <f>资产负债表!G7</f>
        <v>4.7765012627091714</v>
      </c>
      <c r="E26" s="1527">
        <f t="shared" si="4"/>
        <v>1.0335012627091715</v>
      </c>
      <c r="F26" s="1576">
        <f t="shared" si="5"/>
        <v>0.27611575279432848</v>
      </c>
    </row>
    <row r="27" spans="1:6">
      <c r="B27" s="1587" t="s">
        <v>160</v>
      </c>
      <c r="C27" s="1639">
        <v>2.8487</v>
      </c>
      <c r="D27" s="1527">
        <f>资产负债表!G8</f>
        <v>2.7016746359372865</v>
      </c>
      <c r="E27" s="1527">
        <f t="shared" si="4"/>
        <v>-0.14702536406271349</v>
      </c>
      <c r="F27" s="1576">
        <f t="shared" si="5"/>
        <v>-5.1611389076671288E-2</v>
      </c>
    </row>
    <row r="28" spans="1:6">
      <c r="B28" s="1587" t="s">
        <v>9</v>
      </c>
      <c r="C28" s="1639">
        <v>24.709700000000002</v>
      </c>
      <c r="D28" s="1527">
        <f>资产负债表!G9</f>
        <v>24.709700000000002</v>
      </c>
      <c r="E28" s="1527">
        <f t="shared" si="4"/>
        <v>0</v>
      </c>
      <c r="F28" s="1576">
        <f t="shared" si="5"/>
        <v>0</v>
      </c>
    </row>
    <row r="29" spans="1:6">
      <c r="B29" s="1587" t="s">
        <v>8</v>
      </c>
      <c r="C29" s="1639">
        <v>4.9366000000000003</v>
      </c>
      <c r="D29" s="1527">
        <f>资产负债表!G10</f>
        <v>4.2907824513775354</v>
      </c>
      <c r="E29" s="1527">
        <f t="shared" si="4"/>
        <v>-0.64581754862246488</v>
      </c>
      <c r="F29" s="1576">
        <f t="shared" si="5"/>
        <v>-0.1308223369571091</v>
      </c>
    </row>
    <row r="30" spans="1:6">
      <c r="B30" s="1587" t="s">
        <v>161</v>
      </c>
      <c r="C30" s="1639">
        <v>0.37</v>
      </c>
      <c r="D30" s="1527">
        <f>资产负债表!G12</f>
        <v>0.34329129609999998</v>
      </c>
      <c r="E30" s="1527">
        <f t="shared" si="4"/>
        <v>-2.6708703900000019E-2</v>
      </c>
      <c r="F30" s="1576">
        <f t="shared" si="5"/>
        <v>-7.2185686216216266E-2</v>
      </c>
    </row>
    <row r="31" spans="1:6" ht="15.6">
      <c r="A31" s="1399">
        <f>SUM(C25:C30)</f>
        <v>199.05256</v>
      </c>
      <c r="B31" s="1588" t="s">
        <v>315</v>
      </c>
      <c r="C31" s="1639">
        <f>SUM(C25:C30)</f>
        <v>199.05256</v>
      </c>
      <c r="D31" s="1527">
        <f ca="1">资产负债表!G13</f>
        <v>285.5956870975233</v>
      </c>
      <c r="E31" s="1527">
        <f t="shared" ca="1" si="4"/>
        <v>86.543127097523296</v>
      </c>
      <c r="F31" s="1576">
        <f t="shared" ca="1" si="5"/>
        <v>0.43477525281525292</v>
      </c>
    </row>
    <row r="32" spans="1:6" ht="15.6">
      <c r="B32" s="1589" t="s">
        <v>385</v>
      </c>
      <c r="C32" s="1639"/>
      <c r="D32" s="1527">
        <f>资产负债表!G14</f>
        <v>0</v>
      </c>
      <c r="E32" s="1527">
        <f t="shared" si="4"/>
        <v>0</v>
      </c>
      <c r="F32" s="1576">
        <f t="shared" si="5"/>
        <v>0</v>
      </c>
    </row>
    <row r="33" spans="1:6">
      <c r="B33" s="1590" t="s">
        <v>132</v>
      </c>
      <c r="C33" s="1639">
        <v>7.0469999999999997</v>
      </c>
      <c r="D33" s="1527">
        <f>资产负债表!G15</f>
        <v>7.3066723538233935</v>
      </c>
      <c r="E33" s="1527">
        <f t="shared" si="4"/>
        <v>0.25967235382339382</v>
      </c>
      <c r="F33" s="1576">
        <f t="shared" si="5"/>
        <v>3.6848638260734187E-2</v>
      </c>
    </row>
    <row r="34" spans="1:6">
      <c r="B34" s="1590" t="s">
        <v>27</v>
      </c>
      <c r="C34" s="1639">
        <v>2</v>
      </c>
      <c r="D34" s="1527">
        <f>资产负债表!G16</f>
        <v>2.0410044917094154</v>
      </c>
      <c r="E34" s="1527">
        <f t="shared" si="4"/>
        <v>4.1004491709415447E-2</v>
      </c>
      <c r="F34" s="1576">
        <f t="shared" si="5"/>
        <v>2.0502245854707724E-2</v>
      </c>
    </row>
    <row r="35" spans="1:6">
      <c r="B35" s="1590" t="s">
        <v>99</v>
      </c>
      <c r="C35" s="1639">
        <v>20.672599999999999</v>
      </c>
      <c r="D35" s="1527">
        <f>资产负债表!G17</f>
        <v>20.342762478173448</v>
      </c>
      <c r="E35" s="1527">
        <f t="shared" si="4"/>
        <v>-0.32983752182655124</v>
      </c>
      <c r="F35" s="1576">
        <f t="shared" si="5"/>
        <v>-1.5955299373400116E-2</v>
      </c>
    </row>
    <row r="36" spans="1:6">
      <c r="B36" s="1644" t="s">
        <v>1966</v>
      </c>
      <c r="C36" s="1639">
        <v>0.73050000000000004</v>
      </c>
      <c r="D36" s="1527"/>
      <c r="E36" s="1527"/>
      <c r="F36" s="1576"/>
    </row>
    <row r="37" spans="1:6">
      <c r="B37" s="1590" t="s">
        <v>338</v>
      </c>
      <c r="C37" s="1639">
        <v>3168.0302999999999</v>
      </c>
      <c r="D37" s="1527">
        <f ca="1">资产负债表!G19</f>
        <v>3186.0830323173905</v>
      </c>
      <c r="E37" s="1527">
        <f t="shared" ca="1" si="4"/>
        <v>18.052732317390564</v>
      </c>
      <c r="F37" s="1576">
        <f t="shared" ca="1" si="5"/>
        <v>5.6984089821964659E-3</v>
      </c>
    </row>
    <row r="38" spans="1:6">
      <c r="B38" s="1590" t="s">
        <v>1054</v>
      </c>
      <c r="C38" s="1639">
        <v>1733.1871000000001</v>
      </c>
      <c r="D38" s="1527">
        <f ca="1">资产负债表!G20</f>
        <v>1748.1864574411106</v>
      </c>
      <c r="E38" s="1527">
        <f t="shared" ca="1" si="4"/>
        <v>14.999357441110533</v>
      </c>
      <c r="F38" s="1576">
        <f t="shared" ca="1" si="5"/>
        <v>8.6542055621753305E-3</v>
      </c>
    </row>
    <row r="39" spans="1:6">
      <c r="B39" s="1590" t="s">
        <v>24</v>
      </c>
      <c r="C39" s="1639">
        <v>1434.8432</v>
      </c>
      <c r="D39" s="1527">
        <f ca="1">资产负债表!G21</f>
        <v>1437.8965748762798</v>
      </c>
      <c r="E39" s="1527">
        <f t="shared" ca="1" si="4"/>
        <v>3.0533748762798041</v>
      </c>
      <c r="F39" s="1576">
        <f t="shared" ca="1" si="5"/>
        <v>2.1280198953305867E-3</v>
      </c>
    </row>
    <row r="40" spans="1:6">
      <c r="B40" s="1590" t="s">
        <v>133</v>
      </c>
      <c r="C40" s="1639">
        <v>0.1313</v>
      </c>
      <c r="D40" s="1527">
        <f>资产负债表!G22</f>
        <v>0.13129785250000001</v>
      </c>
      <c r="E40" s="1527">
        <f t="shared" si="4"/>
        <v>-2.1474999999937516E-6</v>
      </c>
      <c r="F40" s="1576">
        <f t="shared" si="5"/>
        <v>-1.6355674028893766E-5</v>
      </c>
    </row>
    <row r="41" spans="1:6">
      <c r="B41" s="1590" t="s">
        <v>11</v>
      </c>
      <c r="C41" s="1639">
        <v>1434.7119</v>
      </c>
      <c r="D41" s="1527">
        <f ca="1">资产负债表!G23</f>
        <v>1437.7652770237794</v>
      </c>
      <c r="E41" s="1527">
        <f t="shared" ca="1" si="4"/>
        <v>3.053377023779376</v>
      </c>
      <c r="F41" s="1576">
        <f t="shared" ca="1" si="5"/>
        <v>2.128216141358677E-3</v>
      </c>
    </row>
    <row r="42" spans="1:6">
      <c r="B42" s="1590" t="s">
        <v>12</v>
      </c>
      <c r="C42" s="1639">
        <v>249.22283999999999</v>
      </c>
      <c r="D42" s="1527">
        <f ca="1">资产负债表!G25</f>
        <v>166.49387785731943</v>
      </c>
      <c r="E42" s="1527">
        <f t="shared" ca="1" si="4"/>
        <v>-82.728962142680558</v>
      </c>
      <c r="F42" s="1576">
        <f t="shared" ca="1" si="5"/>
        <v>-0.3319477546387023</v>
      </c>
    </row>
    <row r="43" spans="1:6">
      <c r="B43" s="1644" t="s">
        <v>1967</v>
      </c>
      <c r="C43" s="1639">
        <v>0.05</v>
      </c>
      <c r="D43" s="1527"/>
      <c r="E43" s="1527"/>
      <c r="F43" s="1576"/>
    </row>
    <row r="44" spans="1:6">
      <c r="B44" s="1590" t="s">
        <v>13</v>
      </c>
      <c r="C44" s="1639">
        <v>2.4525999999999999</v>
      </c>
      <c r="D44" s="1527">
        <f>资产负债表!G26</f>
        <v>3.3319309282100007</v>
      </c>
      <c r="E44" s="1527">
        <f t="shared" si="4"/>
        <v>0.87933092821000081</v>
      </c>
      <c r="F44" s="1576">
        <f t="shared" si="5"/>
        <v>0.35853010201826668</v>
      </c>
    </row>
    <row r="45" spans="1:6">
      <c r="B45" s="1644" t="s">
        <v>1968</v>
      </c>
      <c r="C45" s="1639">
        <v>4.5547000000000004</v>
      </c>
      <c r="D45" s="1527"/>
      <c r="E45" s="1527"/>
      <c r="F45" s="1576"/>
    </row>
    <row r="46" spans="1:6">
      <c r="B46" s="1590" t="s">
        <v>92</v>
      </c>
      <c r="C46" s="1639">
        <v>0</v>
      </c>
      <c r="D46" s="1527">
        <f>资产负债表!G29</f>
        <v>0</v>
      </c>
      <c r="E46" s="1527">
        <f t="shared" si="4"/>
        <v>0</v>
      </c>
      <c r="F46" s="1576">
        <f t="shared" si="5"/>
        <v>0</v>
      </c>
    </row>
    <row r="47" spans="1:6" ht="15.6">
      <c r="B47" s="1588" t="s">
        <v>74</v>
      </c>
      <c r="C47" s="1639">
        <v>1721.4421399999999</v>
      </c>
      <c r="D47" s="1527">
        <f ca="1">资产负债表!G30</f>
        <v>1642.7331213055152</v>
      </c>
      <c r="E47" s="1527">
        <f t="shared" ca="1" si="4"/>
        <v>-78.709018694484712</v>
      </c>
      <c r="F47" s="1576">
        <f t="shared" ca="1" si="5"/>
        <v>-4.572272100558937E-2</v>
      </c>
    </row>
    <row r="48" spans="1:6" ht="15.6">
      <c r="A48" s="1399">
        <f>A31+C47</f>
        <v>1920.4947</v>
      </c>
      <c r="B48" s="1591" t="s">
        <v>388</v>
      </c>
      <c r="C48" s="1645">
        <v>1920.4947</v>
      </c>
      <c r="D48" s="1646">
        <f ca="1">资产负债表!G31</f>
        <v>1928.3288084030385</v>
      </c>
      <c r="E48" s="1646">
        <f t="shared" ca="1" si="4"/>
        <v>7.8341084030384991</v>
      </c>
      <c r="F48" s="1647">
        <f t="shared" ca="1" si="5"/>
        <v>4.0792137583292986E-3</v>
      </c>
    </row>
    <row r="49" spans="2:6" ht="15.6">
      <c r="B49" s="1592" t="s">
        <v>390</v>
      </c>
      <c r="C49" s="1639"/>
      <c r="D49" s="1527">
        <f>资产负债表!G32</f>
        <v>0</v>
      </c>
      <c r="E49" s="1527">
        <f t="shared" si="4"/>
        <v>0</v>
      </c>
      <c r="F49" s="1576">
        <f t="shared" si="5"/>
        <v>0</v>
      </c>
    </row>
    <row r="50" spans="2:6" ht="15.6">
      <c r="B50" s="1593" t="s">
        <v>386</v>
      </c>
      <c r="C50" s="1639"/>
      <c r="D50" s="1527">
        <f>资产负债表!G33</f>
        <v>0</v>
      </c>
      <c r="E50" s="1527">
        <f t="shared" si="4"/>
        <v>0</v>
      </c>
      <c r="F50" s="1576">
        <f t="shared" si="5"/>
        <v>0</v>
      </c>
    </row>
    <row r="51" spans="2:6">
      <c r="B51" s="1594" t="s">
        <v>14</v>
      </c>
      <c r="C51" s="1639">
        <v>0</v>
      </c>
      <c r="D51" s="1527">
        <f ca="1">资产负债表!G34</f>
        <v>0</v>
      </c>
      <c r="E51" s="1527">
        <f t="shared" ca="1" si="4"/>
        <v>0</v>
      </c>
      <c r="F51" s="1576">
        <f t="shared" ca="1" si="5"/>
        <v>0</v>
      </c>
    </row>
    <row r="52" spans="2:6">
      <c r="B52" s="1594" t="s">
        <v>181</v>
      </c>
      <c r="C52" s="1639">
        <v>83.6387</v>
      </c>
      <c r="D52" s="1527">
        <f ca="1">资产负债表!G35</f>
        <v>82.542705716973941</v>
      </c>
      <c r="E52" s="1527">
        <f t="shared" ca="1" si="4"/>
        <v>-1.0959942830260587</v>
      </c>
      <c r="F52" s="1576">
        <f t="shared" ca="1" si="5"/>
        <v>-1.3103913415991146E-2</v>
      </c>
    </row>
    <row r="53" spans="2:6">
      <c r="B53" s="1594" t="s">
        <v>317</v>
      </c>
      <c r="C53" s="1639">
        <v>56.843000000000004</v>
      </c>
      <c r="D53" s="1527">
        <f>资产负债表!G36</f>
        <v>55.195825124665298</v>
      </c>
      <c r="E53" s="1527">
        <f t="shared" si="4"/>
        <v>-1.6471748753347057</v>
      </c>
      <c r="F53" s="1576">
        <f t="shared" si="5"/>
        <v>-2.8977620381308265E-2</v>
      </c>
    </row>
    <row r="54" spans="2:6">
      <c r="B54" s="1594" t="s">
        <v>93</v>
      </c>
      <c r="C54" s="1639">
        <v>1.1655</v>
      </c>
      <c r="D54" s="1527">
        <f>资产负债表!G37</f>
        <v>1.1655</v>
      </c>
      <c r="E54" s="1527">
        <f t="shared" si="4"/>
        <v>0</v>
      </c>
      <c r="F54" s="1576">
        <f t="shared" si="5"/>
        <v>0</v>
      </c>
    </row>
    <row r="55" spans="2:6">
      <c r="B55" s="1594" t="s">
        <v>146</v>
      </c>
      <c r="C55" s="1639">
        <v>19.830200000000001</v>
      </c>
      <c r="D55" s="1527">
        <f ca="1">资产负债表!G38</f>
        <v>22.248002726755928</v>
      </c>
      <c r="E55" s="1527">
        <f t="shared" ca="1" si="4"/>
        <v>2.4178027267559266</v>
      </c>
      <c r="F55" s="1576">
        <f t="shared" ca="1" si="5"/>
        <v>0.12192528198182198</v>
      </c>
    </row>
    <row r="56" spans="2:6">
      <c r="B56" s="1594" t="s">
        <v>17</v>
      </c>
      <c r="C56" s="1639">
        <v>0.05</v>
      </c>
      <c r="D56" s="1527">
        <f ca="1">资产负债表!G39</f>
        <v>7.2140782026476211E-2</v>
      </c>
      <c r="E56" s="1527">
        <f t="shared" ca="1" si="4"/>
        <v>2.2140782026476208E-2</v>
      </c>
      <c r="F56" s="1576">
        <f t="shared" ca="1" si="5"/>
        <v>0.44281564052952416</v>
      </c>
    </row>
    <row r="57" spans="2:6">
      <c r="B57" s="1594" t="s">
        <v>28</v>
      </c>
      <c r="C57" s="1639">
        <v>371.36110000000002</v>
      </c>
      <c r="D57" s="1527">
        <f>资产负债表!G40</f>
        <v>371.36110000000002</v>
      </c>
      <c r="E57" s="1527">
        <f t="shared" si="4"/>
        <v>0</v>
      </c>
      <c r="F57" s="1576">
        <f t="shared" si="5"/>
        <v>0</v>
      </c>
    </row>
    <row r="58" spans="2:6">
      <c r="B58" s="1594" t="s">
        <v>147</v>
      </c>
      <c r="C58" s="1639">
        <v>0</v>
      </c>
      <c r="D58" s="1527">
        <f>资产负债表!G41</f>
        <v>0</v>
      </c>
      <c r="E58" s="1527">
        <f t="shared" si="4"/>
        <v>0</v>
      </c>
      <c r="F58" s="1576">
        <f t="shared" si="5"/>
        <v>0</v>
      </c>
    </row>
    <row r="59" spans="2:6">
      <c r="B59" s="1594" t="s">
        <v>94</v>
      </c>
      <c r="C59" s="1639">
        <v>0</v>
      </c>
      <c r="D59" s="1527">
        <f>资产负债表!G42</f>
        <v>0</v>
      </c>
      <c r="E59" s="1527">
        <f t="shared" si="4"/>
        <v>0</v>
      </c>
      <c r="F59" s="1576">
        <f t="shared" si="5"/>
        <v>0</v>
      </c>
    </row>
    <row r="60" spans="2:6" ht="15.6">
      <c r="B60" s="1588" t="s">
        <v>76</v>
      </c>
      <c r="C60" s="1639">
        <v>532.88850000000002</v>
      </c>
      <c r="D60" s="1527">
        <f ca="1">资产负债表!G43</f>
        <v>532.58527435042163</v>
      </c>
      <c r="E60" s="1527">
        <f t="shared" ca="1" si="4"/>
        <v>-0.30322564957839404</v>
      </c>
      <c r="F60" s="1576">
        <f t="shared" ca="1" si="5"/>
        <v>-5.6902269344974422E-4</v>
      </c>
    </row>
    <row r="61" spans="2:6" ht="15.6">
      <c r="B61" s="1593" t="s">
        <v>387</v>
      </c>
      <c r="C61" s="1639"/>
      <c r="D61" s="1527">
        <f>资产负债表!G44</f>
        <v>0</v>
      </c>
      <c r="E61" s="1527">
        <f t="shared" si="4"/>
        <v>0</v>
      </c>
      <c r="F61" s="1576">
        <f t="shared" si="5"/>
        <v>0</v>
      </c>
    </row>
    <row r="62" spans="2:6">
      <c r="B62" s="1594" t="s">
        <v>18</v>
      </c>
      <c r="C62" s="1639">
        <v>0.4471</v>
      </c>
      <c r="D62" s="1527">
        <f ca="1">资产负债表!G45</f>
        <v>0.4471</v>
      </c>
      <c r="E62" s="1527">
        <f t="shared" ca="1" si="4"/>
        <v>0</v>
      </c>
      <c r="F62" s="1576">
        <f t="shared" ca="1" si="5"/>
        <v>0</v>
      </c>
    </row>
    <row r="63" spans="2:6">
      <c r="B63" s="1594" t="s">
        <v>19</v>
      </c>
      <c r="C63" s="1639">
        <v>0</v>
      </c>
      <c r="D63" s="1527">
        <f ca="1">资产负债表!G46</f>
        <v>-1.2129032099999999E-2</v>
      </c>
      <c r="E63" s="1527">
        <f t="shared" ca="1" si="4"/>
        <v>-1.2129032099999999E-2</v>
      </c>
      <c r="F63" s="1576">
        <f t="shared" ca="1" si="5"/>
        <v>0</v>
      </c>
    </row>
    <row r="64" spans="2:6">
      <c r="B64" s="1648" t="s">
        <v>1949</v>
      </c>
      <c r="C64" s="1639">
        <v>8.2654999999999994</v>
      </c>
      <c r="D64" s="1527"/>
      <c r="E64" s="1527"/>
      <c r="F64" s="1576"/>
    </row>
    <row r="65" spans="2:6">
      <c r="B65" s="1595" t="s">
        <v>20</v>
      </c>
      <c r="C65" s="1639"/>
      <c r="D65" s="1527">
        <f>资产负债表!G47</f>
        <v>0</v>
      </c>
      <c r="E65" s="1527">
        <f t="shared" si="4"/>
        <v>0</v>
      </c>
      <c r="F65" s="1576">
        <f t="shared" si="5"/>
        <v>0</v>
      </c>
    </row>
    <row r="66" spans="2:6">
      <c r="B66" s="1594" t="s">
        <v>95</v>
      </c>
      <c r="C66" s="1639">
        <v>1.117</v>
      </c>
      <c r="D66" s="1527">
        <f>资产负债表!G49</f>
        <v>0.93630807220000001</v>
      </c>
      <c r="E66" s="1527">
        <f t="shared" si="4"/>
        <v>-0.18069192779999999</v>
      </c>
      <c r="F66" s="1576">
        <f t="shared" si="5"/>
        <v>-0.16176537851387643</v>
      </c>
    </row>
    <row r="67" spans="2:6">
      <c r="B67" s="1648" t="s">
        <v>1950</v>
      </c>
      <c r="C67" s="1639">
        <v>43.002899999999997</v>
      </c>
      <c r="D67" s="1527"/>
      <c r="E67" s="1527"/>
      <c r="F67" s="1576"/>
    </row>
    <row r="68" spans="2:6">
      <c r="B68" s="1648" t="s">
        <v>1951</v>
      </c>
      <c r="C68" s="1639">
        <v>2.76E-2</v>
      </c>
      <c r="D68" s="1527"/>
      <c r="E68" s="1527"/>
      <c r="F68" s="1576"/>
    </row>
    <row r="69" spans="2:6">
      <c r="B69" s="1594" t="s">
        <v>96</v>
      </c>
      <c r="C69" s="1639">
        <v>0</v>
      </c>
      <c r="D69" s="1527">
        <f>资产负债表!G52</f>
        <v>0</v>
      </c>
      <c r="E69" s="1527">
        <f t="shared" si="4"/>
        <v>0</v>
      </c>
      <c r="F69" s="1576">
        <f t="shared" si="5"/>
        <v>0</v>
      </c>
    </row>
    <row r="70" spans="2:6" ht="15.6">
      <c r="B70" s="1588" t="s">
        <v>78</v>
      </c>
      <c r="C70" s="1639">
        <v>52.860100000000003</v>
      </c>
      <c r="D70" s="1527">
        <f ca="1">资产负债表!G53</f>
        <v>53.117927541700006</v>
      </c>
      <c r="E70" s="1527">
        <f t="shared" ca="1" si="4"/>
        <v>0.25782754170000288</v>
      </c>
      <c r="F70" s="1576">
        <f t="shared" ca="1" si="5"/>
        <v>4.8775454775909022E-3</v>
      </c>
    </row>
    <row r="71" spans="2:6" ht="15.6">
      <c r="B71" s="1591" t="s">
        <v>318</v>
      </c>
      <c r="C71" s="1645">
        <v>585.74860000000001</v>
      </c>
      <c r="D71" s="1646">
        <f ca="1">资产负债表!G54</f>
        <v>585.70320189212168</v>
      </c>
      <c r="E71" s="1646">
        <f t="shared" ca="1" si="4"/>
        <v>-4.539810787832721E-2</v>
      </c>
      <c r="F71" s="1647">
        <f t="shared" ca="1" si="5"/>
        <v>-7.7504424045276779E-5</v>
      </c>
    </row>
    <row r="72" spans="2:6" ht="15.6">
      <c r="B72" s="1592" t="s">
        <v>391</v>
      </c>
      <c r="C72" s="1639"/>
      <c r="D72" s="1527">
        <f>资产负债表!G55</f>
        <v>0</v>
      </c>
      <c r="E72" s="1527">
        <f t="shared" si="4"/>
        <v>0</v>
      </c>
      <c r="F72" s="1576">
        <f t="shared" si="5"/>
        <v>0</v>
      </c>
    </row>
    <row r="73" spans="2:6">
      <c r="B73" s="1594" t="s">
        <v>319</v>
      </c>
      <c r="C73" s="1639">
        <v>1289.2809</v>
      </c>
      <c r="D73" s="1527">
        <f>资产负债表!G56</f>
        <v>1289.246215744</v>
      </c>
      <c r="E73" s="1527">
        <f t="shared" si="4"/>
        <v>-3.4684255999991365E-2</v>
      </c>
      <c r="F73" s="1576">
        <f t="shared" si="5"/>
        <v>-2.6902016465140657E-5</v>
      </c>
    </row>
    <row r="74" spans="2:6">
      <c r="B74" s="1594" t="s">
        <v>344</v>
      </c>
      <c r="C74" s="1639">
        <v>3.7780999999999998</v>
      </c>
      <c r="D74" s="1527">
        <f>资产负债表!G59</f>
        <v>4.0612393104233941</v>
      </c>
      <c r="E74" s="1527">
        <f t="shared" si="4"/>
        <v>0.28313931042339435</v>
      </c>
      <c r="F74" s="1576">
        <f t="shared" si="5"/>
        <v>7.49422488614368E-2</v>
      </c>
    </row>
    <row r="75" spans="2:6">
      <c r="B75" s="1648" t="s">
        <v>1969</v>
      </c>
      <c r="C75" s="1639">
        <v>7.6799999999999993E-2</v>
      </c>
      <c r="D75" s="1527"/>
      <c r="E75" s="1527"/>
      <c r="F75" s="1576"/>
    </row>
    <row r="76" spans="2:6">
      <c r="B76" s="1594" t="s">
        <v>174</v>
      </c>
      <c r="C76" s="1639">
        <v>65.835800000000006</v>
      </c>
      <c r="D76" s="1527">
        <f ca="1">资产负债表!G60</f>
        <v>67.959476325125351</v>
      </c>
      <c r="E76" s="1527">
        <f t="shared" ca="1" si="4"/>
        <v>2.123676325125345</v>
      </c>
      <c r="F76" s="1576">
        <f t="shared" ca="1" si="5"/>
        <v>3.2257165935939788E-2</v>
      </c>
    </row>
    <row r="77" spans="2:6">
      <c r="B77" s="1594" t="s">
        <v>175</v>
      </c>
      <c r="C77" s="1639">
        <v>-24.6205</v>
      </c>
      <c r="D77" s="1527">
        <f ca="1">资产负债表!G61</f>
        <v>-19.070710803856411</v>
      </c>
      <c r="E77" s="1527">
        <f t="shared" ca="1" si="4"/>
        <v>5.549789196143589</v>
      </c>
      <c r="F77" s="1576">
        <f t="shared" ca="1" si="5"/>
        <v>-0.2254133423831193</v>
      </c>
    </row>
    <row r="78" spans="2:6">
      <c r="B78" s="1594" t="s">
        <v>402</v>
      </c>
      <c r="C78" s="1639"/>
      <c r="D78" s="1527">
        <f>资产负债表!G62</f>
        <v>0</v>
      </c>
      <c r="E78" s="1527">
        <f t="shared" si="4"/>
        <v>0</v>
      </c>
      <c r="F78" s="1576">
        <f t="shared" si="5"/>
        <v>0</v>
      </c>
    </row>
    <row r="79" spans="2:6" ht="15.6">
      <c r="B79" s="1593" t="s">
        <v>80</v>
      </c>
      <c r="C79" s="1639">
        <v>1334.3511000000001</v>
      </c>
      <c r="D79" s="1527">
        <f ca="1">资产负债表!G63</f>
        <v>1342.2701445398923</v>
      </c>
      <c r="E79" s="1527">
        <f t="shared" ca="1" si="4"/>
        <v>7.9190445398921838</v>
      </c>
      <c r="F79" s="1576">
        <f t="shared" ca="1" si="5"/>
        <v>5.9347532593874153E-3</v>
      </c>
    </row>
    <row r="80" spans="2:6">
      <c r="B80" s="1594" t="s">
        <v>21</v>
      </c>
      <c r="C80" s="1639">
        <v>0.39500000000000002</v>
      </c>
      <c r="D80" s="1527">
        <f ca="1">资产负债表!G64</f>
        <v>0.35825808752488336</v>
      </c>
      <c r="E80" s="1527">
        <f t="shared" ca="1" si="4"/>
        <v>-3.6741912475116656E-2</v>
      </c>
      <c r="F80" s="1576">
        <f t="shared" ca="1" si="5"/>
        <v>-9.3017499937004186E-2</v>
      </c>
    </row>
    <row r="81" spans="2:6" ht="15.6">
      <c r="B81" s="1592" t="s">
        <v>81</v>
      </c>
      <c r="C81" s="1639">
        <v>1334.7461000000001</v>
      </c>
      <c r="D81" s="1527">
        <f ca="1">资产负债表!G65</f>
        <v>1342.6284026274172</v>
      </c>
      <c r="E81" s="1527">
        <f t="shared" ca="1" si="4"/>
        <v>7.8823026274171752</v>
      </c>
      <c r="F81" s="1576">
        <f t="shared" ca="1" si="5"/>
        <v>5.9054696825240208E-3</v>
      </c>
    </row>
    <row r="82" spans="2:6" ht="15.6">
      <c r="B82" s="1592" t="s">
        <v>320</v>
      </c>
      <c r="C82" s="1639">
        <v>1920.4947</v>
      </c>
      <c r="D82" s="1527">
        <f ca="1">资产负债表!G66</f>
        <v>1928.3316045195388</v>
      </c>
      <c r="E82" s="1527">
        <f t="shared" ca="1" si="4"/>
        <v>7.836904519538848</v>
      </c>
      <c r="F82" s="1576">
        <f t="shared" ca="1" si="5"/>
        <v>4.0806696938756708E-3</v>
      </c>
    </row>
    <row r="83" spans="2:6" ht="15.6">
      <c r="B83" s="1573" t="s">
        <v>1935</v>
      </c>
      <c r="C83" s="1642"/>
      <c r="D83" s="1583"/>
      <c r="E83" s="1583"/>
      <c r="F83" s="1584"/>
    </row>
    <row r="84" spans="2:6">
      <c r="B84" s="1596" t="s">
        <v>194</v>
      </c>
      <c r="C84" s="1639"/>
      <c r="D84" s="1527">
        <f>现金流量表!G46</f>
        <v>162.28785960479999</v>
      </c>
      <c r="E84" s="1527">
        <f t="shared" ref="E84" si="6">D84-C84</f>
        <v>162.28785960479999</v>
      </c>
      <c r="F84" s="1576">
        <f t="shared" ref="F84" si="7">IFERROR(E84/C84,0)</f>
        <v>0</v>
      </c>
    </row>
    <row r="85" spans="2:6">
      <c r="B85" s="1586" t="s">
        <v>176</v>
      </c>
      <c r="C85" s="1639"/>
      <c r="D85" s="1527">
        <f ca="1">现金流量表!G5</f>
        <v>23.534420657935943</v>
      </c>
      <c r="E85" s="1527">
        <f t="shared" ref="E85" ca="1" si="8">D85-C85</f>
        <v>23.534420657935943</v>
      </c>
      <c r="F85" s="1576">
        <f t="shared" ref="F85" ca="1" si="9">IFERROR(E85/C85,0)</f>
        <v>0</v>
      </c>
    </row>
    <row r="86" spans="2:6">
      <c r="B86" s="1586" t="s">
        <v>182</v>
      </c>
      <c r="C86" s="1639"/>
      <c r="D86" s="1527">
        <f ca="1">现金流量表!G6</f>
        <v>-0.93587504064049842</v>
      </c>
      <c r="E86" s="1527">
        <f t="shared" ref="E86:E116" ca="1" si="10">D86-C86</f>
        <v>-0.93587504064049842</v>
      </c>
      <c r="F86" s="1576">
        <f t="shared" ref="F86:F116" ca="1" si="11">IFERROR(E86/C86,0)</f>
        <v>0</v>
      </c>
    </row>
    <row r="87" spans="2:6">
      <c r="B87" s="1586" t="s">
        <v>183</v>
      </c>
      <c r="C87" s="1639"/>
      <c r="D87" s="1527">
        <f ca="1">现金流量表!G7</f>
        <v>154.85442231883817</v>
      </c>
      <c r="E87" s="1527">
        <f t="shared" ca="1" si="10"/>
        <v>154.85442231883817</v>
      </c>
      <c r="F87" s="1576">
        <f t="shared" ca="1" si="11"/>
        <v>0</v>
      </c>
    </row>
    <row r="88" spans="2:6">
      <c r="B88" s="1586" t="s">
        <v>184</v>
      </c>
      <c r="C88" s="1639"/>
      <c r="D88" s="1527">
        <f>现金流量表!G8</f>
        <v>0.34072578179000007</v>
      </c>
      <c r="E88" s="1527">
        <f t="shared" si="10"/>
        <v>0.34072578179000007</v>
      </c>
      <c r="F88" s="1576">
        <f t="shared" si="11"/>
        <v>0</v>
      </c>
    </row>
    <row r="89" spans="2:6">
      <c r="B89" s="1586" t="s">
        <v>379</v>
      </c>
      <c r="C89" s="1639"/>
      <c r="D89" s="1527">
        <f>现金流量表!G9</f>
        <v>0</v>
      </c>
      <c r="E89" s="1527">
        <f t="shared" si="10"/>
        <v>0</v>
      </c>
      <c r="F89" s="1576">
        <f t="shared" si="11"/>
        <v>0</v>
      </c>
    </row>
    <row r="90" spans="2:6">
      <c r="B90" s="1586" t="s">
        <v>185</v>
      </c>
      <c r="C90" s="1639"/>
      <c r="D90" s="1527">
        <f ca="1">现金流量表!G10</f>
        <v>40.106719825171069</v>
      </c>
      <c r="E90" s="1527">
        <f t="shared" ca="1" si="10"/>
        <v>40.106719825171069</v>
      </c>
      <c r="F90" s="1576">
        <f t="shared" ca="1" si="11"/>
        <v>0</v>
      </c>
    </row>
    <row r="91" spans="2:6">
      <c r="B91" s="1586" t="s">
        <v>186</v>
      </c>
      <c r="C91" s="1639"/>
      <c r="D91" s="1527">
        <f>现金流量表!G11</f>
        <v>-0.78829880377344708</v>
      </c>
      <c r="E91" s="1527">
        <f t="shared" si="10"/>
        <v>-0.78829880377344708</v>
      </c>
      <c r="F91" s="1576">
        <f t="shared" si="11"/>
        <v>0</v>
      </c>
    </row>
    <row r="92" spans="2:6">
      <c r="B92" s="1586" t="s">
        <v>756</v>
      </c>
      <c r="C92" s="1639"/>
      <c r="D92" s="1527">
        <f>现金流量表!G12</f>
        <v>-4.1004491709415447E-2</v>
      </c>
      <c r="E92" s="1527">
        <f t="shared" si="10"/>
        <v>-4.1004491709415447E-2</v>
      </c>
      <c r="F92" s="1576">
        <f t="shared" si="11"/>
        <v>0</v>
      </c>
    </row>
    <row r="93" spans="2:6">
      <c r="B93" s="1586" t="s">
        <v>757</v>
      </c>
      <c r="C93" s="1639"/>
      <c r="D93" s="1527">
        <f>现金流量表!G13</f>
        <v>0</v>
      </c>
      <c r="E93" s="1527">
        <f t="shared" si="10"/>
        <v>0</v>
      </c>
      <c r="F93" s="1576">
        <f t="shared" si="11"/>
        <v>0</v>
      </c>
    </row>
    <row r="94" spans="2:6">
      <c r="B94" s="1586" t="s">
        <v>758</v>
      </c>
      <c r="C94" s="1639"/>
      <c r="D94" s="1527">
        <f>现金流量表!G14</f>
        <v>0</v>
      </c>
      <c r="E94" s="1527">
        <f t="shared" si="10"/>
        <v>0</v>
      </c>
      <c r="F94" s="1576">
        <f t="shared" si="11"/>
        <v>0</v>
      </c>
    </row>
    <row r="95" spans="2:6">
      <c r="B95" s="1586" t="s">
        <v>759</v>
      </c>
      <c r="C95" s="1639"/>
      <c r="D95" s="1527">
        <f>现金流量表!G16</f>
        <v>0</v>
      </c>
      <c r="E95" s="1527">
        <f t="shared" si="10"/>
        <v>0</v>
      </c>
      <c r="F95" s="1576">
        <f t="shared" si="11"/>
        <v>0</v>
      </c>
    </row>
    <row r="96" spans="2:6">
      <c r="B96" s="1597" t="s">
        <v>760</v>
      </c>
      <c r="C96" s="1639"/>
      <c r="D96" s="1527">
        <f>现金流量表!G19</f>
        <v>0</v>
      </c>
      <c r="E96" s="1527">
        <f t="shared" si="10"/>
        <v>0</v>
      </c>
      <c r="F96" s="1576">
        <f t="shared" si="11"/>
        <v>0</v>
      </c>
    </row>
    <row r="97" spans="2:6" ht="15.6">
      <c r="B97" s="1585" t="s">
        <v>187</v>
      </c>
      <c r="C97" s="1639"/>
      <c r="D97" s="1527">
        <f ca="1">现金流量表!G20</f>
        <v>225.07111024761184</v>
      </c>
      <c r="E97" s="1527">
        <f t="shared" ca="1" si="10"/>
        <v>225.07111024761184</v>
      </c>
      <c r="F97" s="1576">
        <f t="shared" ca="1" si="11"/>
        <v>0</v>
      </c>
    </row>
    <row r="98" spans="2:6">
      <c r="B98" s="1598"/>
      <c r="C98" s="1639"/>
      <c r="D98" s="1527">
        <f>现金流量表!G21</f>
        <v>0</v>
      </c>
      <c r="E98" s="1527">
        <f t="shared" si="10"/>
        <v>0</v>
      </c>
      <c r="F98" s="1576">
        <f t="shared" si="11"/>
        <v>0</v>
      </c>
    </row>
    <row r="99" spans="2:6" ht="16.2" thickBot="1">
      <c r="B99" s="1599" t="s">
        <v>269</v>
      </c>
      <c r="C99" s="1639"/>
      <c r="D99" s="1527">
        <f>现金流量表!G22</f>
        <v>0</v>
      </c>
      <c r="E99" s="1527">
        <f t="shared" si="10"/>
        <v>0</v>
      </c>
      <c r="F99" s="1576">
        <f t="shared" si="11"/>
        <v>0</v>
      </c>
    </row>
    <row r="100" spans="2:6">
      <c r="B100" s="1586" t="s">
        <v>25</v>
      </c>
      <c r="C100" s="1639"/>
      <c r="D100" s="1527">
        <f>现金流量表!G23</f>
        <v>-150.09303532984927</v>
      </c>
      <c r="E100" s="1527">
        <f t="shared" si="10"/>
        <v>-150.09303532984927</v>
      </c>
      <c r="F100" s="1576">
        <f t="shared" si="11"/>
        <v>0</v>
      </c>
    </row>
    <row r="101" spans="2:6">
      <c r="B101" s="1586" t="s">
        <v>189</v>
      </c>
      <c r="C101" s="1639"/>
      <c r="D101" s="1527">
        <f>现金流量表!G24</f>
        <v>0.74632499551197506</v>
      </c>
      <c r="E101" s="1527">
        <f t="shared" si="10"/>
        <v>0.74632499551197506</v>
      </c>
      <c r="F101" s="1576">
        <f t="shared" si="11"/>
        <v>0</v>
      </c>
    </row>
    <row r="102" spans="2:6">
      <c r="B102" s="1586" t="s">
        <v>270</v>
      </c>
      <c r="C102" s="1639"/>
      <c r="D102" s="1527">
        <f>现金流量表!G25</f>
        <v>0</v>
      </c>
      <c r="E102" s="1527">
        <f t="shared" si="10"/>
        <v>0</v>
      </c>
      <c r="F102" s="1576">
        <f t="shared" si="11"/>
        <v>0</v>
      </c>
    </row>
    <row r="103" spans="2:6">
      <c r="B103" s="1586" t="s">
        <v>99</v>
      </c>
      <c r="C103" s="1639"/>
      <c r="D103" s="1527">
        <f>现金流量表!G26</f>
        <v>0</v>
      </c>
      <c r="E103" s="1527">
        <f t="shared" si="10"/>
        <v>0</v>
      </c>
      <c r="F103" s="1576">
        <f t="shared" si="11"/>
        <v>0</v>
      </c>
    </row>
    <row r="104" spans="2:6">
      <c r="B104" s="1597" t="s">
        <v>190</v>
      </c>
      <c r="C104" s="1639"/>
      <c r="D104" s="1527">
        <f>现金流量表!G27</f>
        <v>-0.79619667630000113</v>
      </c>
      <c r="E104" s="1527">
        <f t="shared" si="10"/>
        <v>-0.79619667630000113</v>
      </c>
      <c r="F104" s="1576">
        <f t="shared" si="11"/>
        <v>0</v>
      </c>
    </row>
    <row r="105" spans="2:6" ht="15.6">
      <c r="B105" s="1585" t="s">
        <v>188</v>
      </c>
      <c r="C105" s="1639"/>
      <c r="D105" s="1527">
        <f>现金流量表!G28</f>
        <v>-150.14290701063732</v>
      </c>
      <c r="E105" s="1527">
        <f t="shared" si="10"/>
        <v>-150.14290701063732</v>
      </c>
      <c r="F105" s="1576">
        <f t="shared" si="11"/>
        <v>0</v>
      </c>
    </row>
    <row r="106" spans="2:6">
      <c r="B106" s="1586"/>
      <c r="C106" s="1639"/>
      <c r="D106" s="1527">
        <f>现金流量表!G29</f>
        <v>0</v>
      </c>
      <c r="E106" s="1527">
        <f t="shared" si="10"/>
        <v>0</v>
      </c>
      <c r="F106" s="1576">
        <f t="shared" si="11"/>
        <v>0</v>
      </c>
    </row>
    <row r="107" spans="2:6" ht="16.2" thickBot="1">
      <c r="B107" s="1599" t="s">
        <v>271</v>
      </c>
      <c r="C107" s="1639"/>
      <c r="D107" s="1527">
        <f>现金流量表!G30</f>
        <v>0</v>
      </c>
      <c r="E107" s="1527">
        <f t="shared" si="10"/>
        <v>0</v>
      </c>
      <c r="F107" s="1576">
        <f t="shared" si="11"/>
        <v>0</v>
      </c>
    </row>
    <row r="108" spans="2:6">
      <c r="B108" s="1586" t="s">
        <v>272</v>
      </c>
      <c r="C108" s="1639"/>
      <c r="D108" s="1527">
        <f ca="1">现金流量表!G31</f>
        <v>0</v>
      </c>
      <c r="E108" s="1527">
        <f t="shared" ca="1" si="10"/>
        <v>0</v>
      </c>
      <c r="F108" s="1576">
        <f t="shared" ca="1" si="11"/>
        <v>0</v>
      </c>
    </row>
    <row r="109" spans="2:6">
      <c r="B109" s="1586" t="s">
        <v>192</v>
      </c>
      <c r="C109" s="1639"/>
      <c r="D109" s="1527">
        <f ca="1">现金流量表!G32</f>
        <v>0.93587504064049842</v>
      </c>
      <c r="E109" s="1527">
        <f t="shared" ca="1" si="10"/>
        <v>0.93587504064049842</v>
      </c>
      <c r="F109" s="1576">
        <f t="shared" ca="1" si="11"/>
        <v>0</v>
      </c>
    </row>
    <row r="110" spans="2:6">
      <c r="B110" s="1586" t="s">
        <v>273</v>
      </c>
      <c r="C110" s="1639"/>
      <c r="D110" s="1527">
        <f ca="1">现金流量表!G33</f>
        <v>2.2118864226476208E-2</v>
      </c>
      <c r="E110" s="1527">
        <f t="shared" ca="1" si="10"/>
        <v>2.2118864226476208E-2</v>
      </c>
      <c r="F110" s="1576">
        <f t="shared" ca="1" si="11"/>
        <v>0</v>
      </c>
    </row>
    <row r="111" spans="2:6">
      <c r="B111" s="1586" t="s">
        <v>771</v>
      </c>
      <c r="C111" s="1639"/>
      <c r="D111" s="1527">
        <f>现金流量表!G34</f>
        <v>-11.454000000000001</v>
      </c>
      <c r="E111" s="1527">
        <f t="shared" si="10"/>
        <v>-11.454000000000001</v>
      </c>
      <c r="F111" s="1576">
        <f t="shared" si="11"/>
        <v>0</v>
      </c>
    </row>
    <row r="112" spans="2:6">
      <c r="B112" s="1586" t="s">
        <v>274</v>
      </c>
      <c r="C112" s="1639"/>
      <c r="D112" s="1527">
        <f ca="1">现金流量表!G35</f>
        <v>0</v>
      </c>
      <c r="E112" s="1527">
        <f t="shared" ca="1" si="10"/>
        <v>0</v>
      </c>
      <c r="F112" s="1576">
        <f t="shared" ca="1" si="11"/>
        <v>0</v>
      </c>
    </row>
    <row r="113" spans="2:6">
      <c r="B113" s="1586" t="s">
        <v>193</v>
      </c>
      <c r="C113" s="1639"/>
      <c r="D113" s="1527">
        <f>现金流量表!G36</f>
        <v>-6.946319295242132</v>
      </c>
      <c r="E113" s="1527">
        <f t="shared" si="10"/>
        <v>-6.946319295242132</v>
      </c>
      <c r="F113" s="1576">
        <f t="shared" si="11"/>
        <v>0</v>
      </c>
    </row>
    <row r="114" spans="2:6">
      <c r="B114" s="1586" t="s">
        <v>19</v>
      </c>
      <c r="C114" s="1639"/>
      <c r="D114" s="1527">
        <f ca="1">现金流量表!G37</f>
        <v>0</v>
      </c>
      <c r="E114" s="1527">
        <f t="shared" ca="1" si="10"/>
        <v>0</v>
      </c>
      <c r="F114" s="1576">
        <f t="shared" ca="1" si="11"/>
        <v>0</v>
      </c>
    </row>
    <row r="115" spans="2:6">
      <c r="B115" s="1597" t="s">
        <v>100</v>
      </c>
      <c r="C115" s="1639"/>
      <c r="D115" s="1527">
        <f>现金流量表!G38</f>
        <v>0</v>
      </c>
      <c r="E115" s="1527">
        <f t="shared" si="10"/>
        <v>0</v>
      </c>
      <c r="F115" s="1576">
        <f t="shared" si="11"/>
        <v>0</v>
      </c>
    </row>
    <row r="116" spans="2:6" ht="15.6">
      <c r="B116" s="1585" t="s">
        <v>191</v>
      </c>
      <c r="C116" s="1639"/>
      <c r="D116" s="1527">
        <f ca="1">现金流量表!G39</f>
        <v>-17.44232539037516</v>
      </c>
      <c r="E116" s="1527">
        <f t="shared" ca="1" si="10"/>
        <v>-17.44232539037516</v>
      </c>
      <c r="F116" s="1576">
        <f t="shared" ca="1" si="11"/>
        <v>0</v>
      </c>
    </row>
    <row r="117" spans="2:6" ht="15.6" thickBot="1">
      <c r="B117" s="1600" t="s">
        <v>1936</v>
      </c>
      <c r="C117" s="1643"/>
      <c r="D117" s="1601">
        <f ca="1">现金流量表!G47</f>
        <v>219.77373745139934</v>
      </c>
      <c r="E117" s="1601">
        <f t="shared" ref="E117" ca="1" si="12">D117-C117</f>
        <v>219.77373745139934</v>
      </c>
      <c r="F117" s="1602">
        <f t="shared" ref="F117" ca="1" si="13">IFERROR(E117/C117,0)</f>
        <v>0</v>
      </c>
    </row>
  </sheetData>
  <phoneticPr fontId="20"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3"/>
  <dimension ref="A1:S133"/>
  <sheetViews>
    <sheetView zoomScale="85" zoomScaleNormal="85" workbookViewId="0">
      <selection activeCell="C21" sqref="C21"/>
    </sheetView>
  </sheetViews>
  <sheetFormatPr defaultColWidth="9" defaultRowHeight="15"/>
  <cols>
    <col min="1" max="1" width="9.6640625" style="1773" bestFit="1" customWidth="1"/>
    <col min="2" max="2" width="26.6640625" style="1773" bestFit="1" customWidth="1"/>
    <col min="3" max="3" width="23" style="1773" bestFit="1" customWidth="1"/>
    <col min="4" max="4" width="8.109375" style="1773" bestFit="1" customWidth="1"/>
    <col min="5" max="6" width="9.109375" style="1773" bestFit="1" customWidth="1"/>
    <col min="7" max="7" width="13.109375" style="1773" bestFit="1" customWidth="1"/>
    <col min="8" max="8" width="22.21875" style="1773" bestFit="1" customWidth="1"/>
    <col min="9" max="9" width="9.21875" style="1773" bestFit="1" customWidth="1"/>
    <col min="10" max="10" width="14.21875" style="1773" bestFit="1" customWidth="1"/>
    <col min="11" max="11" width="16.77734375" style="1773" bestFit="1" customWidth="1"/>
    <col min="12" max="12" width="9.33203125" style="1773" customWidth="1"/>
    <col min="13" max="13" width="11.88671875" style="1773" customWidth="1"/>
    <col min="14" max="14" width="9.109375" style="1773" customWidth="1"/>
    <col min="15" max="15" width="11.33203125" style="1773" customWidth="1"/>
    <col min="16" max="16" width="8" style="1773" bestFit="1" customWidth="1"/>
    <col min="17" max="18" width="9.21875" style="1773" bestFit="1" customWidth="1"/>
    <col min="19" max="19" width="8" style="1773" bestFit="1" customWidth="1"/>
    <col min="20" max="16384" width="9" style="1773"/>
  </cols>
  <sheetData>
    <row r="1" spans="2:18">
      <c r="G1" s="1823" t="s">
        <v>2042</v>
      </c>
      <c r="H1" s="1782"/>
    </row>
    <row r="2" spans="2:18" ht="15.6">
      <c r="B2" s="1785" t="s">
        <v>2028</v>
      </c>
      <c r="C2" s="1785" t="s">
        <v>1980</v>
      </c>
      <c r="D2" s="1785" t="s">
        <v>1981</v>
      </c>
      <c r="E2" s="1785" t="s">
        <v>1982</v>
      </c>
      <c r="F2" s="1785" t="s">
        <v>1983</v>
      </c>
      <c r="G2" s="1785" t="s">
        <v>1984</v>
      </c>
      <c r="H2" s="1785" t="s">
        <v>1985</v>
      </c>
      <c r="I2" s="1785" t="s">
        <v>1986</v>
      </c>
      <c r="K2" s="1785" t="s">
        <v>2029</v>
      </c>
      <c r="L2" s="1785" t="s">
        <v>1980</v>
      </c>
      <c r="M2" s="1785" t="s">
        <v>1981</v>
      </c>
      <c r="N2" s="1785" t="s">
        <v>1982</v>
      </c>
      <c r="O2" s="1785" t="s">
        <v>1983</v>
      </c>
      <c r="P2" s="1785" t="s">
        <v>1984</v>
      </c>
      <c r="Q2" s="1785" t="s">
        <v>1985</v>
      </c>
      <c r="R2" s="1785" t="s">
        <v>1986</v>
      </c>
    </row>
    <row r="3" spans="2:18">
      <c r="B3" s="1775" t="s">
        <v>1850</v>
      </c>
      <c r="C3" s="1776">
        <f>SUM(关键业绩指标滚动预判!C37:E37)</f>
        <v>339.56272885999999</v>
      </c>
      <c r="D3" s="1776">
        <f>SUM(关键业绩指标滚动预判!F37:H37)</f>
        <v>193.27248818000004</v>
      </c>
      <c r="E3" s="1776">
        <f>SUM(关键业绩指标滚动预判!I37:K37)</f>
        <v>0</v>
      </c>
      <c r="F3" s="1776">
        <f>SUM(关键业绩指标滚动预判!L37:N37)</f>
        <v>0</v>
      </c>
      <c r="G3" s="1776">
        <f>SUM(C3:F3)</f>
        <v>532.83521704000009</v>
      </c>
      <c r="H3" s="1777">
        <f>130000000/100000</f>
        <v>1300</v>
      </c>
      <c r="I3" s="1778">
        <f>G3/H3</f>
        <v>0.40987324387692314</v>
      </c>
      <c r="K3" s="1775" t="s">
        <v>1850</v>
      </c>
      <c r="L3" s="1776">
        <f>SUM(关键业绩指标滚动预判!C40:E40)</f>
        <v>343.82940128000001</v>
      </c>
      <c r="M3" s="1776">
        <f>SUM(关键业绩指标滚动预判!F40:H40)</f>
        <v>196.70351381</v>
      </c>
      <c r="N3" s="1776">
        <f>SUM(关键业绩指标滚动预判!I40:K40)</f>
        <v>0</v>
      </c>
      <c r="O3" s="1776">
        <f>SUM(关键业绩指标滚动预判!L40:N40)</f>
        <v>0</v>
      </c>
      <c r="P3" s="1776">
        <f>SUM(L3:O3)</f>
        <v>540.53291508999996</v>
      </c>
      <c r="Q3" s="1777">
        <f>143118000/100000</f>
        <v>1431.18</v>
      </c>
      <c r="R3" s="1778">
        <f>P3/Q3</f>
        <v>0.37768339069159712</v>
      </c>
    </row>
    <row r="4" spans="2:18">
      <c r="B4" s="1775" t="s">
        <v>1987</v>
      </c>
      <c r="C4" s="1808">
        <f>C96-C95</f>
        <v>304.07274627000004</v>
      </c>
      <c r="D4" s="1808">
        <f t="shared" ref="D4:F4" si="0">D96-D95</f>
        <v>281.32852795999997</v>
      </c>
      <c r="E4" s="1808">
        <f t="shared" si="0"/>
        <v>392.71572990000004</v>
      </c>
      <c r="F4" s="1808">
        <f t="shared" si="0"/>
        <v>298.39954280000001</v>
      </c>
      <c r="G4" s="1809">
        <f>SUM(C4:F4)</f>
        <v>1276.51654693</v>
      </c>
      <c r="H4" s="1775"/>
      <c r="I4" s="1775"/>
      <c r="K4" s="1775" t="s">
        <v>1987</v>
      </c>
      <c r="L4" s="1775"/>
      <c r="M4" s="1775"/>
      <c r="N4" s="1775"/>
      <c r="O4" s="1775"/>
      <c r="P4" s="1776">
        <f>SUM(L4:O4)</f>
        <v>0</v>
      </c>
      <c r="Q4" s="1775"/>
      <c r="R4" s="1775"/>
    </row>
    <row r="5" spans="2:18">
      <c r="B5" s="1775" t="s">
        <v>1988</v>
      </c>
      <c r="C5" s="1808">
        <f>I96-I95</f>
        <v>302.62354453000006</v>
      </c>
      <c r="D5" s="1808">
        <f t="shared" ref="D5:F5" si="1">J96-J95</f>
        <v>281.14451738999998</v>
      </c>
      <c r="E5" s="1808">
        <f t="shared" si="1"/>
        <v>365.30213204</v>
      </c>
      <c r="F5" s="1808">
        <f t="shared" si="1"/>
        <v>289.38713447000003</v>
      </c>
      <c r="G5" s="1809">
        <f>SUM(C5:F5)</f>
        <v>1238.4573284300002</v>
      </c>
      <c r="H5" s="1775"/>
      <c r="I5" s="1775"/>
      <c r="K5" s="1775" t="s">
        <v>1988</v>
      </c>
      <c r="L5" s="1775"/>
      <c r="M5" s="1775"/>
      <c r="N5" s="1775"/>
      <c r="O5" s="1775"/>
      <c r="P5" s="1776">
        <f>SUM(L5:O5)</f>
        <v>0</v>
      </c>
      <c r="Q5" s="1775"/>
      <c r="R5" s="1775"/>
    </row>
    <row r="6" spans="2:18">
      <c r="B6" s="1775" t="s">
        <v>1989</v>
      </c>
      <c r="C6" s="1778">
        <f t="shared" ref="C6:G7" si="2">C3/C4-1</f>
        <v>0.11671543413656282</v>
      </c>
      <c r="D6" s="1778">
        <f t="shared" si="2"/>
        <v>-0.31300074833690517</v>
      </c>
      <c r="E6" s="1778">
        <f t="shared" si="2"/>
        <v>-1</v>
      </c>
      <c r="F6" s="1778">
        <f t="shared" si="2"/>
        <v>-1</v>
      </c>
      <c r="G6" s="1778">
        <f t="shared" si="2"/>
        <v>-0.58258651772163905</v>
      </c>
      <c r="H6" s="1775"/>
      <c r="I6" s="1775"/>
      <c r="K6" s="1775" t="s">
        <v>1989</v>
      </c>
      <c r="L6" s="1778" t="e">
        <f t="shared" ref="L6:P7" si="3">L3/L4-1</f>
        <v>#DIV/0!</v>
      </c>
      <c r="M6" s="1778" t="e">
        <f t="shared" si="3"/>
        <v>#DIV/0!</v>
      </c>
      <c r="N6" s="1778" t="e">
        <f t="shared" si="3"/>
        <v>#DIV/0!</v>
      </c>
      <c r="O6" s="1778" t="e">
        <f t="shared" si="3"/>
        <v>#DIV/0!</v>
      </c>
      <c r="P6" s="1778" t="e">
        <f t="shared" si="3"/>
        <v>#DIV/0!</v>
      </c>
      <c r="Q6" s="1775"/>
      <c r="R6" s="1775"/>
    </row>
    <row r="7" spans="2:18">
      <c r="B7" s="1775" t="s">
        <v>1990</v>
      </c>
      <c r="C7" s="1778">
        <f t="shared" si="2"/>
        <v>4.7887937544670578E-3</v>
      </c>
      <c r="D7" s="1778">
        <f t="shared" si="2"/>
        <v>6.5450527617705312E-4</v>
      </c>
      <c r="E7" s="1778">
        <f t="shared" si="2"/>
        <v>7.5043629520887389E-2</v>
      </c>
      <c r="F7" s="1778">
        <f t="shared" si="2"/>
        <v>3.1143085702499462E-2</v>
      </c>
      <c r="G7" s="1778">
        <f t="shared" si="2"/>
        <v>3.0731150461395185E-2</v>
      </c>
      <c r="H7" s="1775"/>
      <c r="I7" s="1775"/>
      <c r="K7" s="1775" t="s">
        <v>1990</v>
      </c>
      <c r="L7" s="1778" t="e">
        <f t="shared" si="3"/>
        <v>#DIV/0!</v>
      </c>
      <c r="M7" s="1778" t="e">
        <f t="shared" si="3"/>
        <v>#DIV/0!</v>
      </c>
      <c r="N7" s="1778" t="e">
        <f t="shared" si="3"/>
        <v>#DIV/0!</v>
      </c>
      <c r="O7" s="1778" t="e">
        <f t="shared" si="3"/>
        <v>#DIV/0!</v>
      </c>
      <c r="P7" s="1778" t="e">
        <f t="shared" si="3"/>
        <v>#DIV/0!</v>
      </c>
      <c r="Q7" s="1775"/>
      <c r="R7" s="1775"/>
    </row>
    <row r="8" spans="2:18">
      <c r="B8" s="1775" t="s">
        <v>1991</v>
      </c>
      <c r="C8" s="1778">
        <f>C6-C7</f>
        <v>0.11192664038209577</v>
      </c>
      <c r="D8" s="1778">
        <f>D6-D7</f>
        <v>-0.31365525361308222</v>
      </c>
      <c r="E8" s="1778">
        <f>E6-E7</f>
        <v>-1.0750436295208874</v>
      </c>
      <c r="F8" s="1778">
        <f>F6-F7</f>
        <v>-1.0311430857024995</v>
      </c>
      <c r="G8" s="1778">
        <f>G6-G7</f>
        <v>-0.61331766818303424</v>
      </c>
      <c r="H8" s="1775"/>
      <c r="I8" s="1775"/>
      <c r="K8" s="1775" t="s">
        <v>1991</v>
      </c>
      <c r="L8" s="1778" t="e">
        <f>L6-L7</f>
        <v>#DIV/0!</v>
      </c>
      <c r="M8" s="1778" t="e">
        <f>M6-M7</f>
        <v>#DIV/0!</v>
      </c>
      <c r="N8" s="1778" t="e">
        <f>N6-N7</f>
        <v>#DIV/0!</v>
      </c>
      <c r="O8" s="1778" t="e">
        <f>O6-O7</f>
        <v>#DIV/0!</v>
      </c>
      <c r="P8" s="1778" t="e">
        <f>P6-P7</f>
        <v>#DIV/0!</v>
      </c>
      <c r="Q8" s="1775"/>
      <c r="R8" s="1775"/>
    </row>
    <row r="10" spans="2:18" ht="15.6">
      <c r="B10" s="1785" t="s">
        <v>2027</v>
      </c>
      <c r="C10" s="1785" t="s">
        <v>1980</v>
      </c>
      <c r="D10" s="1785" t="s">
        <v>1981</v>
      </c>
      <c r="E10" s="1785" t="s">
        <v>1982</v>
      </c>
      <c r="F10" s="1785" t="s">
        <v>1983</v>
      </c>
      <c r="G10" s="1785" t="s">
        <v>1984</v>
      </c>
      <c r="H10" s="1785" t="s">
        <v>1985</v>
      </c>
      <c r="I10" s="1785" t="s">
        <v>1986</v>
      </c>
      <c r="K10" s="1785" t="s">
        <v>2030</v>
      </c>
      <c r="L10" s="1785" t="s">
        <v>1980</v>
      </c>
      <c r="M10" s="1785" t="s">
        <v>1981</v>
      </c>
      <c r="N10" s="1785" t="s">
        <v>1982</v>
      </c>
      <c r="O10" s="1785" t="s">
        <v>1983</v>
      </c>
      <c r="P10" s="1785" t="s">
        <v>1984</v>
      </c>
      <c r="Q10" s="1785" t="s">
        <v>1985</v>
      </c>
      <c r="R10" s="1785" t="s">
        <v>1986</v>
      </c>
    </row>
    <row r="11" spans="2:18">
      <c r="B11" s="1775" t="s">
        <v>1850</v>
      </c>
      <c r="C11" s="1776">
        <f>C3*假设!$G$14/1000</f>
        <v>217.24701326410897</v>
      </c>
      <c r="D11" s="1776">
        <f>D3*假设!$G$14/1000</f>
        <v>123.65276643933204</v>
      </c>
      <c r="E11" s="1776">
        <f>E3*假设!$G$14/1000</f>
        <v>0</v>
      </c>
      <c r="F11" s="1776">
        <f>F3*假设!$G$14/1000</f>
        <v>0</v>
      </c>
      <c r="G11" s="1776">
        <f>SUM(C11:F11)</f>
        <v>340.89977970344103</v>
      </c>
      <c r="H11" s="1777">
        <f>8653319.86/10000</f>
        <v>865.33198599999992</v>
      </c>
      <c r="I11" s="1778">
        <f>G11/H11</f>
        <v>0.39395259301490915</v>
      </c>
      <c r="K11" s="1775" t="s">
        <v>1850</v>
      </c>
      <c r="L11" s="1776">
        <f>SUMPRODUCT(关键业绩指标滚动预判!C40:E40,关键业绩指标滚动预判!C41:E41)/1000</f>
        <v>132.98293340113915</v>
      </c>
      <c r="M11" s="1776">
        <f>SUMPRODUCT(关键业绩指标滚动预判!F40:H40,关键业绩指标滚动预判!F41:H41)/1000</f>
        <v>77.537623449818881</v>
      </c>
      <c r="N11" s="1776">
        <f>SUMPRODUCT(关键业绩指标滚动预判!I40:K40,关键业绩指标滚动预判!I41:K41)/1000</f>
        <v>0</v>
      </c>
      <c r="O11" s="1779">
        <f>SUMPRODUCT(关键业绩指标滚动预判!L40:N40,关键业绩指标滚动预判!L41:N41)/1000</f>
        <v>0</v>
      </c>
      <c r="P11" s="1776">
        <f>SUM(L11:O11)</f>
        <v>210.52055685095803</v>
      </c>
      <c r="Q11" s="1777">
        <f>5475301.112/10000</f>
        <v>547.53011119999996</v>
      </c>
      <c r="R11" s="1778">
        <f>P11/Q11</f>
        <v>0.38449128649667963</v>
      </c>
    </row>
    <row r="12" spans="2:18">
      <c r="B12" s="1775" t="s">
        <v>1987</v>
      </c>
      <c r="C12" s="1810">
        <f>C4*假设!$F$14/1000</f>
        <v>190.76574466426013</v>
      </c>
      <c r="D12" s="1810">
        <f>D4*假设!$F$14/1000</f>
        <v>176.49673240999837</v>
      </c>
      <c r="E12" s="1810">
        <f>E4*假设!$F$14/1000</f>
        <v>246.37758422854512</v>
      </c>
      <c r="F12" s="1810">
        <f>F4*假设!$F$14/1000</f>
        <v>187.20655398419359</v>
      </c>
      <c r="G12" s="1776">
        <f>SUM(C12:F12)</f>
        <v>800.84661528699712</v>
      </c>
      <c r="H12" s="1775"/>
      <c r="I12" s="1775"/>
      <c r="K12" s="1775" t="s">
        <v>1987</v>
      </c>
      <c r="L12" s="1775"/>
      <c r="M12" s="1775"/>
      <c r="N12" s="1775"/>
      <c r="O12" s="1775"/>
      <c r="P12" s="1776">
        <f>SUM(L12:O12)</f>
        <v>0</v>
      </c>
      <c r="Q12" s="1775"/>
      <c r="R12" s="1775"/>
    </row>
    <row r="13" spans="2:18">
      <c r="B13" s="1775" t="s">
        <v>1988</v>
      </c>
      <c r="C13" s="1781">
        <f>C5*假设!$E$14/1000</f>
        <v>192.08422498879045</v>
      </c>
      <c r="D13" s="1781">
        <f>D5*假设!$E$14/1000</f>
        <v>178.45084332938325</v>
      </c>
      <c r="E13" s="1781">
        <f>E5*假设!$E$14/1000</f>
        <v>231.86820122880474</v>
      </c>
      <c r="F13" s="1781">
        <f>F5*假设!$E$14/1000</f>
        <v>183.68267919380727</v>
      </c>
      <c r="G13" s="1776">
        <f>SUM(C13:F13)</f>
        <v>786.08594874078574</v>
      </c>
      <c r="H13" s="1775"/>
      <c r="I13" s="1775"/>
      <c r="K13" s="1775" t="s">
        <v>1988</v>
      </c>
      <c r="L13" s="1775"/>
      <c r="M13" s="1775"/>
      <c r="N13" s="1775"/>
      <c r="O13" s="1775"/>
      <c r="P13" s="1776">
        <f>SUM(L13:O13)</f>
        <v>0</v>
      </c>
      <c r="Q13" s="1775"/>
      <c r="R13" s="1775"/>
    </row>
    <row r="14" spans="2:18">
      <c r="B14" s="1775" t="s">
        <v>1989</v>
      </c>
      <c r="C14" s="1778">
        <f t="shared" ref="C14:G15" si="4">C11/C12-1</f>
        <v>0.13881563823974163</v>
      </c>
      <c r="D14" s="1778">
        <f t="shared" si="4"/>
        <v>-0.29940478358494971</v>
      </c>
      <c r="E14" s="1778">
        <f t="shared" si="4"/>
        <v>-1</v>
      </c>
      <c r="F14" s="1778">
        <f t="shared" si="4"/>
        <v>-1</v>
      </c>
      <c r="G14" s="1778">
        <f t="shared" si="4"/>
        <v>-0.57432575327639523</v>
      </c>
      <c r="H14" s="1775"/>
      <c r="I14" s="1775"/>
      <c r="K14" s="1775" t="s">
        <v>1989</v>
      </c>
      <c r="L14" s="1778" t="e">
        <f t="shared" ref="L14:P15" si="5">L11/L12-1</f>
        <v>#DIV/0!</v>
      </c>
      <c r="M14" s="1778" t="e">
        <f t="shared" si="5"/>
        <v>#DIV/0!</v>
      </c>
      <c r="N14" s="1778" t="e">
        <f t="shared" si="5"/>
        <v>#DIV/0!</v>
      </c>
      <c r="O14" s="1778" t="e">
        <f t="shared" si="5"/>
        <v>#DIV/0!</v>
      </c>
      <c r="P14" s="1778" t="e">
        <f t="shared" si="5"/>
        <v>#DIV/0!</v>
      </c>
      <c r="Q14" s="1775"/>
      <c r="R14" s="1775"/>
    </row>
    <row r="15" spans="2:18">
      <c r="B15" s="1775" t="s">
        <v>1990</v>
      </c>
      <c r="C15" s="1778">
        <f>C12/C13-1</f>
        <v>-6.8640739478074142E-3</v>
      </c>
      <c r="D15" s="1778">
        <f t="shared" si="4"/>
        <v>-1.0950415716321382E-2</v>
      </c>
      <c r="E15" s="1778">
        <f t="shared" si="4"/>
        <v>6.2575993270516106E-2</v>
      </c>
      <c r="F15" s="1778">
        <f t="shared" si="4"/>
        <v>1.9184578566976418E-2</v>
      </c>
      <c r="G15" s="1778">
        <f t="shared" si="4"/>
        <v>1.8777420674998879E-2</v>
      </c>
      <c r="H15" s="1775"/>
      <c r="I15" s="1775"/>
      <c r="K15" s="1775" t="s">
        <v>1990</v>
      </c>
      <c r="L15" s="1778" t="e">
        <f t="shared" si="5"/>
        <v>#DIV/0!</v>
      </c>
      <c r="M15" s="1778" t="e">
        <f t="shared" si="5"/>
        <v>#DIV/0!</v>
      </c>
      <c r="N15" s="1778" t="e">
        <f t="shared" si="5"/>
        <v>#DIV/0!</v>
      </c>
      <c r="O15" s="1778" t="e">
        <f t="shared" si="5"/>
        <v>#DIV/0!</v>
      </c>
      <c r="P15" s="1778" t="e">
        <f t="shared" si="5"/>
        <v>#DIV/0!</v>
      </c>
      <c r="Q15" s="1775"/>
      <c r="R15" s="1775"/>
    </row>
    <row r="16" spans="2:18">
      <c r="B16" s="1775" t="s">
        <v>1991</v>
      </c>
      <c r="C16" s="1778">
        <f>C14-C15</f>
        <v>0.14567971218754905</v>
      </c>
      <c r="D16" s="1778">
        <f>D14-D15</f>
        <v>-0.28845436786862833</v>
      </c>
      <c r="E16" s="1778">
        <f>E14-E15</f>
        <v>-1.0625759932705161</v>
      </c>
      <c r="F16" s="1778">
        <f>F14-F15</f>
        <v>-1.0191845785669764</v>
      </c>
      <c r="G16" s="1778">
        <f>G14-G15</f>
        <v>-0.59310317395139411</v>
      </c>
      <c r="H16" s="1775"/>
      <c r="I16" s="1775"/>
      <c r="K16" s="1775" t="s">
        <v>1991</v>
      </c>
      <c r="L16" s="1778" t="e">
        <f>L14-L15</f>
        <v>#DIV/0!</v>
      </c>
      <c r="M16" s="1778" t="e">
        <f>M14-M15</f>
        <v>#DIV/0!</v>
      </c>
      <c r="N16" s="1778" t="e">
        <f>N14-N15</f>
        <v>#DIV/0!</v>
      </c>
      <c r="O16" s="1778" t="e">
        <f>O14-O15</f>
        <v>#DIV/0!</v>
      </c>
      <c r="P16" s="1778" t="e">
        <f>P14-P15</f>
        <v>#DIV/0!</v>
      </c>
      <c r="Q16" s="1775"/>
      <c r="R16" s="1775"/>
    </row>
    <row r="18" spans="2:18" ht="15.6">
      <c r="B18" s="1785" t="s">
        <v>2026</v>
      </c>
      <c r="C18" s="1785" t="s">
        <v>1980</v>
      </c>
      <c r="D18" s="1785" t="s">
        <v>1981</v>
      </c>
      <c r="E18" s="1785" t="s">
        <v>1982</v>
      </c>
      <c r="F18" s="1785" t="s">
        <v>1983</v>
      </c>
      <c r="G18" s="1785" t="s">
        <v>1984</v>
      </c>
      <c r="H18" s="1785" t="s">
        <v>1985</v>
      </c>
      <c r="I18" s="1785" t="s">
        <v>1986</v>
      </c>
      <c r="K18" s="1785" t="s">
        <v>2031</v>
      </c>
      <c r="L18" s="1785" t="s">
        <v>1980</v>
      </c>
      <c r="M18" s="1785" t="s">
        <v>1981</v>
      </c>
      <c r="N18" s="1785" t="s">
        <v>1982</v>
      </c>
      <c r="O18" s="1785" t="s">
        <v>1983</v>
      </c>
      <c r="P18" s="1785" t="s">
        <v>1984</v>
      </c>
      <c r="Q18" s="1785" t="s">
        <v>1985</v>
      </c>
      <c r="R18" s="1785" t="s">
        <v>1986</v>
      </c>
    </row>
    <row r="19" spans="2:18">
      <c r="B19" s="1775" t="s">
        <v>1850</v>
      </c>
      <c r="C19" s="1776"/>
      <c r="D19" s="1776"/>
      <c r="E19" s="1776"/>
      <c r="F19" s="1776"/>
      <c r="G19" s="1776">
        <f>SUM(C19:F19)</f>
        <v>0</v>
      </c>
      <c r="H19" s="1777">
        <f>8967707.08/10000</f>
        <v>896.77070800000001</v>
      </c>
      <c r="I19" s="1778">
        <f>G19/H19</f>
        <v>0</v>
      </c>
      <c r="K19" s="1775" t="s">
        <v>1850</v>
      </c>
      <c r="L19" s="1776"/>
      <c r="M19" s="1776"/>
      <c r="N19" s="1776"/>
      <c r="O19" s="1779"/>
      <c r="P19" s="1776">
        <f>SUM(L19:O19)</f>
        <v>0</v>
      </c>
      <c r="Q19" s="1777">
        <f>2810877.7615/10000</f>
        <v>281.08777615000002</v>
      </c>
      <c r="R19" s="1778">
        <f>P19/Q19</f>
        <v>0</v>
      </c>
    </row>
    <row r="20" spans="2:18">
      <c r="B20" s="1775" t="s">
        <v>1987</v>
      </c>
      <c r="C20" s="1775"/>
      <c r="D20" s="1775"/>
      <c r="E20" s="1775"/>
      <c r="F20" s="1775"/>
      <c r="G20" s="1776">
        <f>SUM(C20:F20)</f>
        <v>0</v>
      </c>
      <c r="H20" s="1775"/>
      <c r="I20" s="1775"/>
      <c r="K20" s="1775" t="s">
        <v>1987</v>
      </c>
      <c r="L20" s="1775"/>
      <c r="M20" s="1775"/>
      <c r="N20" s="1775"/>
      <c r="O20" s="1775"/>
      <c r="P20" s="1776">
        <f>SUM(L20:O20)</f>
        <v>0</v>
      </c>
      <c r="Q20" s="1775"/>
      <c r="R20" s="1775"/>
    </row>
    <row r="21" spans="2:18">
      <c r="B21" s="1775" t="s">
        <v>1992</v>
      </c>
      <c r="C21" s="1775" t="e">
        <f>C19/C20-1</f>
        <v>#DIV/0!</v>
      </c>
      <c r="D21" s="1775" t="e">
        <f>D19/D20-1</f>
        <v>#DIV/0!</v>
      </c>
      <c r="E21" s="1775" t="e">
        <f>E19/E20-1</f>
        <v>#DIV/0!</v>
      </c>
      <c r="F21" s="1775" t="e">
        <f>F19/F20-1</f>
        <v>#DIV/0!</v>
      </c>
      <c r="G21" s="1775" t="e">
        <f>G19/G20-1</f>
        <v>#DIV/0!</v>
      </c>
      <c r="H21" s="1775"/>
      <c r="I21" s="1775"/>
      <c r="K21" s="1775" t="s">
        <v>1988</v>
      </c>
      <c r="L21" s="1775"/>
      <c r="M21" s="1775"/>
      <c r="N21" s="1775"/>
      <c r="O21" s="1775"/>
      <c r="P21" s="1776">
        <f>SUM(L21:O21)</f>
        <v>0</v>
      </c>
      <c r="Q21" s="1775"/>
      <c r="R21" s="1775"/>
    </row>
    <row r="22" spans="2:18">
      <c r="B22" s="1775" t="s">
        <v>1989</v>
      </c>
      <c r="C22" s="1775" t="e">
        <f t="shared" ref="C22:G23" si="6">C19/C20-1</f>
        <v>#DIV/0!</v>
      </c>
      <c r="D22" s="1775" t="e">
        <f t="shared" si="6"/>
        <v>#DIV/0!</v>
      </c>
      <c r="E22" s="1775" t="e">
        <f t="shared" si="6"/>
        <v>#DIV/0!</v>
      </c>
      <c r="F22" s="1775" t="e">
        <f t="shared" si="6"/>
        <v>#DIV/0!</v>
      </c>
      <c r="G22" s="1775" t="e">
        <f t="shared" si="6"/>
        <v>#DIV/0!</v>
      </c>
      <c r="H22" s="1775"/>
      <c r="I22" s="1775"/>
      <c r="K22" s="1775" t="s">
        <v>1989</v>
      </c>
      <c r="L22" s="1778" t="e">
        <f t="shared" ref="L22:P23" si="7">L19/L20-1</f>
        <v>#DIV/0!</v>
      </c>
      <c r="M22" s="1778" t="e">
        <f t="shared" si="7"/>
        <v>#DIV/0!</v>
      </c>
      <c r="N22" s="1778" t="e">
        <f t="shared" si="7"/>
        <v>#DIV/0!</v>
      </c>
      <c r="O22" s="1778" t="e">
        <f t="shared" si="7"/>
        <v>#DIV/0!</v>
      </c>
      <c r="P22" s="1778" t="e">
        <f t="shared" si="7"/>
        <v>#DIV/0!</v>
      </c>
      <c r="Q22" s="1775"/>
      <c r="R22" s="1775"/>
    </row>
    <row r="23" spans="2:18">
      <c r="B23" s="1775" t="s">
        <v>1990</v>
      </c>
      <c r="C23" s="1775" t="e">
        <f t="shared" si="6"/>
        <v>#DIV/0!</v>
      </c>
      <c r="D23" s="1775" t="e">
        <f t="shared" si="6"/>
        <v>#DIV/0!</v>
      </c>
      <c r="E23" s="1775" t="e">
        <f t="shared" si="6"/>
        <v>#DIV/0!</v>
      </c>
      <c r="F23" s="1775" t="e">
        <f t="shared" si="6"/>
        <v>#DIV/0!</v>
      </c>
      <c r="G23" s="1775" t="e">
        <f t="shared" si="6"/>
        <v>#DIV/0!</v>
      </c>
      <c r="H23" s="1775"/>
      <c r="I23" s="1775"/>
      <c r="K23" s="1775" t="s">
        <v>1990</v>
      </c>
      <c r="L23" s="1778" t="e">
        <f t="shared" si="7"/>
        <v>#DIV/0!</v>
      </c>
      <c r="M23" s="1778" t="e">
        <f t="shared" si="7"/>
        <v>#DIV/0!</v>
      </c>
      <c r="N23" s="1778" t="e">
        <f t="shared" si="7"/>
        <v>#DIV/0!</v>
      </c>
      <c r="O23" s="1778" t="e">
        <f t="shared" si="7"/>
        <v>#DIV/0!</v>
      </c>
      <c r="P23" s="1778" t="e">
        <f t="shared" si="7"/>
        <v>#DIV/0!</v>
      </c>
      <c r="Q23" s="1775"/>
      <c r="R23" s="1775"/>
    </row>
    <row r="24" spans="2:18">
      <c r="B24" s="1775" t="s">
        <v>1991</v>
      </c>
      <c r="C24" s="1775" t="e">
        <f>C22-C23</f>
        <v>#DIV/0!</v>
      </c>
      <c r="D24" s="1775" t="e">
        <f>D22-D23</f>
        <v>#DIV/0!</v>
      </c>
      <c r="E24" s="1775" t="e">
        <f>E22-E23</f>
        <v>#DIV/0!</v>
      </c>
      <c r="F24" s="1775" t="e">
        <f>F22-F23</f>
        <v>#DIV/0!</v>
      </c>
      <c r="G24" s="1775" t="e">
        <f>G22-G23</f>
        <v>#DIV/0!</v>
      </c>
      <c r="H24" s="1775"/>
      <c r="I24" s="1775"/>
      <c r="K24" s="1775" t="s">
        <v>1991</v>
      </c>
      <c r="L24" s="1778" t="e">
        <f>L22-L23</f>
        <v>#DIV/0!</v>
      </c>
      <c r="M24" s="1778" t="e">
        <f>M22-M23</f>
        <v>#DIV/0!</v>
      </c>
      <c r="N24" s="1778" t="e">
        <f>N22-N23</f>
        <v>#DIV/0!</v>
      </c>
      <c r="O24" s="1778" t="e">
        <f>O22-O23</f>
        <v>#DIV/0!</v>
      </c>
      <c r="P24" s="1778" t="e">
        <f>P22-P23</f>
        <v>#DIV/0!</v>
      </c>
      <c r="Q24" s="1775"/>
      <c r="R24" s="1775"/>
    </row>
    <row r="25" spans="2:18">
      <c r="B25" s="1775" t="s">
        <v>1993</v>
      </c>
      <c r="C25" s="1780" t="e">
        <f>C21-L38</f>
        <v>#DIV/0!</v>
      </c>
      <c r="D25" s="1780" t="e">
        <f>D21-M38</f>
        <v>#DIV/0!</v>
      </c>
      <c r="E25" s="1780" t="e">
        <f>E21-N38</f>
        <v>#DIV/0!</v>
      </c>
      <c r="F25" s="1780" t="e">
        <f>F21-O38</f>
        <v>#DIV/0!</v>
      </c>
      <c r="G25" s="1780" t="e">
        <f>G21-P38</f>
        <v>#DIV/0!</v>
      </c>
    </row>
    <row r="26" spans="2:18" ht="15.6">
      <c r="K26" s="1785" t="s">
        <v>2032</v>
      </c>
      <c r="L26" s="1785" t="s">
        <v>1980</v>
      </c>
      <c r="M26" s="1785" t="s">
        <v>1981</v>
      </c>
      <c r="N26" s="1785" t="s">
        <v>1982</v>
      </c>
      <c r="O26" s="1785" t="s">
        <v>1983</v>
      </c>
      <c r="P26" s="1785" t="s">
        <v>1984</v>
      </c>
      <c r="Q26" s="1785" t="s">
        <v>1985</v>
      </c>
      <c r="R26" s="1785" t="s">
        <v>1986</v>
      </c>
    </row>
    <row r="27" spans="2:18" ht="15.6">
      <c r="B27" s="1785" t="s">
        <v>2025</v>
      </c>
      <c r="C27" s="1785" t="s">
        <v>1980</v>
      </c>
      <c r="D27" s="1785" t="s">
        <v>1981</v>
      </c>
      <c r="E27" s="1785" t="s">
        <v>1982</v>
      </c>
      <c r="F27" s="1785" t="s">
        <v>1983</v>
      </c>
      <c r="G27" s="1785" t="s">
        <v>1984</v>
      </c>
      <c r="H27" s="1785" t="s">
        <v>1985</v>
      </c>
      <c r="I27" s="1785" t="s">
        <v>1986</v>
      </c>
      <c r="K27" s="1775" t="s">
        <v>1850</v>
      </c>
      <c r="L27" s="1776">
        <f>SUM(关键业绩指标滚动预判!C45:E45)</f>
        <v>0.83920547249999999</v>
      </c>
      <c r="M27" s="1776">
        <f>SUM(关键业绩指标滚动预判!F45:H45)</f>
        <v>0.7267258431000001</v>
      </c>
      <c r="N27" s="1776">
        <f>SUM(关键业绩指标滚动预判!I45:K45)</f>
        <v>0</v>
      </c>
      <c r="O27" s="1776">
        <f>SUM(关键业绩指标滚动预判!L45:N45)</f>
        <v>0</v>
      </c>
      <c r="P27" s="1776">
        <f>SUM(L27:O27)</f>
        <v>1.5659313156000001</v>
      </c>
      <c r="Q27" s="1777">
        <f>58107.9633/10000</f>
        <v>5.8107963300000005</v>
      </c>
      <c r="R27" s="1778">
        <f>P27/Q27</f>
        <v>0.26948652588551492</v>
      </c>
    </row>
    <row r="28" spans="2:18">
      <c r="B28" s="1775" t="s">
        <v>1850</v>
      </c>
      <c r="C28" s="1776"/>
      <c r="D28" s="1776"/>
      <c r="E28" s="1776"/>
      <c r="F28" s="1776"/>
      <c r="G28" s="1776">
        <f>SUM(C28:F28)</f>
        <v>0</v>
      </c>
      <c r="H28" s="1777">
        <f>314669.2432/10000</f>
        <v>31.466924320000004</v>
      </c>
      <c r="I28" s="1778">
        <f>G28/H28</f>
        <v>0</v>
      </c>
      <c r="K28" s="1775" t="s">
        <v>1987</v>
      </c>
      <c r="L28" s="1775"/>
      <c r="M28" s="1775"/>
      <c r="N28" s="1775"/>
      <c r="O28" s="1775"/>
      <c r="P28" s="1776">
        <f>SUM(L28:O28)</f>
        <v>0</v>
      </c>
      <c r="Q28" s="1775"/>
      <c r="R28" s="1775"/>
    </row>
    <row r="29" spans="2:18">
      <c r="B29" s="1775" t="s">
        <v>1987</v>
      </c>
      <c r="C29" s="1775"/>
      <c r="D29" s="1775"/>
      <c r="E29" s="1775"/>
      <c r="F29" s="1775"/>
      <c r="G29" s="1776">
        <f>SUM(C29:F29)</f>
        <v>0</v>
      </c>
      <c r="H29" s="1775"/>
      <c r="I29" s="1775"/>
      <c r="K29" s="1775" t="s">
        <v>1988</v>
      </c>
      <c r="L29" s="1775"/>
      <c r="M29" s="1775"/>
      <c r="N29" s="1775"/>
      <c r="O29" s="1775"/>
      <c r="P29" s="1776">
        <f>SUM(L29:O29)</f>
        <v>0</v>
      </c>
      <c r="Q29" s="1775"/>
      <c r="R29" s="1775"/>
    </row>
    <row r="30" spans="2:18">
      <c r="B30" s="1775" t="s">
        <v>1994</v>
      </c>
      <c r="C30" s="1781">
        <f>C28-C29</f>
        <v>0</v>
      </c>
      <c r="D30" s="1781">
        <f>D28-D29</f>
        <v>0</v>
      </c>
      <c r="E30" s="1781">
        <f>E28-E29</f>
        <v>0</v>
      </c>
      <c r="F30" s="1781">
        <f>F28-F29</f>
        <v>0</v>
      </c>
      <c r="G30" s="1781">
        <f>G28-G29</f>
        <v>0</v>
      </c>
      <c r="H30" s="1775"/>
      <c r="I30" s="1775"/>
      <c r="K30" s="1775" t="s">
        <v>1989</v>
      </c>
      <c r="L30" s="1778" t="e">
        <f t="shared" ref="L30:P31" si="8">L27/L28-1</f>
        <v>#DIV/0!</v>
      </c>
      <c r="M30" s="1778" t="e">
        <f t="shared" si="8"/>
        <v>#DIV/0!</v>
      </c>
      <c r="N30" s="1778" t="e">
        <f t="shared" si="8"/>
        <v>#DIV/0!</v>
      </c>
      <c r="O30" s="1778" t="e">
        <f t="shared" si="8"/>
        <v>#DIV/0!</v>
      </c>
      <c r="P30" s="1778" t="e">
        <f t="shared" si="8"/>
        <v>#DIV/0!</v>
      </c>
      <c r="Q30" s="1775"/>
      <c r="R30" s="1775"/>
    </row>
    <row r="31" spans="2:18">
      <c r="B31" s="1775" t="s">
        <v>1992</v>
      </c>
      <c r="C31" s="1775" t="e">
        <f>C28/C29-1</f>
        <v>#DIV/0!</v>
      </c>
      <c r="D31" s="1775" t="e">
        <f>D28/D29-1</f>
        <v>#DIV/0!</v>
      </c>
      <c r="E31" s="1775" t="e">
        <f>E28/E29-1</f>
        <v>#DIV/0!</v>
      </c>
      <c r="F31" s="1775" t="e">
        <f>F28/F29-1</f>
        <v>#DIV/0!</v>
      </c>
      <c r="G31" s="1775" t="e">
        <f>G28/G29-1</f>
        <v>#DIV/0!</v>
      </c>
      <c r="H31" s="1775"/>
      <c r="I31" s="1775"/>
      <c r="K31" s="1775" t="s">
        <v>1990</v>
      </c>
      <c r="L31" s="1778" t="e">
        <f t="shared" si="8"/>
        <v>#DIV/0!</v>
      </c>
      <c r="M31" s="1778" t="e">
        <f t="shared" si="8"/>
        <v>#DIV/0!</v>
      </c>
      <c r="N31" s="1778" t="e">
        <f t="shared" si="8"/>
        <v>#DIV/0!</v>
      </c>
      <c r="O31" s="1778" t="e">
        <f t="shared" si="8"/>
        <v>#DIV/0!</v>
      </c>
      <c r="P31" s="1778" t="e">
        <f t="shared" si="8"/>
        <v>#DIV/0!</v>
      </c>
      <c r="Q31" s="1775"/>
      <c r="R31" s="1775"/>
    </row>
    <row r="32" spans="2:18">
      <c r="B32" s="1775" t="s">
        <v>1989</v>
      </c>
      <c r="C32" s="1775" t="e">
        <f>C28/C29-1</f>
        <v>#DIV/0!</v>
      </c>
      <c r="D32" s="1775" t="e">
        <f>D28/D29-1</f>
        <v>#DIV/0!</v>
      </c>
      <c r="E32" s="1775" t="e">
        <f>E28/E29-1</f>
        <v>#DIV/0!</v>
      </c>
      <c r="F32" s="1775" t="e">
        <f>F28/F29-1</f>
        <v>#DIV/0!</v>
      </c>
      <c r="G32" s="1775" t="e">
        <f>G28/G29-1</f>
        <v>#DIV/0!</v>
      </c>
      <c r="H32" s="1775"/>
      <c r="I32" s="1775"/>
      <c r="K32" s="1775" t="s">
        <v>1991</v>
      </c>
      <c r="L32" s="1778" t="e">
        <f>L30-L31</f>
        <v>#DIV/0!</v>
      </c>
      <c r="M32" s="1778" t="e">
        <f>M30-M31</f>
        <v>#DIV/0!</v>
      </c>
      <c r="N32" s="1778" t="e">
        <f>N30-N31</f>
        <v>#DIV/0!</v>
      </c>
      <c r="O32" s="1778" t="e">
        <f>O30-O31</f>
        <v>#DIV/0!</v>
      </c>
      <c r="P32" s="1778" t="e">
        <f>P30-P31</f>
        <v>#DIV/0!</v>
      </c>
      <c r="Q32" s="1775"/>
      <c r="R32" s="1775"/>
    </row>
    <row r="33" spans="2:18">
      <c r="B33" s="1775" t="s">
        <v>1990</v>
      </c>
      <c r="C33" s="1775" t="e">
        <f>C29/C31-1</f>
        <v>#DIV/0!</v>
      </c>
      <c r="D33" s="1775" t="e">
        <f>D29/D31-1</f>
        <v>#DIV/0!</v>
      </c>
      <c r="E33" s="1775" t="e">
        <f>E29/E31-1</f>
        <v>#DIV/0!</v>
      </c>
      <c r="F33" s="1775" t="e">
        <f>F29/F31-1</f>
        <v>#DIV/0!</v>
      </c>
      <c r="G33" s="1775" t="e">
        <f>G29/G31-1</f>
        <v>#DIV/0!</v>
      </c>
      <c r="H33" s="1775"/>
      <c r="I33" s="1775"/>
    </row>
    <row r="34" spans="2:18" ht="15.6">
      <c r="B34" s="1775" t="s">
        <v>1991</v>
      </c>
      <c r="C34" s="1775" t="e">
        <f>C32-C33</f>
        <v>#DIV/0!</v>
      </c>
      <c r="D34" s="1775" t="e">
        <f>D32-D33</f>
        <v>#DIV/0!</v>
      </c>
      <c r="E34" s="1775" t="e">
        <f>E32-E33</f>
        <v>#DIV/0!</v>
      </c>
      <c r="F34" s="1775" t="e">
        <f>F32-F33</f>
        <v>#DIV/0!</v>
      </c>
      <c r="G34" s="1775" t="e">
        <f>G32-G33</f>
        <v>#DIV/0!</v>
      </c>
      <c r="H34" s="1775"/>
      <c r="I34" s="1775"/>
      <c r="K34" s="1785" t="s">
        <v>2033</v>
      </c>
      <c r="L34" s="1785" t="s">
        <v>1980</v>
      </c>
      <c r="M34" s="1785" t="s">
        <v>1981</v>
      </c>
      <c r="N34" s="1785" t="s">
        <v>1982</v>
      </c>
      <c r="O34" s="1785" t="s">
        <v>1983</v>
      </c>
      <c r="P34" s="1785" t="s">
        <v>1984</v>
      </c>
      <c r="Q34" s="1785" t="s">
        <v>1985</v>
      </c>
      <c r="R34" s="1785" t="s">
        <v>1986</v>
      </c>
    </row>
    <row r="35" spans="2:18">
      <c r="K35" s="1775" t="s">
        <v>1850</v>
      </c>
      <c r="L35" s="1776"/>
      <c r="M35" s="1776"/>
      <c r="N35" s="1776"/>
      <c r="O35" s="1779"/>
      <c r="P35" s="1776">
        <f>SUM(L35:O35)</f>
        <v>0</v>
      </c>
      <c r="Q35" s="1777">
        <f>8664892.8368/10000</f>
        <v>866.48928367999997</v>
      </c>
      <c r="R35" s="1778">
        <f>P35/Q35</f>
        <v>0</v>
      </c>
    </row>
    <row r="36" spans="2:18">
      <c r="K36" s="1775" t="s">
        <v>1987</v>
      </c>
      <c r="L36" s="1775"/>
      <c r="M36" s="1775"/>
      <c r="N36" s="1775"/>
      <c r="O36" s="1775"/>
      <c r="P36" s="1776">
        <f>SUM(L36:O36)</f>
        <v>0</v>
      </c>
      <c r="Q36" s="1775"/>
      <c r="R36" s="1775"/>
    </row>
    <row r="37" spans="2:18">
      <c r="B37" s="1782" t="s">
        <v>1995</v>
      </c>
      <c r="K37" s="1775" t="s">
        <v>1988</v>
      </c>
      <c r="L37" s="1775"/>
      <c r="M37" s="1775"/>
      <c r="N37" s="1775"/>
      <c r="O37" s="1775"/>
      <c r="P37" s="1776">
        <f>SUM(L37:O37)</f>
        <v>0</v>
      </c>
      <c r="Q37" s="1775"/>
      <c r="R37" s="1775"/>
    </row>
    <row r="38" spans="2:18">
      <c r="B38" s="1782" t="s">
        <v>1746</v>
      </c>
      <c r="K38" s="1775" t="s">
        <v>1989</v>
      </c>
      <c r="L38" s="1778" t="e">
        <f t="shared" ref="L38:P39" si="9">L35/L36-1</f>
        <v>#DIV/0!</v>
      </c>
      <c r="M38" s="1778" t="e">
        <f t="shared" si="9"/>
        <v>#DIV/0!</v>
      </c>
      <c r="N38" s="1778" t="e">
        <f t="shared" si="9"/>
        <v>#DIV/0!</v>
      </c>
      <c r="O38" s="1778" t="e">
        <f t="shared" si="9"/>
        <v>#DIV/0!</v>
      </c>
      <c r="P38" s="1778" t="e">
        <f t="shared" si="9"/>
        <v>#DIV/0!</v>
      </c>
      <c r="Q38" s="1775"/>
      <c r="R38" s="1775"/>
    </row>
    <row r="39" spans="2:18">
      <c r="B39" s="1782" t="s">
        <v>1996</v>
      </c>
      <c r="K39" s="1775" t="s">
        <v>1990</v>
      </c>
      <c r="L39" s="1778" t="e">
        <f t="shared" si="9"/>
        <v>#DIV/0!</v>
      </c>
      <c r="M39" s="1778" t="e">
        <f t="shared" si="9"/>
        <v>#DIV/0!</v>
      </c>
      <c r="N39" s="1778" t="e">
        <f t="shared" si="9"/>
        <v>#DIV/0!</v>
      </c>
      <c r="O39" s="1778" t="e">
        <f t="shared" si="9"/>
        <v>#DIV/0!</v>
      </c>
      <c r="P39" s="1778" t="e">
        <f t="shared" si="9"/>
        <v>#DIV/0!</v>
      </c>
      <c r="Q39" s="1775"/>
      <c r="R39" s="1775"/>
    </row>
    <row r="40" spans="2:18">
      <c r="K40" s="1775" t="s">
        <v>1991</v>
      </c>
      <c r="L40" s="1778" t="e">
        <f>L38-L39</f>
        <v>#DIV/0!</v>
      </c>
      <c r="M40" s="1778" t="e">
        <f>M38-M39</f>
        <v>#DIV/0!</v>
      </c>
      <c r="N40" s="1778" t="e">
        <f>N38-N39</f>
        <v>#DIV/0!</v>
      </c>
      <c r="O40" s="1778" t="e">
        <f>O38-O39</f>
        <v>#DIV/0!</v>
      </c>
      <c r="P40" s="1778" t="e">
        <f>P38-P39</f>
        <v>#DIV/0!</v>
      </c>
      <c r="Q40" s="1775"/>
      <c r="R40" s="1775"/>
    </row>
    <row r="41" spans="2:18">
      <c r="K41" s="1783"/>
      <c r="L41" s="1784"/>
      <c r="M41" s="1784"/>
      <c r="N41" s="1784"/>
      <c r="O41" s="1784"/>
      <c r="P41" s="1784"/>
      <c r="Q41" s="1783"/>
      <c r="R41" s="1783"/>
    </row>
    <row r="42" spans="2:18" ht="16.5" customHeight="1">
      <c r="J42" s="2490" t="s">
        <v>1997</v>
      </c>
      <c r="K42" s="2491"/>
      <c r="L42" s="2491"/>
      <c r="M42" s="2491"/>
      <c r="N42" s="2491"/>
      <c r="O42" s="2491"/>
      <c r="P42" s="1783"/>
      <c r="Q42" s="1783"/>
    </row>
    <row r="43" spans="2:18" ht="31.2">
      <c r="B43" s="1785" t="s">
        <v>2024</v>
      </c>
      <c r="C43" s="1785" t="s">
        <v>1980</v>
      </c>
      <c r="D43" s="1785" t="s">
        <v>1981</v>
      </c>
      <c r="E43" s="1785" t="s">
        <v>1982</v>
      </c>
      <c r="F43" s="1785" t="s">
        <v>1983</v>
      </c>
      <c r="G43" s="1785" t="s">
        <v>1984</v>
      </c>
      <c r="H43" s="1785" t="s">
        <v>1986</v>
      </c>
      <c r="J43" s="1814" t="s">
        <v>1980</v>
      </c>
      <c r="K43" s="1814" t="s">
        <v>2037</v>
      </c>
      <c r="L43" s="1814" t="s">
        <v>2038</v>
      </c>
      <c r="M43" s="1814" t="s">
        <v>2039</v>
      </c>
      <c r="N43" s="1814" t="s">
        <v>2040</v>
      </c>
      <c r="O43" s="1814" t="s">
        <v>2041</v>
      </c>
      <c r="P43" s="1784"/>
      <c r="Q43" s="1783"/>
      <c r="R43" s="1783"/>
    </row>
    <row r="44" spans="2:18" ht="15.6">
      <c r="B44" s="1774" t="s">
        <v>2021</v>
      </c>
      <c r="C44" s="1816">
        <f>C45+C48</f>
        <v>220.44500070430897</v>
      </c>
      <c r="D44" s="1816">
        <f t="shared" ref="D44:F44" si="10">D45+D48</f>
        <v>124.46115891369205</v>
      </c>
      <c r="E44" s="1816">
        <f t="shared" si="10"/>
        <v>0</v>
      </c>
      <c r="F44" s="1816">
        <f t="shared" si="10"/>
        <v>0</v>
      </c>
      <c r="G44" s="1816">
        <f>SUM(C44:F44)</f>
        <v>344.90615961800103</v>
      </c>
      <c r="H44" s="1813">
        <f>G44/(H11+假设!G26)</f>
        <v>0.39122707877382162</v>
      </c>
      <c r="J44" s="1774" t="s">
        <v>2021</v>
      </c>
      <c r="K44" s="1816">
        <f>C44</f>
        <v>220.44500070430897</v>
      </c>
      <c r="L44" s="1816">
        <f>K44-C53</f>
        <v>27.416490246908836</v>
      </c>
      <c r="M44" s="1817">
        <f>L44/C53</f>
        <v>0.14203337207515487</v>
      </c>
      <c r="N44" s="1818"/>
      <c r="O44" s="1818"/>
      <c r="P44" s="1784"/>
      <c r="Q44" s="1783"/>
      <c r="R44" s="1783"/>
    </row>
    <row r="45" spans="2:18" ht="15.6">
      <c r="B45" s="1774" t="s">
        <v>1998</v>
      </c>
      <c r="C45" s="1818">
        <f>C11</f>
        <v>217.24701326410897</v>
      </c>
      <c r="D45" s="1818">
        <f t="shared" ref="D45:F45" si="11">D11</f>
        <v>123.65276643933204</v>
      </c>
      <c r="E45" s="1818">
        <f t="shared" si="11"/>
        <v>0</v>
      </c>
      <c r="F45" s="1818">
        <f t="shared" si="11"/>
        <v>0</v>
      </c>
      <c r="G45" s="1816">
        <f>SUM(C45:F45)</f>
        <v>340.89977970344103</v>
      </c>
      <c r="H45" s="1778">
        <f>G45/H11</f>
        <v>0.39395259301490915</v>
      </c>
      <c r="J45" s="1774" t="s">
        <v>1998</v>
      </c>
      <c r="K45" s="1816">
        <f t="shared" ref="K45:K48" si="12">C45</f>
        <v>217.24701326410897</v>
      </c>
      <c r="L45" s="1816">
        <f t="shared" ref="L45:L48" si="13">K45-C54</f>
        <v>26.481268599848846</v>
      </c>
      <c r="M45" s="1817">
        <f t="shared" ref="M45:M48" si="14">L45/C54</f>
        <v>0.13881563823974158</v>
      </c>
      <c r="N45" s="1818"/>
      <c r="O45" s="1818"/>
      <c r="P45" s="1784"/>
      <c r="Q45" s="1783"/>
      <c r="R45" s="1783"/>
    </row>
    <row r="46" spans="2:18">
      <c r="B46" s="1805" t="s">
        <v>2010</v>
      </c>
      <c r="C46" s="1776">
        <f>C3</f>
        <v>339.56272885999999</v>
      </c>
      <c r="D46" s="1776">
        <f t="shared" ref="D46:F46" si="15">D3</f>
        <v>193.27248818000004</v>
      </c>
      <c r="E46" s="1776">
        <f t="shared" si="15"/>
        <v>0</v>
      </c>
      <c r="F46" s="1776">
        <f t="shared" si="15"/>
        <v>0</v>
      </c>
      <c r="G46" s="1781">
        <f>SUM(C46:F46)</f>
        <v>532.83521704000009</v>
      </c>
      <c r="H46" s="1778">
        <f>G46/H3</f>
        <v>0.40987324387692314</v>
      </c>
      <c r="J46" s="1805" t="s">
        <v>2034</v>
      </c>
      <c r="K46" s="1781">
        <f t="shared" si="12"/>
        <v>339.56272885999999</v>
      </c>
      <c r="L46" s="1781">
        <f t="shared" si="13"/>
        <v>35.489982589999954</v>
      </c>
      <c r="M46" s="1778">
        <f t="shared" si="14"/>
        <v>0.11671543413656278</v>
      </c>
      <c r="N46" s="1807">
        <f>(C46-C55)*C56/1000</f>
        <v>22.265306706873805</v>
      </c>
      <c r="O46" s="1822">
        <f>N46/$L$44</f>
        <v>0.81211367707375237</v>
      </c>
      <c r="P46" s="1784"/>
      <c r="Q46" s="1783"/>
      <c r="R46" s="1783"/>
    </row>
    <row r="47" spans="2:18">
      <c r="B47" s="1805" t="s">
        <v>2011</v>
      </c>
      <c r="C47" s="1776">
        <f>假设!$G$14</f>
        <v>639.78462534290338</v>
      </c>
      <c r="D47" s="1776">
        <f>假设!$G$14</f>
        <v>639.78462534290338</v>
      </c>
      <c r="E47" s="1776">
        <f>假设!$G$14</f>
        <v>639.78462534290338</v>
      </c>
      <c r="F47" s="1776">
        <f>假设!$G$14</f>
        <v>639.78462534290338</v>
      </c>
      <c r="G47" s="1776">
        <f>假设!$G$14</f>
        <v>639.78462534290338</v>
      </c>
      <c r="H47" s="1812" t="s">
        <v>2022</v>
      </c>
      <c r="J47" s="1805" t="s">
        <v>2035</v>
      </c>
      <c r="K47" s="1781">
        <f t="shared" si="12"/>
        <v>639.78462534290338</v>
      </c>
      <c r="L47" s="1781">
        <f t="shared" si="13"/>
        <v>12.415855848282035</v>
      </c>
      <c r="M47" s="1778">
        <f t="shared" si="14"/>
        <v>1.9790363263194728E-2</v>
      </c>
      <c r="N47" s="1807">
        <f>C46*(C47-C56)/1000</f>
        <v>4.215961892975038</v>
      </c>
      <c r="O47" s="1822">
        <f t="shared" ref="O47:O48" si="16">N47/$L$44</f>
        <v>0.15377467556958282</v>
      </c>
      <c r="P47" s="1784"/>
      <c r="Q47" s="1783"/>
      <c r="R47" s="1783"/>
    </row>
    <row r="48" spans="2:18" ht="15.6">
      <c r="B48" s="1774" t="s">
        <v>2012</v>
      </c>
      <c r="C48" s="1816">
        <f>C49*C50/1000</f>
        <v>3.1979874402000004</v>
      </c>
      <c r="D48" s="1816">
        <f t="shared" ref="D48:F48" si="17">D49*D50/1000</f>
        <v>0.80839247436000006</v>
      </c>
      <c r="E48" s="1816">
        <f t="shared" si="17"/>
        <v>0</v>
      </c>
      <c r="F48" s="1816">
        <f t="shared" si="17"/>
        <v>0</v>
      </c>
      <c r="G48" s="1816">
        <f t="shared" ref="G48:G49" si="18">SUM(C48:F48)</f>
        <v>4.0063799145600001</v>
      </c>
      <c r="H48" s="1778">
        <f>G48/假设!G26</f>
        <v>0.24625924980047881</v>
      </c>
      <c r="J48" s="1774" t="s">
        <v>2036</v>
      </c>
      <c r="K48" s="1816">
        <f t="shared" si="12"/>
        <v>3.1979874402000004</v>
      </c>
      <c r="L48" s="1816">
        <f t="shared" si="13"/>
        <v>0.93522164706000011</v>
      </c>
      <c r="M48" s="1817">
        <f t="shared" si="14"/>
        <v>0.41330907948816459</v>
      </c>
      <c r="N48" s="1821">
        <f>C48-C57</f>
        <v>0.93522164706000011</v>
      </c>
      <c r="O48" s="1822">
        <f t="shared" si="16"/>
        <v>3.4111647356665019E-2</v>
      </c>
      <c r="P48" s="1784"/>
      <c r="Q48" s="1783"/>
      <c r="R48" s="1783"/>
    </row>
    <row r="49" spans="2:19">
      <c r="B49" s="1775" t="s">
        <v>1746</v>
      </c>
      <c r="C49" s="1781">
        <f>SUM(C113:E113)</f>
        <v>9.8520870000000009</v>
      </c>
      <c r="D49" s="1781">
        <f>SUM(F113:H113)</f>
        <v>2.4904266000000002</v>
      </c>
      <c r="E49" s="1781">
        <f>SUM(I113:K113)</f>
        <v>0</v>
      </c>
      <c r="F49" s="1781">
        <f>SUM(L113:N113)</f>
        <v>0</v>
      </c>
      <c r="G49" s="1781">
        <f t="shared" si="18"/>
        <v>12.3425136</v>
      </c>
      <c r="H49" s="1778">
        <f>G49/假设!G27</f>
        <v>0.24625924980047886</v>
      </c>
      <c r="L49" s="1783"/>
      <c r="M49" s="1784"/>
      <c r="N49" s="1784"/>
      <c r="O49" s="1784"/>
      <c r="P49" s="1784"/>
      <c r="Q49" s="1784"/>
      <c r="R49" s="1783"/>
      <c r="S49" s="1783"/>
    </row>
    <row r="50" spans="2:19">
      <c r="B50" s="1775" t="s">
        <v>1999</v>
      </c>
      <c r="C50" s="1775">
        <f>假设!$G$28</f>
        <v>324.60000000000002</v>
      </c>
      <c r="D50" s="1775">
        <f>假设!$G$28</f>
        <v>324.60000000000002</v>
      </c>
      <c r="E50" s="1775">
        <f>假设!$G$28</f>
        <v>324.60000000000002</v>
      </c>
      <c r="F50" s="1775">
        <f>假设!$G$28</f>
        <v>324.60000000000002</v>
      </c>
      <c r="G50" s="1775">
        <f>假设!$G$28</f>
        <v>324.60000000000002</v>
      </c>
      <c r="H50" s="1812" t="s">
        <v>2022</v>
      </c>
      <c r="J50" s="1815">
        <f>C55</f>
        <v>304.07274627000004</v>
      </c>
      <c r="K50" s="1815">
        <f>C46</f>
        <v>339.56272885999999</v>
      </c>
      <c r="L50" s="1783"/>
      <c r="N50" s="1784"/>
      <c r="O50" s="1784"/>
      <c r="P50" s="1784"/>
      <c r="Q50" s="1784"/>
      <c r="R50" s="1783"/>
      <c r="S50" s="1783"/>
    </row>
    <row r="51" spans="2:19">
      <c r="B51" s="1783"/>
      <c r="C51" s="1783"/>
      <c r="D51" s="1783"/>
      <c r="E51" s="1783"/>
      <c r="F51" s="1783"/>
      <c r="G51" s="1783"/>
      <c r="J51" s="1815">
        <f>C56</f>
        <v>627.36876949462135</v>
      </c>
      <c r="K51" s="1815">
        <f>C47</f>
        <v>639.78462534290338</v>
      </c>
      <c r="L51" s="1783"/>
      <c r="M51" s="1784"/>
      <c r="N51" s="1784"/>
      <c r="O51" s="1784"/>
      <c r="P51" s="1784"/>
      <c r="Q51" s="1784"/>
      <c r="R51" s="1783"/>
      <c r="S51" s="1783"/>
    </row>
    <row r="52" spans="2:19" ht="15.6">
      <c r="B52" s="1785" t="s">
        <v>2023</v>
      </c>
      <c r="C52" s="1785" t="s">
        <v>1980</v>
      </c>
      <c r="D52" s="1785" t="s">
        <v>1981</v>
      </c>
      <c r="E52" s="1785" t="s">
        <v>1982</v>
      </c>
      <c r="F52" s="1785" t="s">
        <v>1983</v>
      </c>
      <c r="G52" s="1785" t="s">
        <v>1984</v>
      </c>
      <c r="J52" s="1815">
        <f>C57</f>
        <v>2.2627657931400003</v>
      </c>
      <c r="K52" s="1815">
        <f>C48</f>
        <v>3.1979874402000004</v>
      </c>
      <c r="L52" s="1783"/>
      <c r="M52" s="1784"/>
      <c r="N52" s="1784"/>
      <c r="O52" s="1784"/>
      <c r="P52" s="1784"/>
      <c r="Q52" s="1784"/>
      <c r="R52" s="1783"/>
      <c r="S52" s="1783"/>
    </row>
    <row r="53" spans="2:19" ht="15.6">
      <c r="B53" s="1774" t="s">
        <v>2018</v>
      </c>
      <c r="C53" s="1816">
        <f>C54+C57</f>
        <v>193.02851045740013</v>
      </c>
      <c r="D53" s="1816">
        <f t="shared" ref="D53:F53" si="19">D54+D57</f>
        <v>177.98196035455837</v>
      </c>
      <c r="E53" s="1816">
        <f t="shared" si="19"/>
        <v>254.5601209914451</v>
      </c>
      <c r="F53" s="1816">
        <f t="shared" si="19"/>
        <v>191.00485416497358</v>
      </c>
      <c r="G53" s="1816">
        <f t="shared" ref="G53:G55" si="20">SUM(C53:F53)</f>
        <v>816.57544596837727</v>
      </c>
      <c r="J53" s="1815">
        <f>J50*J51/1000+J52</f>
        <v>193.02851045740013</v>
      </c>
      <c r="K53" s="1815">
        <f>K50*K51/1000+K52</f>
        <v>220.44500070430897</v>
      </c>
      <c r="L53" s="1783"/>
      <c r="M53" s="1819">
        <f>K50*J51/1000+J52</f>
        <v>215.29381716427395</v>
      </c>
      <c r="N53" s="1819">
        <f>K50*K51/1000+J52</f>
        <v>219.50977905724898</v>
      </c>
      <c r="O53" s="1819">
        <f>K50*K51/1000+K52</f>
        <v>220.44500070430897</v>
      </c>
      <c r="P53" s="1784"/>
      <c r="Q53" s="1784"/>
      <c r="R53" s="1783"/>
      <c r="S53" s="1783"/>
    </row>
    <row r="54" spans="2:19" ht="15.6">
      <c r="B54" s="1774" t="s">
        <v>1998</v>
      </c>
      <c r="C54" s="1816">
        <f>C12</f>
        <v>190.76574466426013</v>
      </c>
      <c r="D54" s="1816">
        <f t="shared" ref="D54:F54" si="21">D12</f>
        <v>176.49673240999837</v>
      </c>
      <c r="E54" s="1816">
        <f t="shared" si="21"/>
        <v>246.37758422854512</v>
      </c>
      <c r="F54" s="1816">
        <f t="shared" si="21"/>
        <v>187.20655398419359</v>
      </c>
      <c r="G54" s="1816">
        <f t="shared" si="20"/>
        <v>800.84661528699712</v>
      </c>
      <c r="K54" s="1815">
        <f>K53-J53</f>
        <v>27.416490246908836</v>
      </c>
      <c r="L54" s="1783"/>
      <c r="M54" s="1820">
        <f>M53-J53</f>
        <v>22.265306706873815</v>
      </c>
      <c r="N54" s="1820">
        <f>N53-M53</f>
        <v>4.2159618929750309</v>
      </c>
      <c r="O54" s="1820">
        <f>O53-N53</f>
        <v>0.93522164705998989</v>
      </c>
      <c r="P54" s="1784"/>
      <c r="Q54" s="1784"/>
      <c r="R54" s="1783"/>
      <c r="S54" s="1783"/>
    </row>
    <row r="55" spans="2:19">
      <c r="B55" s="1805" t="s">
        <v>2013</v>
      </c>
      <c r="C55" s="1811">
        <f>C4</f>
        <v>304.07274627000004</v>
      </c>
      <c r="D55" s="1811">
        <f t="shared" ref="D55:F55" si="22">D4</f>
        <v>281.32852795999997</v>
      </c>
      <c r="E55" s="1811">
        <f t="shared" si="22"/>
        <v>392.71572990000004</v>
      </c>
      <c r="F55" s="1811">
        <f t="shared" si="22"/>
        <v>298.39954280000001</v>
      </c>
      <c r="G55" s="1781">
        <f t="shared" si="20"/>
        <v>1276.51654693</v>
      </c>
      <c r="L55" s="1783"/>
      <c r="M55" s="1784"/>
      <c r="N55" s="1784"/>
      <c r="O55" s="1784"/>
      <c r="P55" s="1784"/>
      <c r="Q55" s="1784"/>
      <c r="R55" s="1783"/>
      <c r="S55" s="1783"/>
    </row>
    <row r="56" spans="2:19">
      <c r="B56" s="1805" t="s">
        <v>2014</v>
      </c>
      <c r="C56" s="1776">
        <f>假设!$F$14</f>
        <v>627.36876949462135</v>
      </c>
      <c r="D56" s="1776">
        <f>假设!$F$14</f>
        <v>627.36876949462135</v>
      </c>
      <c r="E56" s="1776">
        <f>假设!$F$14</f>
        <v>627.36876949462135</v>
      </c>
      <c r="F56" s="1776">
        <f>假设!$F$14</f>
        <v>627.36876949462135</v>
      </c>
      <c r="G56" s="1812" t="s">
        <v>2022</v>
      </c>
      <c r="L56" s="1783"/>
      <c r="M56" s="1784"/>
      <c r="N56" s="1784"/>
      <c r="O56" s="1784"/>
      <c r="P56" s="1784"/>
      <c r="Q56" s="1784"/>
      <c r="R56" s="1783"/>
      <c r="S56" s="1783"/>
    </row>
    <row r="57" spans="2:19" ht="15.6">
      <c r="B57" s="1774" t="s">
        <v>2015</v>
      </c>
      <c r="C57" s="1816">
        <f>C58*C59/1000</f>
        <v>2.2627657931400003</v>
      </c>
      <c r="D57" s="1816">
        <f t="shared" ref="D57:F57" si="23">D58*D59/1000</f>
        <v>1.4852279445600003</v>
      </c>
      <c r="E57" s="1816">
        <f t="shared" si="23"/>
        <v>8.1825367628999999</v>
      </c>
      <c r="F57" s="1816">
        <f t="shared" si="23"/>
        <v>3.7983001807800001</v>
      </c>
      <c r="G57" s="1816">
        <f t="shared" ref="G57:G58" si="24">SUM(C57:F57)</f>
        <v>15.72883068138</v>
      </c>
      <c r="L57" s="1783"/>
      <c r="M57" s="1784"/>
      <c r="N57" s="1784"/>
      <c r="O57" s="1784"/>
      <c r="P57" s="1784"/>
      <c r="Q57" s="1784"/>
      <c r="R57" s="1783"/>
      <c r="S57" s="1783"/>
    </row>
    <row r="58" spans="2:19">
      <c r="B58" s="1775" t="s">
        <v>1746</v>
      </c>
      <c r="C58" s="1781">
        <f>C95</f>
        <v>6.9709359000000006</v>
      </c>
      <c r="D58" s="1781">
        <f t="shared" ref="D58:F58" si="25">D95</f>
        <v>4.5755636000000006</v>
      </c>
      <c r="E58" s="1781">
        <f t="shared" si="25"/>
        <v>25.208061499999999</v>
      </c>
      <c r="F58" s="1781">
        <f t="shared" si="25"/>
        <v>11.701479299999999</v>
      </c>
      <c r="G58" s="1781">
        <f t="shared" si="24"/>
        <v>48.456040299999998</v>
      </c>
      <c r="L58" s="1783"/>
      <c r="M58" s="1784"/>
      <c r="N58" s="1784"/>
      <c r="O58" s="1784"/>
      <c r="P58" s="1784"/>
      <c r="Q58" s="1784"/>
      <c r="R58" s="1783"/>
      <c r="S58" s="1783"/>
    </row>
    <row r="59" spans="2:19">
      <c r="B59" s="1775" t="s">
        <v>1999</v>
      </c>
      <c r="C59" s="1775">
        <f>假设!$G$28</f>
        <v>324.60000000000002</v>
      </c>
      <c r="D59" s="1775">
        <f>假设!$G$28</f>
        <v>324.60000000000002</v>
      </c>
      <c r="E59" s="1775">
        <f>假设!$G$28</f>
        <v>324.60000000000002</v>
      </c>
      <c r="F59" s="1775">
        <f>假设!$G$28</f>
        <v>324.60000000000002</v>
      </c>
      <c r="G59" s="1812" t="s">
        <v>2022</v>
      </c>
      <c r="L59" s="1783"/>
      <c r="M59" s="1784"/>
      <c r="N59" s="1784"/>
      <c r="O59" s="1784"/>
      <c r="P59" s="1784"/>
      <c r="Q59" s="1784"/>
      <c r="R59" s="1783"/>
      <c r="S59" s="1783"/>
    </row>
    <row r="60" spans="2:19">
      <c r="B60" s="1783"/>
      <c r="C60" s="1783"/>
      <c r="D60" s="1783"/>
      <c r="E60" s="1783"/>
      <c r="F60" s="1783"/>
      <c r="G60" s="1783"/>
      <c r="L60" s="1783"/>
      <c r="M60" s="1784"/>
      <c r="N60" s="1784"/>
      <c r="O60" s="1784"/>
      <c r="P60" s="1784"/>
      <c r="Q60" s="1784"/>
      <c r="R60" s="1783"/>
      <c r="S60" s="1783"/>
    </row>
    <row r="61" spans="2:19">
      <c r="L61" s="1783"/>
      <c r="M61" s="1784"/>
      <c r="N61" s="1784"/>
      <c r="O61" s="1784"/>
      <c r="P61" s="1784"/>
      <c r="Q61" s="1784"/>
      <c r="R61" s="1783"/>
      <c r="S61" s="1783"/>
    </row>
    <row r="62" spans="2:19" ht="15.6">
      <c r="B62" s="1785">
        <v>2018</v>
      </c>
      <c r="C62" s="1785" t="s">
        <v>1980</v>
      </c>
      <c r="D62" s="1785" t="s">
        <v>1981</v>
      </c>
      <c r="E62" s="1785" t="s">
        <v>1982</v>
      </c>
      <c r="F62" s="1785" t="s">
        <v>1983</v>
      </c>
      <c r="G62" s="1785" t="s">
        <v>1984</v>
      </c>
      <c r="L62" s="1783"/>
      <c r="M62" s="1784"/>
      <c r="N62" s="1784"/>
      <c r="O62" s="1784"/>
      <c r="P62" s="1784"/>
      <c r="Q62" s="1784"/>
      <c r="R62" s="1783"/>
      <c r="S62" s="1783"/>
    </row>
    <row r="63" spans="2:19">
      <c r="B63" s="1786" t="s">
        <v>2000</v>
      </c>
      <c r="C63" s="1781">
        <f t="shared" ref="C63:C70" si="26">SUM(C107:E107)</f>
        <v>132.40202281999998</v>
      </c>
      <c r="D63" s="1781">
        <f>SUM(F107:H107)</f>
        <v>40.063318259999996</v>
      </c>
      <c r="E63" s="1781">
        <f>SUM(I107:K107)</f>
        <v>0</v>
      </c>
      <c r="F63" s="1781">
        <f>SUM(L107:N107)</f>
        <v>0</v>
      </c>
      <c r="G63" s="1781">
        <f>SUM(C63:F63)</f>
        <v>172.46534107999997</v>
      </c>
      <c r="L63" s="1783"/>
      <c r="M63" s="1784"/>
      <c r="N63" s="1784"/>
      <c r="O63" s="1784"/>
      <c r="P63" s="1784"/>
      <c r="Q63" s="1784"/>
      <c r="R63" s="1783"/>
      <c r="S63" s="1783"/>
    </row>
    <row r="64" spans="2:19">
      <c r="B64" s="1787" t="s">
        <v>2001</v>
      </c>
      <c r="C64" s="1781">
        <f t="shared" si="26"/>
        <v>22.173080120000002</v>
      </c>
      <c r="D64" s="1781">
        <f t="shared" ref="D64:D70" si="27">SUM(F108:H108)</f>
        <v>7.5020987000000003</v>
      </c>
      <c r="E64" s="1781">
        <f t="shared" ref="E64:E70" si="28">SUM(I108:K108)</f>
        <v>0</v>
      </c>
      <c r="F64" s="1781">
        <f t="shared" ref="F64:F70" si="29">SUM(L108:N108)</f>
        <v>0</v>
      </c>
      <c r="G64" s="1781">
        <f t="shared" ref="G64:G70" si="30">SUM(C64:F64)</f>
        <v>29.675178820000003</v>
      </c>
      <c r="L64" s="1783"/>
      <c r="M64" s="1784"/>
      <c r="N64" s="1784"/>
      <c r="O64" s="1784"/>
      <c r="P64" s="1784"/>
      <c r="Q64" s="1784"/>
      <c r="R64" s="1783"/>
      <c r="S64" s="1783"/>
    </row>
    <row r="65" spans="1:19">
      <c r="B65" s="1787" t="s">
        <v>2002</v>
      </c>
      <c r="C65" s="1781">
        <f t="shared" si="26"/>
        <v>87.742926710000006</v>
      </c>
      <c r="D65" s="1781">
        <f t="shared" si="27"/>
        <v>20.547833400000002</v>
      </c>
      <c r="E65" s="1781">
        <f t="shared" si="28"/>
        <v>0</v>
      </c>
      <c r="F65" s="1781">
        <f t="shared" si="29"/>
        <v>0</v>
      </c>
      <c r="G65" s="1781">
        <f t="shared" si="30"/>
        <v>108.29076011000001</v>
      </c>
      <c r="L65" s="1783"/>
      <c r="M65" s="1784"/>
      <c r="N65" s="1784"/>
      <c r="O65" s="1784"/>
      <c r="P65" s="1784"/>
      <c r="Q65" s="1784"/>
      <c r="R65" s="1783"/>
      <c r="S65" s="1783"/>
    </row>
    <row r="66" spans="1:19">
      <c r="B66" s="1787" t="s">
        <v>2003</v>
      </c>
      <c r="C66" s="1781">
        <f t="shared" si="26"/>
        <v>5.5910362899999999</v>
      </c>
      <c r="D66" s="1781">
        <f t="shared" si="27"/>
        <v>0.99550172999999997</v>
      </c>
      <c r="E66" s="1781">
        <f t="shared" si="28"/>
        <v>0</v>
      </c>
      <c r="F66" s="1781">
        <f t="shared" si="29"/>
        <v>0</v>
      </c>
      <c r="G66" s="1781">
        <f t="shared" si="30"/>
        <v>6.5865380199999999</v>
      </c>
      <c r="L66" s="1783"/>
      <c r="M66" s="1784"/>
      <c r="N66" s="1784"/>
      <c r="O66" s="1784"/>
      <c r="P66" s="1784"/>
      <c r="Q66" s="1784"/>
      <c r="R66" s="1783"/>
      <c r="S66" s="1783"/>
    </row>
    <row r="67" spans="1:19">
      <c r="B67" s="1787" t="s">
        <v>2004</v>
      </c>
      <c r="C67" s="1781">
        <f t="shared" si="26"/>
        <v>80.29776708</v>
      </c>
      <c r="D67" s="1781">
        <f t="shared" si="27"/>
        <v>21.827596200000002</v>
      </c>
      <c r="E67" s="1781">
        <f t="shared" si="28"/>
        <v>0</v>
      </c>
      <c r="F67" s="1781">
        <f t="shared" si="29"/>
        <v>0</v>
      </c>
      <c r="G67" s="1781">
        <f t="shared" si="30"/>
        <v>102.12536328</v>
      </c>
      <c r="L67" s="1783"/>
      <c r="M67" s="1784"/>
      <c r="N67" s="1784"/>
      <c r="O67" s="1784"/>
      <c r="P67" s="1784"/>
      <c r="Q67" s="1784"/>
      <c r="R67" s="1783"/>
      <c r="S67" s="1783"/>
    </row>
    <row r="68" spans="1:19">
      <c r="B68" s="1787" t="s">
        <v>2005</v>
      </c>
      <c r="C68" s="1781">
        <f>SUM(C112:E112)</f>
        <v>1.50380884</v>
      </c>
      <c r="D68" s="1781">
        <f t="shared" si="27"/>
        <v>0.46222777999999998</v>
      </c>
      <c r="E68" s="1781">
        <f t="shared" si="28"/>
        <v>0</v>
      </c>
      <c r="F68" s="1781">
        <f t="shared" si="29"/>
        <v>0</v>
      </c>
      <c r="G68" s="1781">
        <f t="shared" si="30"/>
        <v>1.9660366200000001</v>
      </c>
      <c r="L68" s="1783"/>
      <c r="M68" s="1784"/>
      <c r="N68" s="1784"/>
      <c r="O68" s="1784"/>
      <c r="P68" s="1784"/>
      <c r="Q68" s="1784"/>
      <c r="R68" s="1783"/>
      <c r="S68" s="1783"/>
    </row>
    <row r="69" spans="1:19">
      <c r="B69" s="1787" t="s">
        <v>2006</v>
      </c>
      <c r="C69" s="1781">
        <f t="shared" si="26"/>
        <v>9.8520870000000009</v>
      </c>
      <c r="D69" s="1781">
        <f t="shared" si="27"/>
        <v>2.4904266000000002</v>
      </c>
      <c r="E69" s="1781">
        <f t="shared" si="28"/>
        <v>0</v>
      </c>
      <c r="F69" s="1781">
        <f t="shared" si="29"/>
        <v>0</v>
      </c>
      <c r="G69" s="1781">
        <f t="shared" si="30"/>
        <v>12.3425136</v>
      </c>
      <c r="L69" s="1783"/>
      <c r="M69" s="1784"/>
      <c r="N69" s="1784"/>
      <c r="O69" s="1784"/>
      <c r="P69" s="1784"/>
      <c r="Q69" s="1784"/>
      <c r="R69" s="1783"/>
      <c r="S69" s="1783"/>
    </row>
    <row r="70" spans="1:19">
      <c r="B70" s="1787" t="s">
        <v>2007</v>
      </c>
      <c r="C70" s="1781">
        <f t="shared" si="26"/>
        <v>339.56272885999999</v>
      </c>
      <c r="D70" s="1781">
        <f t="shared" si="27"/>
        <v>93.889002670000011</v>
      </c>
      <c r="E70" s="1781">
        <f t="shared" si="28"/>
        <v>0</v>
      </c>
      <c r="F70" s="1781">
        <f t="shared" si="29"/>
        <v>0</v>
      </c>
      <c r="G70" s="1781">
        <f t="shared" si="30"/>
        <v>433.45173153000002</v>
      </c>
      <c r="L70" s="1783"/>
      <c r="M70" s="1784"/>
      <c r="N70" s="1784"/>
      <c r="O70" s="1784"/>
      <c r="P70" s="1784"/>
      <c r="Q70" s="1784"/>
      <c r="R70" s="1783"/>
      <c r="S70" s="1783"/>
    </row>
    <row r="71" spans="1:19">
      <c r="A71" s="2489" t="s">
        <v>1992</v>
      </c>
      <c r="B71" s="1786" t="s">
        <v>2000</v>
      </c>
      <c r="C71" s="1778">
        <f t="shared" ref="C71:G78" si="31">C63/C89-1</f>
        <v>9.9829363175081287E-3</v>
      </c>
      <c r="D71" s="1778">
        <f t="shared" si="31"/>
        <v>-0.70162776329696341</v>
      </c>
      <c r="E71" s="1778">
        <f t="shared" si="31"/>
        <v>-1</v>
      </c>
      <c r="F71" s="1778">
        <f t="shared" si="31"/>
        <v>-1</v>
      </c>
      <c r="G71" s="1778">
        <f t="shared" si="31"/>
        <v>-0.69374221852106688</v>
      </c>
      <c r="M71" s="1784"/>
      <c r="N71" s="1784"/>
      <c r="O71" s="1784"/>
      <c r="P71" s="1784"/>
      <c r="Q71" s="1784"/>
      <c r="R71" s="1783"/>
      <c r="S71" s="1783"/>
    </row>
    <row r="72" spans="1:19">
      <c r="A72" s="2489"/>
      <c r="B72" s="1787" t="s">
        <v>2001</v>
      </c>
      <c r="C72" s="1778">
        <f t="shared" si="31"/>
        <v>2.566023235517978E-2</v>
      </c>
      <c r="D72" s="1778">
        <f t="shared" si="31"/>
        <v>-0.64402385991359123</v>
      </c>
      <c r="E72" s="1778">
        <f t="shared" si="31"/>
        <v>-1</v>
      </c>
      <c r="F72" s="1778">
        <f t="shared" si="31"/>
        <v>-1</v>
      </c>
      <c r="G72" s="1778">
        <f t="shared" si="31"/>
        <v>-0.67835588834704197</v>
      </c>
      <c r="M72" s="1784"/>
      <c r="N72" s="1784"/>
      <c r="O72" s="1784"/>
      <c r="P72" s="1784"/>
      <c r="Q72" s="1784"/>
      <c r="R72" s="1783"/>
      <c r="S72" s="1783"/>
    </row>
    <row r="73" spans="1:19">
      <c r="A73" s="2489"/>
      <c r="B73" s="1787" t="s">
        <v>2002</v>
      </c>
      <c r="C73" s="1778">
        <f t="shared" si="31"/>
        <v>0.24861141666490716</v>
      </c>
      <c r="D73" s="1778">
        <f t="shared" si="31"/>
        <v>-0.59732064477444702</v>
      </c>
      <c r="E73" s="1778">
        <f t="shared" si="31"/>
        <v>-1</v>
      </c>
      <c r="F73" s="1778">
        <f t="shared" si="31"/>
        <v>-1</v>
      </c>
      <c r="G73" s="1778">
        <f t="shared" si="31"/>
        <v>-0.60062817242489941</v>
      </c>
      <c r="M73" s="1784"/>
      <c r="N73" s="1784"/>
      <c r="O73" s="1784"/>
      <c r="P73" s="1784"/>
      <c r="Q73" s="1784"/>
      <c r="R73" s="1783"/>
      <c r="S73" s="1783"/>
    </row>
    <row r="74" spans="1:19">
      <c r="A74" s="2489"/>
      <c r="B74" s="1787" t="s">
        <v>2003</v>
      </c>
      <c r="C74" s="1778">
        <f t="shared" si="31"/>
        <v>5.0435691349382195E-2</v>
      </c>
      <c r="D74" s="1778">
        <f t="shared" si="31"/>
        <v>-0.76890665287039073</v>
      </c>
      <c r="E74" s="1778">
        <f t="shared" si="31"/>
        <v>-1</v>
      </c>
      <c r="F74" s="1778">
        <f t="shared" si="31"/>
        <v>-1</v>
      </c>
      <c r="G74" s="1778">
        <f t="shared" si="31"/>
        <v>-0.6721729593437612</v>
      </c>
      <c r="M74" s="1784"/>
      <c r="N74" s="1784"/>
      <c r="O74" s="1784"/>
      <c r="P74" s="1784"/>
      <c r="Q74" s="1784"/>
      <c r="R74" s="1783"/>
      <c r="S74" s="1783"/>
    </row>
    <row r="75" spans="1:19">
      <c r="A75" s="2489"/>
      <c r="B75" s="1787" t="s">
        <v>2004</v>
      </c>
      <c r="C75" s="1778">
        <f t="shared" si="31"/>
        <v>8.0574924547790472E-2</v>
      </c>
      <c r="D75" s="1778">
        <f t="shared" si="31"/>
        <v>-0.68435625169581304</v>
      </c>
      <c r="E75" s="1778">
        <f t="shared" si="31"/>
        <v>-1</v>
      </c>
      <c r="F75" s="1778">
        <f t="shared" si="31"/>
        <v>-1</v>
      </c>
      <c r="G75" s="1778">
        <f t="shared" si="31"/>
        <v>-0.68347885397691011</v>
      </c>
      <c r="M75" s="1784"/>
      <c r="N75" s="1784"/>
      <c r="O75" s="1784"/>
      <c r="P75" s="1784"/>
      <c r="Q75" s="1784"/>
      <c r="R75" s="1783"/>
      <c r="S75" s="1783"/>
    </row>
    <row r="76" spans="1:19">
      <c r="A76" s="2489"/>
      <c r="B76" s="1787" t="s">
        <v>2005</v>
      </c>
      <c r="C76" s="1778">
        <f t="shared" si="31"/>
        <v>3.2940199254765323E-2</v>
      </c>
      <c r="D76" s="1778">
        <f t="shared" si="31"/>
        <v>-0.69033261175967675</v>
      </c>
      <c r="E76" s="1778">
        <f t="shared" si="31"/>
        <v>-1</v>
      </c>
      <c r="F76" s="1778">
        <f t="shared" si="31"/>
        <v>-1</v>
      </c>
      <c r="G76" s="1778">
        <f t="shared" si="31"/>
        <v>-0.72785268020278404</v>
      </c>
      <c r="M76" s="1784"/>
      <c r="N76" s="1784"/>
      <c r="O76" s="1784"/>
      <c r="P76" s="1784"/>
      <c r="Q76" s="1784"/>
      <c r="R76" s="1783"/>
      <c r="S76" s="1783"/>
    </row>
    <row r="77" spans="1:19">
      <c r="A77" s="2489"/>
      <c r="B77" s="1787" t="s">
        <v>2006</v>
      </c>
      <c r="C77" s="1778">
        <f t="shared" si="31"/>
        <v>0.41330907948816464</v>
      </c>
      <c r="D77" s="1778">
        <f t="shared" si="31"/>
        <v>-0.45571151059948112</v>
      </c>
      <c r="E77" s="1778">
        <f t="shared" si="31"/>
        <v>-1</v>
      </c>
      <c r="F77" s="1778">
        <f t="shared" si="31"/>
        <v>-1</v>
      </c>
      <c r="G77" s="1778">
        <f t="shared" si="31"/>
        <v>-0.74528431288266028</v>
      </c>
      <c r="M77" s="1784"/>
      <c r="N77" s="1784"/>
      <c r="O77" s="1784"/>
      <c r="P77" s="1784"/>
      <c r="Q77" s="1784"/>
      <c r="R77" s="1783"/>
      <c r="S77" s="1783"/>
    </row>
    <row r="78" spans="1:19">
      <c r="A78" s="2489"/>
      <c r="B78" s="1787" t="s">
        <v>2007</v>
      </c>
      <c r="C78" s="1778">
        <f t="shared" si="31"/>
        <v>9.1688236491532349E-2</v>
      </c>
      <c r="D78" s="1778">
        <f t="shared" si="31"/>
        <v>-0.67160664907694612</v>
      </c>
      <c r="E78" s="1778">
        <f t="shared" si="31"/>
        <v>-1</v>
      </c>
      <c r="F78" s="1778">
        <f t="shared" si="31"/>
        <v>-1</v>
      </c>
      <c r="G78" s="1778">
        <f t="shared" si="31"/>
        <v>-0.6728598495489041</v>
      </c>
      <c r="M78" s="1784"/>
      <c r="N78" s="1784"/>
      <c r="O78" s="1784"/>
      <c r="P78" s="1784"/>
      <c r="Q78" s="1784"/>
      <c r="R78" s="1783"/>
      <c r="S78" s="1783"/>
    </row>
    <row r="79" spans="1:19">
      <c r="A79" s="2489" t="s">
        <v>2008</v>
      </c>
      <c r="B79" s="1786" t="s">
        <v>2000</v>
      </c>
      <c r="C79" s="1778">
        <f t="shared" ref="C79:G86" si="32">C71-C97</f>
        <v>1.7598526921220103E-2</v>
      </c>
      <c r="D79" s="1778">
        <f t="shared" si="32"/>
        <v>-0.65437970444335747</v>
      </c>
      <c r="E79" s="1778">
        <f t="shared" si="32"/>
        <v>-1.0429833474911521</v>
      </c>
      <c r="F79" s="1778">
        <f t="shared" si="32"/>
        <v>-1.0246741354838442</v>
      </c>
      <c r="G79" s="1778">
        <f t="shared" si="32"/>
        <v>-0.69756612935092699</v>
      </c>
      <c r="H79" s="1788"/>
      <c r="I79" s="1788"/>
      <c r="J79" s="1788"/>
      <c r="K79" s="1788"/>
      <c r="L79" s="1788"/>
      <c r="M79" s="1784"/>
      <c r="N79" s="1784"/>
      <c r="O79" s="1784"/>
      <c r="P79" s="1784"/>
      <c r="Q79" s="1784"/>
      <c r="R79" s="1783"/>
      <c r="S79" s="1783"/>
    </row>
    <row r="80" spans="1:19">
      <c r="A80" s="2489"/>
      <c r="B80" s="1787" t="s">
        <v>2001</v>
      </c>
      <c r="C80" s="1778">
        <f t="shared" si="32"/>
        <v>4.6525414968513035E-2</v>
      </c>
      <c r="D80" s="1778">
        <f t="shared" si="32"/>
        <v>-0.61843838102159465</v>
      </c>
      <c r="E80" s="1778">
        <f t="shared" si="32"/>
        <v>-1.0085045993701478</v>
      </c>
      <c r="F80" s="1778">
        <f t="shared" si="32"/>
        <v>-0.97660350233105153</v>
      </c>
      <c r="G80" s="1778">
        <f t="shared" si="32"/>
        <v>-0.66462609735787148</v>
      </c>
      <c r="H80" s="1788"/>
      <c r="I80" s="1788"/>
      <c r="J80" s="1788"/>
      <c r="K80" s="1788"/>
      <c r="L80" s="1788"/>
      <c r="M80" s="1784"/>
      <c r="N80" s="1784"/>
      <c r="O80" s="1784"/>
      <c r="P80" s="1784"/>
      <c r="Q80" s="1784"/>
      <c r="R80" s="1783"/>
      <c r="S80" s="1783"/>
    </row>
    <row r="81" spans="1:19">
      <c r="A81" s="2489"/>
      <c r="B81" s="1787" t="s">
        <v>2002</v>
      </c>
      <c r="C81" s="1778">
        <f t="shared" si="32"/>
        <v>0.25725584051349248</v>
      </c>
      <c r="D81" s="1778">
        <f t="shared" si="32"/>
        <v>-0.67004985165550224</v>
      </c>
      <c r="E81" s="1778">
        <f t="shared" si="32"/>
        <v>-1.1442620106931092</v>
      </c>
      <c r="F81" s="1778">
        <f t="shared" si="32"/>
        <v>-1.0376212025795386</v>
      </c>
      <c r="G81" s="1778">
        <f t="shared" si="32"/>
        <v>-0.66793879612088869</v>
      </c>
      <c r="H81" s="1788"/>
      <c r="I81" s="1788"/>
      <c r="J81" s="1788"/>
      <c r="K81" s="1788"/>
      <c r="L81" s="1788"/>
      <c r="M81" s="1784"/>
      <c r="N81" s="1784"/>
      <c r="O81" s="1784"/>
      <c r="P81" s="1784"/>
      <c r="Q81" s="1784"/>
      <c r="R81" s="1783"/>
      <c r="S81" s="1783"/>
    </row>
    <row r="82" spans="1:19">
      <c r="A82" s="2489"/>
      <c r="B82" s="1787" t="s">
        <v>2003</v>
      </c>
      <c r="C82" s="1778">
        <f t="shared" si="32"/>
        <v>9.9533692756822556E-2</v>
      </c>
      <c r="D82" s="1778">
        <f t="shared" si="32"/>
        <v>-0.76593938730601063</v>
      </c>
      <c r="E82" s="1778">
        <f t="shared" si="32"/>
        <v>-1.0039003970151648</v>
      </c>
      <c r="F82" s="1778">
        <f t="shared" si="32"/>
        <v>-1.02097667996636</v>
      </c>
      <c r="G82" s="1778">
        <f t="shared" si="32"/>
        <v>-0.66391118909899405</v>
      </c>
      <c r="H82" s="1788"/>
      <c r="I82" s="1788"/>
      <c r="J82" s="1788"/>
      <c r="K82" s="1788"/>
      <c r="L82" s="1788"/>
      <c r="M82" s="1784"/>
      <c r="N82" s="1784"/>
      <c r="O82" s="1784"/>
      <c r="P82" s="1784"/>
      <c r="Q82" s="1784"/>
      <c r="R82" s="1783"/>
      <c r="S82" s="1783"/>
    </row>
    <row r="83" spans="1:19">
      <c r="A83" s="2489"/>
      <c r="B83" s="1787" t="s">
        <v>2004</v>
      </c>
      <c r="C83" s="1778">
        <f t="shared" si="32"/>
        <v>2.6112600877727266E-2</v>
      </c>
      <c r="D83" s="1778">
        <f t="shared" si="32"/>
        <v>-0.74517518328038679</v>
      </c>
      <c r="E83" s="1778">
        <f t="shared" si="32"/>
        <v>-1.0874664721079832</v>
      </c>
      <c r="F83" s="1778">
        <f t="shared" si="32"/>
        <v>-1.0585147044841396</v>
      </c>
      <c r="G83" s="1778">
        <f t="shared" si="32"/>
        <v>-0.75069068666554473</v>
      </c>
      <c r="H83" s="1788"/>
      <c r="I83" s="1788"/>
      <c r="J83" s="1788"/>
      <c r="K83" s="1788"/>
      <c r="L83" s="1788"/>
      <c r="M83" s="1784"/>
      <c r="N83" s="1784"/>
      <c r="O83" s="1784"/>
      <c r="P83" s="1784"/>
      <c r="Q83" s="1784"/>
      <c r="R83" s="1783"/>
      <c r="S83" s="1783"/>
    </row>
    <row r="84" spans="1:19">
      <c r="A84" s="2489"/>
      <c r="B84" s="1787" t="s">
        <v>2005</v>
      </c>
      <c r="C84" s="1778">
        <f t="shared" si="32"/>
        <v>5.6151148267352458E-2</v>
      </c>
      <c r="D84" s="1778">
        <f t="shared" si="32"/>
        <v>-0.68017718457364607</v>
      </c>
      <c r="E84" s="1778">
        <f t="shared" si="32"/>
        <v>-1.0275280042283055</v>
      </c>
      <c r="F84" s="1778">
        <f t="shared" si="32"/>
        <v>-0.95784795156553926</v>
      </c>
      <c r="G84" s="1778">
        <f t="shared" si="32"/>
        <v>-0.7203292552447601</v>
      </c>
      <c r="H84" s="1788"/>
      <c r="I84" s="1788"/>
      <c r="J84" s="1788"/>
      <c r="K84" s="1788"/>
      <c r="L84" s="1788"/>
      <c r="M84" s="1784"/>
      <c r="N84" s="1784"/>
      <c r="O84" s="1784"/>
      <c r="P84" s="1784"/>
      <c r="Q84" s="1784"/>
      <c r="R84" s="1783"/>
      <c r="S84" s="1783"/>
    </row>
    <row r="85" spans="1:19">
      <c r="A85" s="2489"/>
      <c r="B85" s="1787" t="s">
        <v>2006</v>
      </c>
      <c r="C85" s="1778">
        <f t="shared" si="32"/>
        <v>-2.3208473399826808</v>
      </c>
      <c r="D85" s="1778">
        <f t="shared" si="32"/>
        <v>-0.29681854656029516</v>
      </c>
      <c r="E85" s="1778">
        <f t="shared" si="32"/>
        <v>-2.0299996739832342</v>
      </c>
      <c r="F85" s="1778">
        <f t="shared" si="32"/>
        <v>-0.8003172042657013</v>
      </c>
      <c r="G85" s="1778">
        <f t="shared" si="32"/>
        <v>-1.1561232097224865</v>
      </c>
      <c r="H85" s="1788"/>
      <c r="I85" s="1788"/>
      <c r="J85" s="1788"/>
      <c r="K85" s="1788"/>
      <c r="L85" s="1788"/>
      <c r="M85" s="1784"/>
      <c r="N85" s="1784"/>
      <c r="O85" s="1784"/>
      <c r="P85" s="1784"/>
      <c r="Q85" s="1784"/>
      <c r="R85" s="1783"/>
      <c r="S85" s="1783"/>
    </row>
    <row r="86" spans="1:19">
      <c r="A86" s="2489"/>
      <c r="B86" s="1787" t="s">
        <v>2007</v>
      </c>
      <c r="C86" s="1778">
        <f t="shared" si="32"/>
        <v>7.0165931155579564E-2</v>
      </c>
      <c r="D86" s="1778">
        <f t="shared" si="32"/>
        <v>-0.66923263305609626</v>
      </c>
      <c r="E86" s="1778">
        <f t="shared" si="32"/>
        <v>-1.106438377376507</v>
      </c>
      <c r="F86" s="1778">
        <f t="shared" si="32"/>
        <v>-1.0200416834321322</v>
      </c>
      <c r="G86" s="1778">
        <f t="shared" si="32"/>
        <v>-0.71384789875401899</v>
      </c>
      <c r="H86" s="1788"/>
      <c r="I86" s="1788"/>
      <c r="J86" s="1788"/>
      <c r="K86" s="1788"/>
      <c r="L86" s="1788"/>
      <c r="M86" s="1784"/>
      <c r="N86" s="1784"/>
      <c r="O86" s="1784"/>
      <c r="P86" s="1784"/>
      <c r="Q86" s="1784"/>
      <c r="R86" s="1783"/>
      <c r="S86" s="1783"/>
    </row>
    <row r="87" spans="1:19">
      <c r="A87" s="1789"/>
      <c r="B87" s="1058"/>
      <c r="C87" s="1790"/>
      <c r="D87" s="1790"/>
      <c r="E87" s="1790"/>
      <c r="F87" s="1790"/>
      <c r="G87" s="1790"/>
      <c r="H87" s="1788"/>
      <c r="I87" s="1788"/>
      <c r="J87" s="1788"/>
      <c r="K87" s="1788"/>
      <c r="L87" s="1788"/>
      <c r="M87" s="1784"/>
      <c r="N87" s="1784"/>
      <c r="O87" s="1784"/>
      <c r="P87" s="1784"/>
      <c r="Q87" s="1784"/>
      <c r="R87" s="1783"/>
      <c r="S87" s="1783"/>
    </row>
    <row r="88" spans="1:19" ht="15.6">
      <c r="B88" s="1785" t="s">
        <v>2016</v>
      </c>
      <c r="C88" s="1785" t="s">
        <v>1980</v>
      </c>
      <c r="D88" s="1785" t="s">
        <v>1981</v>
      </c>
      <c r="E88" s="1785" t="s">
        <v>1982</v>
      </c>
      <c r="F88" s="1785" t="s">
        <v>1983</v>
      </c>
      <c r="G88" s="1785" t="s">
        <v>1984</v>
      </c>
      <c r="H88" s="1785" t="s">
        <v>2017</v>
      </c>
      <c r="I88" s="1785" t="s">
        <v>1980</v>
      </c>
      <c r="J88" s="1785" t="s">
        <v>1981</v>
      </c>
      <c r="K88" s="1785" t="s">
        <v>1982</v>
      </c>
      <c r="L88" s="1785" t="s">
        <v>1983</v>
      </c>
      <c r="M88" s="1785" t="s">
        <v>1984</v>
      </c>
      <c r="N88" s="1784"/>
      <c r="O88" s="1784"/>
      <c r="P88" s="1784"/>
      <c r="Q88" s="1784"/>
      <c r="R88" s="1783"/>
      <c r="S88" s="1783"/>
    </row>
    <row r="89" spans="1:19">
      <c r="B89" s="1786" t="s">
        <v>2000</v>
      </c>
      <c r="C89" s="1791">
        <v>131.09332649000001</v>
      </c>
      <c r="D89" s="1791">
        <v>134.27294276000001</v>
      </c>
      <c r="E89" s="1791">
        <v>154.07569147000001</v>
      </c>
      <c r="F89" s="1791">
        <v>143.69586470000002</v>
      </c>
      <c r="G89" s="1781">
        <f t="shared" ref="G89:G96" si="33">SUM(C89:F89)</f>
        <v>563.13782542000001</v>
      </c>
      <c r="H89" s="1786" t="s">
        <v>2000</v>
      </c>
      <c r="I89" s="1791">
        <v>132.09934099</v>
      </c>
      <c r="J89" s="1791">
        <v>140.93169162000001</v>
      </c>
      <c r="K89" s="1791">
        <v>147.72593621999999</v>
      </c>
      <c r="L89" s="1791">
        <v>140.23567076</v>
      </c>
      <c r="M89" s="1781">
        <f t="shared" ref="M89:M96" si="34">SUM(I89:L89)</f>
        <v>560.99263958999995</v>
      </c>
      <c r="N89" s="1784"/>
      <c r="O89" s="1784"/>
      <c r="P89" s="1784"/>
      <c r="Q89" s="1784"/>
      <c r="R89" s="1783"/>
      <c r="S89" s="1783"/>
    </row>
    <row r="90" spans="1:19">
      <c r="B90" s="1787" t="s">
        <v>2001</v>
      </c>
      <c r="C90" s="1791">
        <v>21.618348279999999</v>
      </c>
      <c r="D90" s="1791">
        <v>21.074723429999999</v>
      </c>
      <c r="E90" s="1791">
        <v>28.317113369999998</v>
      </c>
      <c r="F90" s="1791">
        <v>21.250726110000002</v>
      </c>
      <c r="G90" s="1781">
        <f t="shared" si="33"/>
        <v>92.260911190000002</v>
      </c>
      <c r="H90" s="1787" t="s">
        <v>2001</v>
      </c>
      <c r="I90" s="1791">
        <v>22.0790313</v>
      </c>
      <c r="J90" s="1791">
        <v>21.628088429999998</v>
      </c>
      <c r="K90" s="1791">
        <v>28.078318519999996</v>
      </c>
      <c r="L90" s="1791">
        <v>21.759829919999998</v>
      </c>
      <c r="M90" s="1781">
        <f t="shared" si="34"/>
        <v>93.54526817</v>
      </c>
      <c r="N90" s="1784"/>
      <c r="O90" s="1784"/>
      <c r="P90" s="1784"/>
      <c r="Q90" s="1784"/>
      <c r="R90" s="1783"/>
      <c r="S90" s="1783"/>
    </row>
    <row r="91" spans="1:19">
      <c r="B91" s="1787" t="s">
        <v>2002</v>
      </c>
      <c r="C91" s="1791">
        <v>70.272404640000005</v>
      </c>
      <c r="D91" s="1791">
        <v>51.027779629999998</v>
      </c>
      <c r="E91" s="1791">
        <v>98.203510309999999</v>
      </c>
      <c r="F91" s="1791">
        <v>51.649032359999993</v>
      </c>
      <c r="G91" s="1781">
        <f t="shared" si="33"/>
        <v>271.15272693999998</v>
      </c>
      <c r="H91" s="1787" t="s">
        <v>2002</v>
      </c>
      <c r="I91" s="1791">
        <v>70.885166060000003</v>
      </c>
      <c r="J91" s="1791">
        <v>47.568183380000001</v>
      </c>
      <c r="K91" s="1791">
        <v>85.822573320000004</v>
      </c>
      <c r="L91" s="1791">
        <v>49.776384900000004</v>
      </c>
      <c r="M91" s="1781">
        <f t="shared" si="34"/>
        <v>254.05230766000003</v>
      </c>
      <c r="N91" s="1784"/>
      <c r="O91" s="1784"/>
      <c r="P91" s="1784"/>
      <c r="Q91" s="1784"/>
      <c r="R91" s="1783"/>
      <c r="S91" s="1783"/>
    </row>
    <row r="92" spans="1:19">
      <c r="B92" s="1787" t="s">
        <v>2003</v>
      </c>
      <c r="C92" s="1791">
        <v>5.3225878900000003</v>
      </c>
      <c r="D92" s="1791">
        <v>4.3077905199999993</v>
      </c>
      <c r="E92" s="1791">
        <v>5.6819148400000001</v>
      </c>
      <c r="F92" s="1791">
        <v>4.7792098999999997</v>
      </c>
      <c r="G92" s="1781">
        <f t="shared" si="33"/>
        <v>20.091503150000001</v>
      </c>
      <c r="H92" s="1787" t="s">
        <v>2003</v>
      </c>
      <c r="I92" s="1791">
        <v>5.5974095100000003</v>
      </c>
      <c r="J92" s="1791">
        <v>4.32061092</v>
      </c>
      <c r="K92" s="1791">
        <v>5.6598392200000003</v>
      </c>
      <c r="L92" s="1791">
        <v>4.68101769</v>
      </c>
      <c r="M92" s="1781">
        <f t="shared" si="34"/>
        <v>20.258877340000002</v>
      </c>
      <c r="N92" s="1784"/>
      <c r="O92" s="1784"/>
      <c r="P92" s="1784"/>
      <c r="Q92" s="1784"/>
      <c r="R92" s="1783"/>
      <c r="S92" s="1783"/>
    </row>
    <row r="93" spans="1:19">
      <c r="B93" s="1787" t="s">
        <v>2004</v>
      </c>
      <c r="C93" s="1791">
        <v>74.31022621000001</v>
      </c>
      <c r="D93" s="1791">
        <v>69.152632729999993</v>
      </c>
      <c r="E93" s="1791">
        <v>103.84835519000001</v>
      </c>
      <c r="F93" s="1791">
        <v>75.338203019999995</v>
      </c>
      <c r="G93" s="1781">
        <f t="shared" si="33"/>
        <v>322.64941714999998</v>
      </c>
      <c r="H93" s="1787" t="s">
        <v>2004</v>
      </c>
      <c r="I93" s="1791">
        <v>70.472149209999998</v>
      </c>
      <c r="J93" s="1791">
        <v>65.187970039999996</v>
      </c>
      <c r="K93" s="1791">
        <v>95.495684560000001</v>
      </c>
      <c r="L93" s="1791">
        <v>71.173506329999995</v>
      </c>
      <c r="M93" s="1781">
        <f t="shared" si="34"/>
        <v>302.32931013999996</v>
      </c>
      <c r="N93" s="1784"/>
      <c r="O93" s="1784"/>
      <c r="P93" s="1784"/>
      <c r="Q93" s="1784"/>
      <c r="R93" s="1783"/>
      <c r="S93" s="1783"/>
    </row>
    <row r="94" spans="1:19">
      <c r="B94" s="1787" t="s">
        <v>2005</v>
      </c>
      <c r="C94" s="1791">
        <v>1.45585276</v>
      </c>
      <c r="D94" s="1791">
        <v>1.49265889</v>
      </c>
      <c r="E94" s="1791">
        <v>2.5891447200000002</v>
      </c>
      <c r="F94" s="1791">
        <v>1.6865067100000002</v>
      </c>
      <c r="G94" s="1781">
        <f t="shared" si="33"/>
        <v>7.2241630800000003</v>
      </c>
      <c r="H94" s="1787" t="s">
        <v>2005</v>
      </c>
      <c r="I94" s="1791">
        <v>1.4904474599999999</v>
      </c>
      <c r="J94" s="1791">
        <v>1.5079730000000002</v>
      </c>
      <c r="K94" s="1791">
        <v>2.5197802</v>
      </c>
      <c r="L94" s="1791">
        <v>1.7607248699999998</v>
      </c>
      <c r="M94" s="1781">
        <f t="shared" si="34"/>
        <v>7.2789255299999995</v>
      </c>
      <c r="N94" s="1784"/>
      <c r="O94" s="1784"/>
      <c r="P94" s="1784"/>
      <c r="Q94" s="1784"/>
      <c r="R94" s="1783"/>
      <c r="S94" s="1783"/>
    </row>
    <row r="95" spans="1:19">
      <c r="B95" s="1787" t="s">
        <v>2006</v>
      </c>
      <c r="C95" s="1791">
        <v>6.9709359000000006</v>
      </c>
      <c r="D95" s="1791">
        <v>4.5755636000000006</v>
      </c>
      <c r="E95" s="1791">
        <v>25.208061499999999</v>
      </c>
      <c r="F95" s="1791">
        <v>11.701479299999999</v>
      </c>
      <c r="G95" s="1781">
        <f t="shared" si="33"/>
        <v>48.456040299999998</v>
      </c>
      <c r="H95" s="1787" t="s">
        <v>2006</v>
      </c>
      <c r="I95" s="1791">
        <v>1.8668034</v>
      </c>
      <c r="J95" s="1791">
        <v>5.4399302400000007</v>
      </c>
      <c r="K95" s="1791">
        <v>12.41776628</v>
      </c>
      <c r="L95" s="1791">
        <v>14.6210518</v>
      </c>
      <c r="M95" s="1781">
        <f t="shared" si="34"/>
        <v>34.345551720000003</v>
      </c>
      <c r="N95" s="1784"/>
      <c r="O95" s="1784"/>
      <c r="P95" s="1784"/>
      <c r="Q95" s="1784"/>
      <c r="R95" s="1783"/>
      <c r="S95" s="1783"/>
    </row>
    <row r="96" spans="1:19">
      <c r="B96" s="1787" t="s">
        <v>2007</v>
      </c>
      <c r="C96" s="1791">
        <v>311.04368217000001</v>
      </c>
      <c r="D96" s="1791">
        <v>285.90409155999998</v>
      </c>
      <c r="E96" s="1791">
        <v>417.92379140000003</v>
      </c>
      <c r="F96" s="1791">
        <v>310.10102210000002</v>
      </c>
      <c r="G96" s="1781">
        <f t="shared" si="33"/>
        <v>1324.97258723</v>
      </c>
      <c r="H96" s="1787" t="s">
        <v>2007</v>
      </c>
      <c r="I96" s="1791">
        <v>304.49034793000004</v>
      </c>
      <c r="J96" s="1791">
        <v>286.58444763</v>
      </c>
      <c r="K96" s="1791">
        <v>377.71989832000003</v>
      </c>
      <c r="L96" s="1791">
        <v>304.00818627000001</v>
      </c>
      <c r="M96" s="1781">
        <f t="shared" si="34"/>
        <v>1272.80288015</v>
      </c>
      <c r="N96" s="1784"/>
      <c r="O96" s="1784"/>
      <c r="P96" s="1784"/>
      <c r="Q96" s="1784"/>
      <c r="R96" s="1783"/>
      <c r="S96" s="1783"/>
    </row>
    <row r="97" spans="1:19">
      <c r="A97" s="2489" t="s">
        <v>1992</v>
      </c>
      <c r="B97" s="1786" t="s">
        <v>2000</v>
      </c>
      <c r="C97" s="1778">
        <f>C89/I89-1</f>
        <v>-7.6155906037119747E-3</v>
      </c>
      <c r="D97" s="1778">
        <f t="shared" ref="D97:G104" si="35">D89/J89-1</f>
        <v>-4.7248058853605945E-2</v>
      </c>
      <c r="E97" s="1778">
        <f t="shared" si="35"/>
        <v>4.2983347491152069E-2</v>
      </c>
      <c r="F97" s="1778">
        <f t="shared" si="35"/>
        <v>2.4674135483844228E-2</v>
      </c>
      <c r="G97" s="1778">
        <f t="shared" si="35"/>
        <v>3.823910829860111E-3</v>
      </c>
      <c r="L97" s="1783"/>
      <c r="M97" s="1784"/>
      <c r="N97" s="1784"/>
      <c r="O97" s="1784"/>
      <c r="P97" s="1784"/>
      <c r="Q97" s="1784"/>
      <c r="R97" s="1783"/>
      <c r="S97" s="1783"/>
    </row>
    <row r="98" spans="1:19">
      <c r="A98" s="2489"/>
      <c r="B98" s="1787" t="s">
        <v>2001</v>
      </c>
      <c r="C98" s="1778">
        <f t="shared" ref="C98:C104" si="36">C90/I90-1</f>
        <v>-2.0865182613333255E-2</v>
      </c>
      <c r="D98" s="1778">
        <f t="shared" si="35"/>
        <v>-2.5585478891996583E-2</v>
      </c>
      <c r="E98" s="1778">
        <f t="shared" si="35"/>
        <v>8.5045993701478029E-3</v>
      </c>
      <c r="F98" s="1778">
        <f t="shared" si="35"/>
        <v>-2.3396497668948468E-2</v>
      </c>
      <c r="G98" s="1778">
        <f t="shared" si="35"/>
        <v>-1.3729790989170487E-2</v>
      </c>
      <c r="L98" s="1783"/>
      <c r="M98" s="1784"/>
      <c r="N98" s="1784"/>
      <c r="O98" s="1784"/>
      <c r="P98" s="1784"/>
      <c r="Q98" s="1784"/>
      <c r="R98" s="1783"/>
      <c r="S98" s="1783"/>
    </row>
    <row r="99" spans="1:19">
      <c r="A99" s="2489"/>
      <c r="B99" s="1787" t="s">
        <v>2002</v>
      </c>
      <c r="C99" s="1778">
        <f t="shared" si="36"/>
        <v>-8.6444238485853253E-3</v>
      </c>
      <c r="D99" s="1778">
        <f t="shared" si="35"/>
        <v>7.2729206881055219E-2</v>
      </c>
      <c r="E99" s="1778">
        <f t="shared" si="35"/>
        <v>0.14426201069310918</v>
      </c>
      <c r="F99" s="1778">
        <f t="shared" si="35"/>
        <v>3.7621202579538604E-2</v>
      </c>
      <c r="G99" s="1778">
        <f t="shared" si="35"/>
        <v>6.731062369598928E-2</v>
      </c>
      <c r="L99" s="1783"/>
      <c r="M99" s="1784"/>
      <c r="N99" s="1784"/>
      <c r="O99" s="1784"/>
      <c r="P99" s="1784"/>
      <c r="Q99" s="1784"/>
      <c r="R99" s="1783"/>
      <c r="S99" s="1783"/>
    </row>
    <row r="100" spans="1:19">
      <c r="A100" s="2489"/>
      <c r="B100" s="1787" t="s">
        <v>2003</v>
      </c>
      <c r="C100" s="1778">
        <f t="shared" si="36"/>
        <v>-4.9098001407440361E-2</v>
      </c>
      <c r="D100" s="1778">
        <f t="shared" si="35"/>
        <v>-2.9672655643800949E-3</v>
      </c>
      <c r="E100" s="1778">
        <f t="shared" si="35"/>
        <v>3.9003970151647582E-3</v>
      </c>
      <c r="F100" s="1778">
        <f t="shared" si="35"/>
        <v>2.097667996635999E-2</v>
      </c>
      <c r="G100" s="1778">
        <f t="shared" si="35"/>
        <v>-8.2617702447671526E-3</v>
      </c>
      <c r="L100" s="1783"/>
      <c r="M100" s="1784"/>
      <c r="N100" s="1784"/>
      <c r="O100" s="1784"/>
      <c r="P100" s="1784"/>
      <c r="Q100" s="1784"/>
      <c r="R100" s="1783"/>
      <c r="S100" s="1783"/>
    </row>
    <row r="101" spans="1:19">
      <c r="A101" s="2489"/>
      <c r="B101" s="1787" t="s">
        <v>2004</v>
      </c>
      <c r="C101" s="1778">
        <f t="shared" si="36"/>
        <v>5.4462323670063206E-2</v>
      </c>
      <c r="D101" s="1778">
        <f t="shared" si="35"/>
        <v>6.0818931584573743E-2</v>
      </c>
      <c r="E101" s="1778">
        <f t="shared" si="35"/>
        <v>8.7466472107983195E-2</v>
      </c>
      <c r="F101" s="1778">
        <f t="shared" si="35"/>
        <v>5.8514704484139646E-2</v>
      </c>
      <c r="G101" s="1778">
        <f t="shared" si="35"/>
        <v>6.7211832688634621E-2</v>
      </c>
      <c r="L101" s="1783"/>
      <c r="M101" s="1784"/>
      <c r="N101" s="1784"/>
      <c r="O101" s="1784"/>
      <c r="P101" s="1784"/>
      <c r="Q101" s="1784"/>
      <c r="R101" s="1783"/>
      <c r="S101" s="1783"/>
    </row>
    <row r="102" spans="1:19">
      <c r="A102" s="2489"/>
      <c r="B102" s="1787" t="s">
        <v>2005</v>
      </c>
      <c r="C102" s="1778">
        <f t="shared" si="36"/>
        <v>-2.3210949012587134E-2</v>
      </c>
      <c r="D102" s="1778">
        <f t="shared" si="35"/>
        <v>-1.0155427186030686E-2</v>
      </c>
      <c r="E102" s="1778">
        <f t="shared" si="35"/>
        <v>2.752800422830548E-2</v>
      </c>
      <c r="F102" s="1778">
        <f t="shared" si="35"/>
        <v>-4.2152048434460743E-2</v>
      </c>
      <c r="G102" s="1778">
        <f t="shared" si="35"/>
        <v>-7.5234249580239387E-3</v>
      </c>
      <c r="L102" s="1783"/>
      <c r="M102" s="1784"/>
      <c r="N102" s="1784"/>
      <c r="O102" s="1784"/>
      <c r="P102" s="1784"/>
      <c r="Q102" s="1784"/>
      <c r="R102" s="1783"/>
      <c r="S102" s="1783"/>
    </row>
    <row r="103" spans="1:19">
      <c r="A103" s="2489"/>
      <c r="B103" s="1787" t="s">
        <v>2006</v>
      </c>
      <c r="C103" s="1778">
        <f>C95/I95-1</f>
        <v>2.7341564194708456</v>
      </c>
      <c r="D103" s="1778">
        <f t="shared" si="35"/>
        <v>-0.15889296403918596</v>
      </c>
      <c r="E103" s="1778">
        <f t="shared" si="35"/>
        <v>1.0299996739832342</v>
      </c>
      <c r="F103" s="1778">
        <f t="shared" si="35"/>
        <v>-0.1996827957342987</v>
      </c>
      <c r="G103" s="1778">
        <f t="shared" si="35"/>
        <v>0.41083889683982622</v>
      </c>
      <c r="L103" s="1783"/>
      <c r="M103" s="1784"/>
      <c r="N103" s="1784"/>
      <c r="O103" s="1784"/>
      <c r="P103" s="1784"/>
      <c r="Q103" s="1784"/>
      <c r="R103" s="1783"/>
      <c r="S103" s="1783"/>
    </row>
    <row r="104" spans="1:19">
      <c r="A104" s="2489"/>
      <c r="B104" s="1787" t="s">
        <v>2007</v>
      </c>
      <c r="C104" s="1778">
        <f t="shared" si="36"/>
        <v>2.1522305335952785E-2</v>
      </c>
      <c r="D104" s="1778">
        <f t="shared" si="35"/>
        <v>-2.3740160208498562E-3</v>
      </c>
      <c r="E104" s="1778">
        <f t="shared" si="35"/>
        <v>0.10643837737650697</v>
      </c>
      <c r="F104" s="1778">
        <f t="shared" si="35"/>
        <v>2.0041683432132196E-2</v>
      </c>
      <c r="G104" s="1778">
        <f t="shared" si="35"/>
        <v>4.0988049205114896E-2</v>
      </c>
      <c r="L104" s="1783"/>
      <c r="M104" s="1784"/>
      <c r="N104" s="1784"/>
      <c r="O104" s="1784"/>
      <c r="P104" s="1784"/>
      <c r="Q104" s="1784"/>
      <c r="R104" s="1783"/>
      <c r="S104" s="1783"/>
    </row>
    <row r="105" spans="1:19">
      <c r="B105" s="1058"/>
      <c r="C105" s="1792"/>
      <c r="D105" s="1792"/>
      <c r="E105" s="1792"/>
      <c r="F105" s="1792"/>
      <c r="G105" s="1792"/>
      <c r="L105" s="1783"/>
      <c r="M105" s="1784"/>
      <c r="N105" s="1784"/>
      <c r="O105" s="1784"/>
      <c r="P105" s="1784"/>
      <c r="Q105" s="1784"/>
      <c r="R105" s="1783"/>
      <c r="S105" s="1783"/>
    </row>
    <row r="106" spans="1:19" ht="15.6">
      <c r="B106" s="1785" t="s">
        <v>2009</v>
      </c>
      <c r="C106" s="1793" t="s">
        <v>1851</v>
      </c>
      <c r="D106" s="1793" t="s">
        <v>1852</v>
      </c>
      <c r="E106" s="1793" t="s">
        <v>1853</v>
      </c>
      <c r="F106" s="1794" t="s">
        <v>1854</v>
      </c>
      <c r="G106" s="1794" t="s">
        <v>1855</v>
      </c>
      <c r="H106" s="1794" t="s">
        <v>1856</v>
      </c>
      <c r="I106" s="1794" t="s">
        <v>1857</v>
      </c>
      <c r="J106" s="1794" t="s">
        <v>1858</v>
      </c>
      <c r="K106" s="1794" t="s">
        <v>1859</v>
      </c>
      <c r="L106" s="1794" t="s">
        <v>1860</v>
      </c>
      <c r="M106" s="1794" t="s">
        <v>1861</v>
      </c>
      <c r="N106" s="1794" t="s">
        <v>1862</v>
      </c>
    </row>
    <row r="107" spans="1:19">
      <c r="B107" s="1786" t="s">
        <v>2000</v>
      </c>
      <c r="C107" s="1795">
        <v>55.479679299999994</v>
      </c>
      <c r="D107" s="1795">
        <v>33.704505780000005</v>
      </c>
      <c r="E107" s="1796">
        <v>43.21783774</v>
      </c>
      <c r="F107" s="1797">
        <v>40.063318259999996</v>
      </c>
      <c r="G107" s="1777"/>
      <c r="H107" s="1777"/>
      <c r="I107" s="1777"/>
      <c r="J107" s="1777"/>
      <c r="K107" s="1777"/>
      <c r="L107" s="1777"/>
      <c r="M107" s="1777"/>
      <c r="N107" s="1777"/>
    </row>
    <row r="108" spans="1:19">
      <c r="B108" s="1787" t="s">
        <v>2001</v>
      </c>
      <c r="C108" s="1795">
        <v>8.6875110800000002</v>
      </c>
      <c r="D108" s="1795">
        <v>6.9684746400000002</v>
      </c>
      <c r="E108" s="1796">
        <v>6.5170943999999995</v>
      </c>
      <c r="F108" s="1797">
        <v>7.5020987000000003</v>
      </c>
      <c r="G108" s="1777"/>
      <c r="H108" s="1777"/>
      <c r="I108" s="1777"/>
      <c r="J108" s="1777"/>
      <c r="K108" s="1777"/>
      <c r="L108" s="1777"/>
      <c r="M108" s="1777"/>
      <c r="N108" s="1777"/>
    </row>
    <row r="109" spans="1:19">
      <c r="B109" s="1787" t="s">
        <v>2002</v>
      </c>
      <c r="C109" s="1795">
        <v>27.31687329</v>
      </c>
      <c r="D109" s="1795">
        <v>33.4006033</v>
      </c>
      <c r="E109" s="1796">
        <v>27.025450120000002</v>
      </c>
      <c r="F109" s="1797">
        <v>20.547833400000002</v>
      </c>
      <c r="G109" s="1777"/>
      <c r="H109" s="1777"/>
      <c r="I109" s="1777"/>
      <c r="J109" s="1777"/>
      <c r="K109" s="1777"/>
      <c r="L109" s="1777"/>
      <c r="M109" s="1777"/>
      <c r="N109" s="1777"/>
    </row>
    <row r="110" spans="1:19">
      <c r="B110" s="1787" t="s">
        <v>2003</v>
      </c>
      <c r="C110" s="1795">
        <v>2.09590582</v>
      </c>
      <c r="D110" s="1795">
        <v>1.7710123999999998</v>
      </c>
      <c r="E110" s="1796">
        <v>1.7241180700000001</v>
      </c>
      <c r="F110" s="1797">
        <v>0.99550172999999997</v>
      </c>
      <c r="G110" s="1777"/>
      <c r="H110" s="1777"/>
      <c r="I110" s="1777"/>
      <c r="J110" s="1777"/>
      <c r="K110" s="1777"/>
      <c r="L110" s="1777"/>
      <c r="M110" s="1777"/>
      <c r="N110" s="1777"/>
    </row>
    <row r="111" spans="1:19">
      <c r="B111" s="1787" t="s">
        <v>2004</v>
      </c>
      <c r="C111" s="1795">
        <v>30.206615729999999</v>
      </c>
      <c r="D111" s="1795">
        <v>22.868471079999999</v>
      </c>
      <c r="E111" s="1796">
        <v>27.222680269999998</v>
      </c>
      <c r="F111" s="1797">
        <v>21.827596200000002</v>
      </c>
      <c r="G111" s="1777"/>
      <c r="H111" s="1777"/>
      <c r="I111" s="1777"/>
      <c r="J111" s="1777"/>
      <c r="K111" s="1777"/>
      <c r="L111" s="1777"/>
      <c r="M111" s="1777"/>
      <c r="N111" s="1777"/>
    </row>
    <row r="112" spans="1:19">
      <c r="B112" s="1787" t="s">
        <v>2005</v>
      </c>
      <c r="C112" s="1795">
        <v>0.55803080000000005</v>
      </c>
      <c r="D112" s="1795">
        <v>0.49139394000000003</v>
      </c>
      <c r="E112" s="1796">
        <v>0.45438410000000001</v>
      </c>
      <c r="F112" s="1797">
        <v>0.46222777999999998</v>
      </c>
      <c r="G112" s="1777"/>
      <c r="H112" s="1777"/>
      <c r="I112" s="1777"/>
      <c r="J112" s="1777"/>
      <c r="K112" s="1777"/>
      <c r="L112" s="1777"/>
      <c r="M112" s="1777"/>
      <c r="N112" s="1777"/>
    </row>
    <row r="113" spans="2:14">
      <c r="B113" s="1787" t="s">
        <v>2006</v>
      </c>
      <c r="C113" s="1795">
        <v>2.6404566999999997</v>
      </c>
      <c r="D113" s="1795">
        <v>2.5773360999999997</v>
      </c>
      <c r="E113" s="1796">
        <v>4.6342942000000003</v>
      </c>
      <c r="F113" s="1797">
        <v>2.4904266000000002</v>
      </c>
      <c r="G113" s="1777"/>
      <c r="H113" s="1777"/>
      <c r="I113" s="1777"/>
      <c r="J113" s="1777"/>
      <c r="K113" s="1777"/>
      <c r="L113" s="1777"/>
      <c r="M113" s="1777"/>
      <c r="N113" s="1777"/>
    </row>
    <row r="114" spans="2:14">
      <c r="B114" s="1787" t="s">
        <v>2007</v>
      </c>
      <c r="C114" s="1795">
        <v>126.98507272000001</v>
      </c>
      <c r="D114" s="1795">
        <v>101.78179723999999</v>
      </c>
      <c r="E114" s="1796">
        <v>110.7958589</v>
      </c>
      <c r="F114" s="1797">
        <v>93.889002670000011</v>
      </c>
      <c r="G114" s="1777"/>
      <c r="H114" s="1777"/>
      <c r="I114" s="1777"/>
      <c r="J114" s="1777"/>
      <c r="K114" s="1777"/>
      <c r="L114" s="1777"/>
      <c r="M114" s="1777"/>
      <c r="N114" s="1777"/>
    </row>
    <row r="126" spans="2:14">
      <c r="C126" s="1798"/>
      <c r="D126" s="1798"/>
      <c r="E126" s="1798"/>
      <c r="F126" s="1798"/>
      <c r="G126" s="1798"/>
      <c r="H126" s="1798"/>
      <c r="I126" s="1798"/>
      <c r="J126" s="1798"/>
      <c r="K126" s="1798"/>
      <c r="L126" s="1798"/>
      <c r="M126" s="1798"/>
      <c r="N126" s="1798"/>
    </row>
    <row r="127" spans="2:14">
      <c r="C127" s="1798"/>
      <c r="D127" s="1798"/>
      <c r="E127" s="1798"/>
      <c r="F127" s="1798"/>
      <c r="G127" s="1798"/>
      <c r="H127" s="1798"/>
      <c r="I127" s="1798"/>
      <c r="J127" s="1798"/>
      <c r="K127" s="1798"/>
      <c r="L127" s="1798"/>
      <c r="M127" s="1798"/>
      <c r="N127" s="1798"/>
    </row>
    <row r="128" spans="2:14">
      <c r="C128" s="1798"/>
      <c r="D128" s="1798"/>
      <c r="E128" s="1798"/>
      <c r="F128" s="1798"/>
      <c r="G128" s="1798"/>
      <c r="H128" s="1798"/>
      <c r="I128" s="1798"/>
      <c r="J128" s="1798"/>
      <c r="K128" s="1798"/>
      <c r="L128" s="1798"/>
      <c r="M128" s="1798"/>
      <c r="N128" s="1798"/>
    </row>
    <row r="129" spans="3:14">
      <c r="C129" s="1798"/>
      <c r="D129" s="1798"/>
      <c r="E129" s="1798"/>
      <c r="F129" s="1798"/>
      <c r="G129" s="1798"/>
      <c r="H129" s="1798"/>
      <c r="I129" s="1798"/>
      <c r="J129" s="1798"/>
      <c r="K129" s="1798"/>
      <c r="L129" s="1798"/>
      <c r="M129" s="1798"/>
      <c r="N129" s="1798"/>
    </row>
    <row r="130" spans="3:14">
      <c r="C130" s="1798"/>
      <c r="D130" s="1798"/>
      <c r="E130" s="1798"/>
      <c r="F130" s="1798"/>
      <c r="G130" s="1798"/>
      <c r="H130" s="1798"/>
      <c r="I130" s="1798"/>
      <c r="J130" s="1798"/>
      <c r="K130" s="1798"/>
      <c r="L130" s="1798"/>
      <c r="M130" s="1798"/>
      <c r="N130" s="1798"/>
    </row>
    <row r="131" spans="3:14">
      <c r="C131" s="1798"/>
      <c r="D131" s="1798"/>
      <c r="E131" s="1798"/>
      <c r="F131" s="1798"/>
      <c r="G131" s="1798"/>
      <c r="H131" s="1798"/>
      <c r="I131" s="1798"/>
      <c r="J131" s="1798"/>
      <c r="K131" s="1798"/>
      <c r="L131" s="1798"/>
      <c r="M131" s="1798"/>
      <c r="N131" s="1798"/>
    </row>
    <row r="132" spans="3:14">
      <c r="C132" s="1798"/>
      <c r="D132" s="1798"/>
      <c r="E132" s="1798"/>
      <c r="F132" s="1798"/>
      <c r="G132" s="1798"/>
      <c r="H132" s="1798"/>
      <c r="I132" s="1798"/>
      <c r="J132" s="1798"/>
      <c r="K132" s="1798"/>
      <c r="L132" s="1798"/>
      <c r="M132" s="1798"/>
      <c r="N132" s="1798"/>
    </row>
    <row r="133" spans="3:14">
      <c r="C133" s="1798"/>
      <c r="D133" s="1798"/>
      <c r="E133" s="1798"/>
      <c r="F133" s="1798"/>
      <c r="G133" s="1798"/>
      <c r="H133" s="1798"/>
      <c r="I133" s="1798"/>
      <c r="J133" s="1798"/>
      <c r="K133" s="1798"/>
      <c r="L133" s="1798"/>
      <c r="M133" s="1798"/>
      <c r="N133" s="1798"/>
    </row>
  </sheetData>
  <mergeCells count="4">
    <mergeCell ref="A71:A78"/>
    <mergeCell ref="A79:A86"/>
    <mergeCell ref="A97:A104"/>
    <mergeCell ref="J42:O42"/>
  </mergeCells>
  <phoneticPr fontId="20" type="noConversion"/>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4"/>
  <dimension ref="B2:I48"/>
  <sheetViews>
    <sheetView workbookViewId="0">
      <selection activeCell="B3" sqref="B3"/>
    </sheetView>
  </sheetViews>
  <sheetFormatPr defaultColWidth="9" defaultRowHeight="15"/>
  <cols>
    <col min="1" max="1" width="9" style="1824"/>
    <col min="2" max="2" width="18.6640625" style="1824" bestFit="1" customWidth="1"/>
    <col min="3" max="4" width="14" style="1824" bestFit="1" customWidth="1"/>
    <col min="5" max="16384" width="9" style="1824"/>
  </cols>
  <sheetData>
    <row r="2" spans="2:9">
      <c r="B2" s="2492" t="str">
        <f>购售电分析!B4</f>
        <v>2017年</v>
      </c>
      <c r="C2" s="2492"/>
      <c r="D2" s="2492"/>
      <c r="E2" s="2492"/>
      <c r="F2" s="2492" t="str">
        <f>购售电分析!B3</f>
        <v>2018年</v>
      </c>
      <c r="G2" s="2492"/>
      <c r="H2" s="2492"/>
      <c r="I2" s="2492"/>
    </row>
    <row r="3" spans="2:9">
      <c r="B3" s="1825" t="str">
        <f>购售电分析!C2</f>
        <v>第一季度</v>
      </c>
      <c r="C3" s="1825" t="str">
        <f>购售电分析!D2</f>
        <v>第二季度</v>
      </c>
      <c r="D3" s="1825" t="str">
        <f>购售电分析!E2</f>
        <v>第三季度</v>
      </c>
      <c r="E3" s="1825" t="str">
        <f>购售电分析!F2</f>
        <v>第四季度</v>
      </c>
      <c r="F3" s="1825" t="str">
        <f>购售电分析!C2</f>
        <v>第一季度</v>
      </c>
      <c r="G3" s="1825" t="str">
        <f>购售电分析!D2</f>
        <v>第二季度</v>
      </c>
      <c r="H3" s="1825" t="str">
        <f>购售电分析!E2</f>
        <v>第三季度</v>
      </c>
      <c r="I3" s="1825" t="str">
        <f>购售电分析!F2</f>
        <v>第四季度</v>
      </c>
    </row>
    <row r="4" spans="2:9">
      <c r="B4" s="1826">
        <f>购售电分析!C7</f>
        <v>4.7887937544670578E-3</v>
      </c>
      <c r="C4" s="1826">
        <f>购售电分析!D7</f>
        <v>6.5450527617705312E-4</v>
      </c>
      <c r="D4" s="1826">
        <f>购售电分析!E7</f>
        <v>7.5043629520887389E-2</v>
      </c>
      <c r="E4" s="1826">
        <f>购售电分析!F7</f>
        <v>3.1143085702499462E-2</v>
      </c>
      <c r="F4" s="1827">
        <f>购售电分析!C6</f>
        <v>0.11671543413656282</v>
      </c>
      <c r="G4" s="1827">
        <f>购售电分析!D6</f>
        <v>-0.31300074833690517</v>
      </c>
      <c r="H4" s="1827">
        <f>购售电分析!E6</f>
        <v>-1</v>
      </c>
      <c r="I4" s="1827">
        <f>购售电分析!F6</f>
        <v>-1</v>
      </c>
    </row>
    <row r="6" spans="2:9">
      <c r="B6" s="2492" t="str">
        <f>B2</f>
        <v>2017年</v>
      </c>
      <c r="C6" s="2492"/>
      <c r="D6" s="2492"/>
      <c r="E6" s="2492"/>
      <c r="F6" s="2492" t="str">
        <f>F2</f>
        <v>2018年</v>
      </c>
      <c r="G6" s="2492"/>
      <c r="H6" s="2492"/>
      <c r="I6" s="2492"/>
    </row>
    <row r="7" spans="2:9">
      <c r="B7" s="1825" t="str">
        <f>B3</f>
        <v>第一季度</v>
      </c>
      <c r="C7" s="1825" t="str">
        <f t="shared" ref="C7:I7" si="0">C3</f>
        <v>第二季度</v>
      </c>
      <c r="D7" s="1825" t="str">
        <f t="shared" si="0"/>
        <v>第三季度</v>
      </c>
      <c r="E7" s="1825" t="str">
        <f t="shared" si="0"/>
        <v>第四季度</v>
      </c>
      <c r="F7" s="1825" t="str">
        <f t="shared" si="0"/>
        <v>第一季度</v>
      </c>
      <c r="G7" s="1825" t="str">
        <f t="shared" si="0"/>
        <v>第二季度</v>
      </c>
      <c r="H7" s="1825" t="str">
        <f t="shared" si="0"/>
        <v>第三季度</v>
      </c>
      <c r="I7" s="1825" t="str">
        <f t="shared" si="0"/>
        <v>第四季度</v>
      </c>
    </row>
    <row r="8" spans="2:9">
      <c r="B8" s="1827">
        <f>购售电分析!C97</f>
        <v>-7.6155906037119747E-3</v>
      </c>
      <c r="C8" s="1827">
        <f>购售电分析!D97</f>
        <v>-4.7248058853605945E-2</v>
      </c>
      <c r="D8" s="1827">
        <f>购售电分析!E97</f>
        <v>4.2983347491152069E-2</v>
      </c>
      <c r="E8" s="1827">
        <f>购售电分析!F97</f>
        <v>2.4674135483844228E-2</v>
      </c>
      <c r="F8" s="1827">
        <f>购售电分析!C79</f>
        <v>1.7598526921220103E-2</v>
      </c>
      <c r="G8" s="1827">
        <f>购售电分析!D79</f>
        <v>-0.65437970444335747</v>
      </c>
      <c r="H8" s="1827">
        <f>购售电分析!E79</f>
        <v>-1.0429833474911521</v>
      </c>
      <c r="I8" s="1827">
        <f>购售电分析!F79</f>
        <v>-1.0246741354838442</v>
      </c>
    </row>
    <row r="10" spans="2:9">
      <c r="B10" s="1825"/>
      <c r="C10" s="1825" t="s">
        <v>2043</v>
      </c>
      <c r="D10" s="1825" t="s">
        <v>2044</v>
      </c>
    </row>
    <row r="11" spans="2:9">
      <c r="B11" s="1786" t="s">
        <v>2045</v>
      </c>
      <c r="C11" s="1811">
        <f>购售电分析!C63</f>
        <v>132.40202281999998</v>
      </c>
      <c r="D11" s="1811">
        <f>购售电分析!C89</f>
        <v>131.09332649000001</v>
      </c>
    </row>
    <row r="12" spans="2:9">
      <c r="B12" s="1787" t="s">
        <v>2046</v>
      </c>
      <c r="C12" s="1811">
        <f>购售电分析!C64</f>
        <v>22.173080120000002</v>
      </c>
      <c r="D12" s="1811">
        <f>购售电分析!C90</f>
        <v>21.618348279999999</v>
      </c>
    </row>
    <row r="13" spans="2:9">
      <c r="B13" s="1787" t="s">
        <v>2047</v>
      </c>
      <c r="C13" s="1811">
        <f>购售电分析!C65</f>
        <v>87.742926710000006</v>
      </c>
      <c r="D13" s="1811">
        <f>购售电分析!C91</f>
        <v>70.272404640000005</v>
      </c>
    </row>
    <row r="14" spans="2:9">
      <c r="B14" s="1787" t="s">
        <v>2048</v>
      </c>
      <c r="C14" s="1811">
        <f>购售电分析!C66</f>
        <v>5.5910362899999999</v>
      </c>
      <c r="D14" s="1811">
        <f>购售电分析!C92</f>
        <v>5.3225878900000003</v>
      </c>
    </row>
    <row r="15" spans="2:9">
      <c r="B15" s="1787" t="s">
        <v>2049</v>
      </c>
      <c r="C15" s="1811">
        <f>购售电分析!C67</f>
        <v>80.29776708</v>
      </c>
      <c r="D15" s="1811">
        <f>购售电分析!C93</f>
        <v>74.31022621000001</v>
      </c>
    </row>
    <row r="16" spans="2:9">
      <c r="B16" s="1787" t="s">
        <v>2050</v>
      </c>
      <c r="C16" s="1811">
        <f>购售电分析!C68</f>
        <v>1.50380884</v>
      </c>
      <c r="D16" s="1811">
        <f>购售电分析!C94</f>
        <v>1.45585276</v>
      </c>
    </row>
    <row r="17" spans="2:4">
      <c r="B17" s="1787" t="s">
        <v>2051</v>
      </c>
      <c r="C17" s="1811">
        <f>购售电分析!C69</f>
        <v>9.8520870000000009</v>
      </c>
      <c r="D17" s="1811">
        <f>购售电分析!C95</f>
        <v>6.9709359000000006</v>
      </c>
    </row>
    <row r="18" spans="2:4">
      <c r="B18" s="1787" t="s">
        <v>1984</v>
      </c>
      <c r="C18" s="1811">
        <f>购售电分析!C70</f>
        <v>339.56272885999999</v>
      </c>
      <c r="D18" s="1811">
        <f>购售电分析!C96</f>
        <v>311.04368217000001</v>
      </c>
    </row>
    <row r="20" spans="2:4">
      <c r="B20" s="1825"/>
      <c r="C20" s="1825" t="s">
        <v>2052</v>
      </c>
      <c r="D20" s="1825" t="s">
        <v>2053</v>
      </c>
    </row>
    <row r="21" spans="2:4">
      <c r="B21" s="1786" t="s">
        <v>2045</v>
      </c>
      <c r="C21" s="1811">
        <f>购售电分析!D63</f>
        <v>40.063318259999996</v>
      </c>
      <c r="D21" s="1811">
        <f>购售电分析!D89</f>
        <v>134.27294276000001</v>
      </c>
    </row>
    <row r="22" spans="2:4">
      <c r="B22" s="1787" t="s">
        <v>2046</v>
      </c>
      <c r="C22" s="1811">
        <f>购售电分析!D64</f>
        <v>7.5020987000000003</v>
      </c>
      <c r="D22" s="1811">
        <f>购售电分析!D90</f>
        <v>21.074723429999999</v>
      </c>
    </row>
    <row r="23" spans="2:4">
      <c r="B23" s="1787" t="s">
        <v>2047</v>
      </c>
      <c r="C23" s="1811">
        <f>购售电分析!D65</f>
        <v>20.547833400000002</v>
      </c>
      <c r="D23" s="1811">
        <f>购售电分析!D91</f>
        <v>51.027779629999998</v>
      </c>
    </row>
    <row r="24" spans="2:4">
      <c r="B24" s="1787" t="s">
        <v>2048</v>
      </c>
      <c r="C24" s="1811">
        <f>购售电分析!D66</f>
        <v>0.99550172999999997</v>
      </c>
      <c r="D24" s="1811">
        <f>购售电分析!D92</f>
        <v>4.3077905199999993</v>
      </c>
    </row>
    <row r="25" spans="2:4">
      <c r="B25" s="1787" t="s">
        <v>2049</v>
      </c>
      <c r="C25" s="1811">
        <f>购售电分析!D67</f>
        <v>21.827596200000002</v>
      </c>
      <c r="D25" s="1811">
        <f>购售电分析!D93</f>
        <v>69.152632729999993</v>
      </c>
    </row>
    <row r="26" spans="2:4">
      <c r="B26" s="1787" t="s">
        <v>2050</v>
      </c>
      <c r="C26" s="1811">
        <f>购售电分析!D68</f>
        <v>0.46222777999999998</v>
      </c>
      <c r="D26" s="1811">
        <f>购售电分析!D94</f>
        <v>1.49265889</v>
      </c>
    </row>
    <row r="27" spans="2:4">
      <c r="B27" s="1787" t="s">
        <v>2051</v>
      </c>
      <c r="C27" s="1811">
        <f>购售电分析!D69</f>
        <v>2.4904266000000002</v>
      </c>
      <c r="D27" s="1811">
        <f>购售电分析!D95</f>
        <v>4.5755636000000006</v>
      </c>
    </row>
    <row r="28" spans="2:4">
      <c r="B28" s="1787" t="s">
        <v>1984</v>
      </c>
      <c r="C28" s="1811">
        <f>购售电分析!D70</f>
        <v>93.889002670000011</v>
      </c>
      <c r="D28" s="1811">
        <f>购售电分析!D96</f>
        <v>285.90409155999998</v>
      </c>
    </row>
    <row r="30" spans="2:4">
      <c r="B30" s="1825"/>
      <c r="C30" s="1825" t="s">
        <v>2054</v>
      </c>
      <c r="D30" s="1825" t="s">
        <v>2055</v>
      </c>
    </row>
    <row r="31" spans="2:4">
      <c r="B31" s="1786" t="s">
        <v>2045</v>
      </c>
      <c r="C31" s="1811">
        <f>购售电分析!E63</f>
        <v>0</v>
      </c>
      <c r="D31" s="1811">
        <f>购售电分析!E89</f>
        <v>154.07569147000001</v>
      </c>
    </row>
    <row r="32" spans="2:4">
      <c r="B32" s="1787" t="s">
        <v>2046</v>
      </c>
      <c r="C32" s="1811">
        <f>购售电分析!E64</f>
        <v>0</v>
      </c>
      <c r="D32" s="1811">
        <f>购售电分析!E90</f>
        <v>28.317113369999998</v>
      </c>
    </row>
    <row r="33" spans="2:4">
      <c r="B33" s="1787" t="s">
        <v>2047</v>
      </c>
      <c r="C33" s="1811">
        <f>购售电分析!E65</f>
        <v>0</v>
      </c>
      <c r="D33" s="1811">
        <f>购售电分析!E91</f>
        <v>98.203510309999999</v>
      </c>
    </row>
    <row r="34" spans="2:4">
      <c r="B34" s="1787" t="s">
        <v>2048</v>
      </c>
      <c r="C34" s="1811">
        <f>购售电分析!E66</f>
        <v>0</v>
      </c>
      <c r="D34" s="1811">
        <f>购售电分析!E92</f>
        <v>5.6819148400000001</v>
      </c>
    </row>
    <row r="35" spans="2:4">
      <c r="B35" s="1787" t="s">
        <v>2049</v>
      </c>
      <c r="C35" s="1811">
        <f>购售电分析!E67</f>
        <v>0</v>
      </c>
      <c r="D35" s="1811">
        <f>购售电分析!E93</f>
        <v>103.84835519000001</v>
      </c>
    </row>
    <row r="36" spans="2:4">
      <c r="B36" s="1787" t="s">
        <v>2050</v>
      </c>
      <c r="C36" s="1811">
        <f>购售电分析!E68</f>
        <v>0</v>
      </c>
      <c r="D36" s="1811">
        <f>购售电分析!E94</f>
        <v>2.5891447200000002</v>
      </c>
    </row>
    <row r="37" spans="2:4">
      <c r="B37" s="1787" t="s">
        <v>2051</v>
      </c>
      <c r="C37" s="1811">
        <f>购售电分析!E69</f>
        <v>0</v>
      </c>
      <c r="D37" s="1811">
        <f>购售电分析!E95</f>
        <v>25.208061499999999</v>
      </c>
    </row>
    <row r="38" spans="2:4">
      <c r="B38" s="1787" t="s">
        <v>1984</v>
      </c>
      <c r="C38" s="1811">
        <f>购售电分析!E70</f>
        <v>0</v>
      </c>
      <c r="D38" s="1811">
        <f>购售电分析!E96</f>
        <v>417.92379140000003</v>
      </c>
    </row>
    <row r="40" spans="2:4">
      <c r="B40" s="1825"/>
      <c r="C40" s="1825" t="s">
        <v>2056</v>
      </c>
      <c r="D40" s="1825" t="s">
        <v>2057</v>
      </c>
    </row>
    <row r="41" spans="2:4">
      <c r="B41" s="1786" t="s">
        <v>2045</v>
      </c>
      <c r="C41" s="1811">
        <f>购售电分析!F63</f>
        <v>0</v>
      </c>
      <c r="D41" s="1811">
        <f>购售电分析!F89</f>
        <v>143.69586470000002</v>
      </c>
    </row>
    <row r="42" spans="2:4">
      <c r="B42" s="1787" t="s">
        <v>2046</v>
      </c>
      <c r="C42" s="1811">
        <f>购售电分析!F64</f>
        <v>0</v>
      </c>
      <c r="D42" s="1811">
        <f>购售电分析!F90</f>
        <v>21.250726110000002</v>
      </c>
    </row>
    <row r="43" spans="2:4">
      <c r="B43" s="1787" t="s">
        <v>2047</v>
      </c>
      <c r="C43" s="1811">
        <f>购售电分析!F65</f>
        <v>0</v>
      </c>
      <c r="D43" s="1811">
        <f>购售电分析!F91</f>
        <v>51.649032359999993</v>
      </c>
    </row>
    <row r="44" spans="2:4">
      <c r="B44" s="1787" t="s">
        <v>2048</v>
      </c>
      <c r="C44" s="1811">
        <f>购售电分析!F66</f>
        <v>0</v>
      </c>
      <c r="D44" s="1811">
        <f>购售电分析!F92</f>
        <v>4.7792098999999997</v>
      </c>
    </row>
    <row r="45" spans="2:4">
      <c r="B45" s="1787" t="s">
        <v>2049</v>
      </c>
      <c r="C45" s="1811">
        <f>购售电分析!F67</f>
        <v>0</v>
      </c>
      <c r="D45" s="1811">
        <f>购售电分析!F93</f>
        <v>75.338203019999995</v>
      </c>
    </row>
    <row r="46" spans="2:4">
      <c r="B46" s="1787" t="s">
        <v>2050</v>
      </c>
      <c r="C46" s="1811">
        <f>购售电分析!F68</f>
        <v>0</v>
      </c>
      <c r="D46" s="1811">
        <f>购售电分析!F94</f>
        <v>1.6865067100000002</v>
      </c>
    </row>
    <row r="47" spans="2:4">
      <c r="B47" s="1787" t="s">
        <v>2051</v>
      </c>
      <c r="C47" s="1811">
        <f>购售电分析!F69</f>
        <v>0</v>
      </c>
      <c r="D47" s="1811">
        <f>购售电分析!F95</f>
        <v>11.701479299999999</v>
      </c>
    </row>
    <row r="48" spans="2:4">
      <c r="B48" s="1787" t="s">
        <v>1984</v>
      </c>
      <c r="C48" s="1811">
        <f>购售电分析!F70</f>
        <v>0</v>
      </c>
      <c r="D48" s="1811">
        <f>购售电分析!F96</f>
        <v>310.10102210000002</v>
      </c>
    </row>
  </sheetData>
  <mergeCells count="4">
    <mergeCell ref="B2:E2"/>
    <mergeCell ref="F2:I2"/>
    <mergeCell ref="F6:I6"/>
    <mergeCell ref="B6:E6"/>
  </mergeCells>
  <phoneticPr fontId="20" type="noConversion"/>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5"/>
  <dimension ref="B2:F14"/>
  <sheetViews>
    <sheetView showGridLines="0" workbookViewId="0">
      <selection activeCell="C4" sqref="C4"/>
    </sheetView>
  </sheetViews>
  <sheetFormatPr defaultColWidth="9" defaultRowHeight="15"/>
  <cols>
    <col min="1" max="1" width="4.21875" style="1372" customWidth="1"/>
    <col min="2" max="2" width="23.77734375" style="1372" customWidth="1"/>
    <col min="3" max="3" width="13.88671875" style="1372" bestFit="1" customWidth="1"/>
    <col min="4" max="4" width="9" style="1372"/>
    <col min="5" max="5" width="13.88671875" style="1372" bestFit="1" customWidth="1"/>
    <col min="6" max="6" width="13" style="1372" customWidth="1"/>
    <col min="7" max="16384" width="9" style="1372"/>
  </cols>
  <sheetData>
    <row r="2" spans="2:6" ht="15.6">
      <c r="B2" s="1603" t="s">
        <v>1850</v>
      </c>
      <c r="C2" s="1603" t="s">
        <v>1926</v>
      </c>
      <c r="D2" s="1603" t="s">
        <v>1927</v>
      </c>
      <c r="E2" s="1603" t="s">
        <v>1918</v>
      </c>
      <c r="F2" s="1603" t="s">
        <v>1919</v>
      </c>
    </row>
    <row r="3" spans="2:6">
      <c r="B3" s="1492" t="s">
        <v>1917</v>
      </c>
      <c r="C3" s="1604" t="s">
        <v>1217</v>
      </c>
      <c r="D3" s="1604" t="s">
        <v>1217</v>
      </c>
      <c r="E3" s="1537">
        <f>SUM(E4:E5,E8:E9)</f>
        <v>110.66259629957385</v>
      </c>
      <c r="F3" s="1537">
        <f>F10</f>
        <v>141.68475851085648</v>
      </c>
    </row>
    <row r="4" spans="2:6">
      <c r="B4" s="1605" t="s">
        <v>1923</v>
      </c>
      <c r="C4" s="1537">
        <f>关键业绩指标滚动预判!$O$19*C6</f>
        <v>12.5595</v>
      </c>
      <c r="D4" s="1606">
        <v>0.17</v>
      </c>
      <c r="E4" s="1537">
        <f>C4*D4</f>
        <v>2.1351150000000003</v>
      </c>
      <c r="F4" s="1492"/>
    </row>
    <row r="5" spans="2:6">
      <c r="B5" s="1605" t="s">
        <v>1922</v>
      </c>
      <c r="C5" s="1537">
        <f>关键业绩指标滚动预判!$O$19*C7</f>
        <v>12.5595</v>
      </c>
      <c r="D5" s="1607">
        <v>0.03</v>
      </c>
      <c r="E5" s="1608">
        <f t="shared" ref="E5" si="0">C5*D5</f>
        <v>0.37678499999999998</v>
      </c>
      <c r="F5" s="1609"/>
    </row>
    <row r="6" spans="2:6">
      <c r="B6" s="1605" t="s">
        <v>1924</v>
      </c>
      <c r="C6" s="1610">
        <v>0.5</v>
      </c>
      <c r="D6" s="1537"/>
      <c r="E6" s="1492"/>
      <c r="F6" s="1492"/>
    </row>
    <row r="7" spans="2:6">
      <c r="B7" s="1605" t="s">
        <v>1925</v>
      </c>
      <c r="C7" s="1610">
        <v>0.5</v>
      </c>
      <c r="D7" s="1537"/>
      <c r="E7" s="1492"/>
      <c r="F7" s="1492"/>
    </row>
    <row r="8" spans="2:6">
      <c r="B8" s="1605" t="s">
        <v>1921</v>
      </c>
      <c r="C8" s="1537">
        <f>固定资产结构及折旧参数!C70</f>
        <v>150.09303532984927</v>
      </c>
      <c r="D8" s="1611">
        <v>0.1</v>
      </c>
      <c r="E8" s="1612">
        <f>C8*D8</f>
        <v>15.009303532984928</v>
      </c>
      <c r="F8" s="1613"/>
    </row>
    <row r="9" spans="2:6">
      <c r="B9" s="1605" t="s">
        <v>986</v>
      </c>
      <c r="C9" s="1537">
        <f>实际收入!G19</f>
        <v>547.89054568581719</v>
      </c>
      <c r="D9" s="1606">
        <v>0.17</v>
      </c>
      <c r="E9" s="1537">
        <f>C9*D9</f>
        <v>93.141392766588922</v>
      </c>
      <c r="F9" s="1492"/>
    </row>
    <row r="10" spans="2:6">
      <c r="B10" s="1605" t="s">
        <v>902</v>
      </c>
      <c r="C10" s="1537">
        <f>实际收入!G7</f>
        <v>833.43975594621452</v>
      </c>
      <c r="D10" s="1606">
        <v>0.17</v>
      </c>
      <c r="E10" s="1492"/>
      <c r="F10" s="1537">
        <f>C10*D10</f>
        <v>141.68475851085648</v>
      </c>
    </row>
    <row r="11" spans="2:6">
      <c r="C11" s="1399"/>
      <c r="D11" s="1399"/>
    </row>
    <row r="12" spans="2:6" ht="15.6">
      <c r="B12" s="1603" t="s">
        <v>1929</v>
      </c>
      <c r="C12" s="1603" t="s">
        <v>1850</v>
      </c>
      <c r="D12" s="1527"/>
    </row>
    <row r="13" spans="2:6">
      <c r="B13" s="1492" t="s">
        <v>1421</v>
      </c>
      <c r="C13" s="1537">
        <f>损益表!G7</f>
        <v>6.1625687160459783</v>
      </c>
    </row>
    <row r="14" spans="2:6">
      <c r="B14" s="1614" t="s">
        <v>1928</v>
      </c>
      <c r="C14" s="1537">
        <f ca="1">损益表!G19</f>
        <v>7.8448068859786479</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7">
    <tabColor theme="8" tint="-0.249977111117893"/>
  </sheetPr>
  <dimension ref="A1"/>
  <sheetViews>
    <sheetView workbookViewId="0"/>
  </sheetViews>
  <sheetFormatPr defaultRowHeight="14.4"/>
  <sheetData/>
  <phoneticPr fontId="20"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3">
    <tabColor theme="8" tint="-0.249977111117893"/>
  </sheetPr>
  <dimension ref="B3"/>
  <sheetViews>
    <sheetView showGridLines="0" topLeftCell="A2" workbookViewId="0">
      <selection activeCell="A23" sqref="A23"/>
    </sheetView>
  </sheetViews>
  <sheetFormatPr defaultRowHeight="14.4"/>
  <sheetData>
    <row r="3" spans="2:2">
      <c r="B3" t="s">
        <v>1647</v>
      </c>
    </row>
  </sheetData>
  <phoneticPr fontId="20"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tabColor theme="9" tint="0.59999389629810485"/>
    <pageSetUpPr fitToPage="1"/>
  </sheetPr>
  <dimension ref="A1:AP136"/>
  <sheetViews>
    <sheetView showGridLines="0" zoomScaleNormal="100" zoomScalePageLayoutView="70" workbookViewId="0">
      <pane xSplit="2" ySplit="5" topLeftCell="D6" activePane="bottomRight" state="frozen"/>
      <selection activeCell="K8" sqref="K8"/>
      <selection pane="topRight" activeCell="K8" sqref="K8"/>
      <selection pane="bottomLeft" activeCell="K8" sqref="K8"/>
      <selection pane="bottomRight" activeCell="G2" sqref="G2:I3"/>
    </sheetView>
  </sheetViews>
  <sheetFormatPr defaultColWidth="8.77734375" defaultRowHeight="14.4"/>
  <cols>
    <col min="1" max="1" width="8.77734375" style="7"/>
    <col min="2" max="2" width="23.6640625" style="23" customWidth="1"/>
    <col min="3" max="3" width="13.21875" style="204" bestFit="1" customWidth="1"/>
    <col min="4" max="4" width="12.21875" style="228" customWidth="1"/>
    <col min="5" max="5" width="12.21875" style="23" customWidth="1"/>
    <col min="6" max="6" width="10.44140625" style="228" customWidth="1"/>
    <col min="7" max="7" width="13.33203125" style="228" customWidth="1"/>
    <col min="8" max="8" width="8.44140625" style="23" bestFit="1" customWidth="1"/>
    <col min="9" max="9" width="14.44140625" style="23" customWidth="1"/>
    <col min="10" max="10" width="10.109375" style="228" customWidth="1"/>
    <col min="11" max="11" width="10.109375" style="228" bestFit="1" customWidth="1"/>
    <col min="12" max="18" width="8.88671875" style="228" bestFit="1" customWidth="1"/>
    <col min="19" max="19" width="0" style="7" hidden="1" customWidth="1"/>
    <col min="20" max="16384" width="8.77734375" style="7"/>
  </cols>
  <sheetData>
    <row r="1" spans="1:42" ht="15.6">
      <c r="A1" s="195"/>
      <c r="B1" s="195" t="s">
        <v>681</v>
      </c>
      <c r="C1" s="196"/>
      <c r="D1" s="250"/>
      <c r="E1" s="24"/>
      <c r="F1" s="250"/>
      <c r="G1" s="250"/>
      <c r="H1" s="24"/>
      <c r="I1" s="24"/>
      <c r="J1" s="250"/>
      <c r="K1" s="250"/>
      <c r="L1" s="250"/>
      <c r="M1" s="250"/>
      <c r="N1" s="250"/>
      <c r="O1" s="250"/>
      <c r="P1" s="250"/>
      <c r="Q1" s="250"/>
      <c r="R1" s="250"/>
    </row>
    <row r="2" spans="1:42">
      <c r="A2" s="197"/>
      <c r="B2" s="197"/>
      <c r="C2" s="198"/>
      <c r="D2" s="251"/>
      <c r="E2" s="197"/>
      <c r="F2" s="251"/>
      <c r="G2" s="251"/>
      <c r="H2" s="251"/>
      <c r="I2" s="251"/>
    </row>
    <row r="3" spans="1:42">
      <c r="A3" s="199"/>
      <c r="B3" s="199" t="s">
        <v>365</v>
      </c>
      <c r="C3" s="198"/>
      <c r="D3" s="251"/>
      <c r="E3" s="197"/>
      <c r="F3" s="251"/>
      <c r="G3" s="251"/>
      <c r="H3" s="251"/>
      <c r="I3" s="251"/>
    </row>
    <row r="4" spans="1:42" ht="16.2" thickBot="1">
      <c r="A4" s="200"/>
      <c r="B4" s="200"/>
      <c r="C4" s="201"/>
      <c r="D4" s="252"/>
      <c r="E4" s="201"/>
      <c r="F4" s="252"/>
      <c r="G4" s="252"/>
      <c r="H4" s="205"/>
      <c r="I4" s="201"/>
      <c r="J4" s="2493" t="s">
        <v>264</v>
      </c>
      <c r="K4" s="2493"/>
      <c r="L4" s="2493"/>
      <c r="M4" s="2493"/>
      <c r="N4" s="2493"/>
      <c r="O4" s="2493"/>
      <c r="P4" s="2493"/>
      <c r="Q4" s="2493"/>
      <c r="R4" s="2493"/>
    </row>
    <row r="5" spans="1:42" ht="15" thickBot="1">
      <c r="A5" s="351" t="s">
        <v>1135</v>
      </c>
      <c r="B5" s="202" t="s">
        <v>259</v>
      </c>
      <c r="C5" s="203" t="s">
        <v>260</v>
      </c>
      <c r="D5" s="253" t="s">
        <v>268</v>
      </c>
      <c r="E5" s="203" t="s">
        <v>261</v>
      </c>
      <c r="F5" s="254" t="s">
        <v>262</v>
      </c>
      <c r="G5" s="253" t="s">
        <v>267</v>
      </c>
      <c r="H5" s="203" t="s">
        <v>265</v>
      </c>
      <c r="I5" s="203" t="s">
        <v>263</v>
      </c>
      <c r="J5" s="255">
        <f>DATE(测算年份-4,1,1)</f>
        <v>41640</v>
      </c>
      <c r="K5" s="255">
        <f>DATE(测算年份-3,1,1)</f>
        <v>42005</v>
      </c>
      <c r="L5" s="255">
        <f>DATE(测算年份-2,1,1)</f>
        <v>42370</v>
      </c>
      <c r="M5" s="255">
        <f>DATE(测算年份-1,1,1)</f>
        <v>42736</v>
      </c>
      <c r="N5" s="256">
        <f>DATE(测算年份,1,1)</f>
        <v>43101</v>
      </c>
      <c r="O5" s="256">
        <f>DATE(测算年份+1,1,1)</f>
        <v>43466</v>
      </c>
      <c r="P5" s="256">
        <f>DATE(测算年份+2,1,1)</f>
        <v>43831</v>
      </c>
      <c r="Q5" s="256">
        <f>DATE(测算年份+3,1,1)</f>
        <v>44197</v>
      </c>
      <c r="R5" s="256">
        <f>DATE(测算年份+4,1,1)</f>
        <v>44562</v>
      </c>
      <c r="S5" s="78">
        <f>DATE(测算年份+5,1,1)</f>
        <v>44927</v>
      </c>
    </row>
    <row r="6" spans="1:42">
      <c r="A6" s="355" t="s">
        <v>1105</v>
      </c>
      <c r="B6" s="356" t="s">
        <v>1082</v>
      </c>
      <c r="C6" s="357">
        <v>37426</v>
      </c>
      <c r="D6" s="358">
        <f t="shared" ref="D6:D70" si="0">IF(ISBLANK(C6),"",YEAR(C6))</f>
        <v>2002</v>
      </c>
      <c r="E6" s="359">
        <v>15</v>
      </c>
      <c r="F6" s="360">
        <f t="shared" ref="F6:F69" si="1">IF(ISBLANK(C6),"",DATE(YEAR(C6)+E6,MONTH(C6),DAY(C6))-1)</f>
        <v>42904</v>
      </c>
      <c r="G6" s="358">
        <f t="shared" ref="G6:G69" si="2">YEAR(F6)</f>
        <v>2017</v>
      </c>
      <c r="H6" s="361">
        <v>16.670000000000002</v>
      </c>
      <c r="I6" s="362">
        <v>4.8599999999999997E-2</v>
      </c>
      <c r="J6" s="363">
        <f t="shared" ref="J6:R21" si="3">IFERROR(MAX(MIN(1,($F6-J$5)/365)*$H6*$I6,0),0)</f>
        <v>0.81016200000000005</v>
      </c>
      <c r="K6" s="363">
        <f t="shared" si="3"/>
        <v>0.81016200000000005</v>
      </c>
      <c r="L6" s="363">
        <f t="shared" si="3"/>
        <v>0.81016200000000005</v>
      </c>
      <c r="M6" s="363">
        <f t="shared" si="3"/>
        <v>0.37289648219178084</v>
      </c>
      <c r="N6" s="364">
        <f t="shared" si="3"/>
        <v>0</v>
      </c>
      <c r="O6" s="364">
        <f t="shared" si="3"/>
        <v>0</v>
      </c>
      <c r="P6" s="364">
        <f t="shared" si="3"/>
        <v>0</v>
      </c>
      <c r="Q6" s="364">
        <f t="shared" si="3"/>
        <v>0</v>
      </c>
      <c r="R6" s="364">
        <f t="shared" si="3"/>
        <v>0</v>
      </c>
    </row>
    <row r="7" spans="1:42">
      <c r="A7" s="355" t="s">
        <v>1105</v>
      </c>
      <c r="B7" s="356" t="s">
        <v>1083</v>
      </c>
      <c r="C7" s="357">
        <v>37986</v>
      </c>
      <c r="D7" s="358">
        <f t="shared" si="0"/>
        <v>2003</v>
      </c>
      <c r="E7" s="359">
        <v>10</v>
      </c>
      <c r="F7" s="360">
        <f t="shared" si="1"/>
        <v>41638</v>
      </c>
      <c r="G7" s="358">
        <f t="shared" si="2"/>
        <v>2013</v>
      </c>
      <c r="H7" s="361">
        <v>20</v>
      </c>
      <c r="I7" s="362">
        <v>4.4999999999999998E-2</v>
      </c>
      <c r="J7" s="363">
        <f t="shared" si="3"/>
        <v>0</v>
      </c>
      <c r="K7" s="363">
        <f t="shared" si="3"/>
        <v>0</v>
      </c>
      <c r="L7" s="363">
        <f t="shared" si="3"/>
        <v>0</v>
      </c>
      <c r="M7" s="363">
        <f t="shared" si="3"/>
        <v>0</v>
      </c>
      <c r="N7" s="364">
        <f t="shared" si="3"/>
        <v>0</v>
      </c>
      <c r="O7" s="364">
        <f t="shared" si="3"/>
        <v>0</v>
      </c>
      <c r="P7" s="364">
        <f t="shared" si="3"/>
        <v>0</v>
      </c>
      <c r="Q7" s="364">
        <f t="shared" si="3"/>
        <v>0</v>
      </c>
      <c r="R7" s="364">
        <f t="shared" si="3"/>
        <v>0</v>
      </c>
    </row>
    <row r="8" spans="1:42">
      <c r="A8" s="355" t="s">
        <v>1105</v>
      </c>
      <c r="B8" s="356" t="s">
        <v>1083</v>
      </c>
      <c r="C8" s="357">
        <v>37986</v>
      </c>
      <c r="D8" s="358">
        <f t="shared" si="0"/>
        <v>2003</v>
      </c>
      <c r="E8" s="359">
        <v>10</v>
      </c>
      <c r="F8" s="360">
        <f t="shared" si="1"/>
        <v>41638</v>
      </c>
      <c r="G8" s="358">
        <f t="shared" si="2"/>
        <v>2013</v>
      </c>
      <c r="H8" s="361">
        <v>30</v>
      </c>
      <c r="I8" s="362">
        <v>4.6100000000000002E-2</v>
      </c>
      <c r="J8" s="363">
        <f t="shared" si="3"/>
        <v>0</v>
      </c>
      <c r="K8" s="363">
        <f t="shared" si="3"/>
        <v>0</v>
      </c>
      <c r="L8" s="363">
        <f t="shared" si="3"/>
        <v>0</v>
      </c>
      <c r="M8" s="363">
        <f t="shared" si="3"/>
        <v>0</v>
      </c>
      <c r="N8" s="364">
        <f t="shared" si="3"/>
        <v>0</v>
      </c>
      <c r="O8" s="364">
        <f t="shared" si="3"/>
        <v>0</v>
      </c>
      <c r="P8" s="364">
        <f t="shared" si="3"/>
        <v>0</v>
      </c>
      <c r="Q8" s="364">
        <f t="shared" si="3"/>
        <v>0</v>
      </c>
      <c r="R8" s="364">
        <f t="shared" si="3"/>
        <v>0</v>
      </c>
    </row>
    <row r="9" spans="1:42">
      <c r="A9" s="355" t="s">
        <v>1105</v>
      </c>
      <c r="B9" s="356" t="s">
        <v>1084</v>
      </c>
      <c r="C9" s="357">
        <v>38541</v>
      </c>
      <c r="D9" s="358">
        <f t="shared" si="0"/>
        <v>2005</v>
      </c>
      <c r="E9" s="359">
        <v>10</v>
      </c>
      <c r="F9" s="360">
        <f t="shared" si="1"/>
        <v>42192</v>
      </c>
      <c r="G9" s="358">
        <f t="shared" si="2"/>
        <v>2015</v>
      </c>
      <c r="H9" s="361">
        <v>10</v>
      </c>
      <c r="I9" s="362">
        <v>5.2499999999999998E-2</v>
      </c>
      <c r="J9" s="363">
        <f t="shared" si="3"/>
        <v>0.52500000000000002</v>
      </c>
      <c r="K9" s="363">
        <f t="shared" si="3"/>
        <v>0.26897260273972601</v>
      </c>
      <c r="L9" s="363">
        <f t="shared" si="3"/>
        <v>0</v>
      </c>
      <c r="M9" s="363">
        <f t="shared" si="3"/>
        <v>0</v>
      </c>
      <c r="N9" s="364">
        <f t="shared" si="3"/>
        <v>0</v>
      </c>
      <c r="O9" s="364">
        <f t="shared" si="3"/>
        <v>0</v>
      </c>
      <c r="P9" s="364">
        <f t="shared" si="3"/>
        <v>0</v>
      </c>
      <c r="Q9" s="364">
        <f t="shared" si="3"/>
        <v>0</v>
      </c>
      <c r="R9" s="364">
        <f t="shared" si="3"/>
        <v>0</v>
      </c>
    </row>
    <row r="10" spans="1:42">
      <c r="A10" s="355" t="s">
        <v>1105</v>
      </c>
      <c r="B10" s="356" t="s">
        <v>1084</v>
      </c>
      <c r="C10" s="357">
        <v>38541</v>
      </c>
      <c r="D10" s="358">
        <f t="shared" si="0"/>
        <v>2005</v>
      </c>
      <c r="E10" s="359">
        <v>10</v>
      </c>
      <c r="F10" s="360">
        <f t="shared" si="1"/>
        <v>42192</v>
      </c>
      <c r="G10" s="358">
        <f t="shared" si="2"/>
        <v>2015</v>
      </c>
      <c r="H10" s="361">
        <v>30</v>
      </c>
      <c r="I10" s="362">
        <v>4.9799999999999997E-2</v>
      </c>
      <c r="J10" s="363">
        <f t="shared" si="3"/>
        <v>1.494</v>
      </c>
      <c r="K10" s="363">
        <f t="shared" si="3"/>
        <v>0.76541917808219173</v>
      </c>
      <c r="L10" s="363">
        <f t="shared" si="3"/>
        <v>0</v>
      </c>
      <c r="M10" s="363">
        <f t="shared" si="3"/>
        <v>0</v>
      </c>
      <c r="N10" s="364">
        <f t="shared" si="3"/>
        <v>0</v>
      </c>
      <c r="O10" s="364">
        <f t="shared" si="3"/>
        <v>0</v>
      </c>
      <c r="P10" s="364">
        <f t="shared" si="3"/>
        <v>0</v>
      </c>
      <c r="Q10" s="364">
        <f t="shared" si="3"/>
        <v>0</v>
      </c>
      <c r="R10" s="364">
        <f t="shared" si="3"/>
        <v>0</v>
      </c>
    </row>
    <row r="11" spans="1:42">
      <c r="A11" s="355" t="s">
        <v>1105</v>
      </c>
      <c r="B11" s="356" t="s">
        <v>1085</v>
      </c>
      <c r="C11" s="357">
        <v>38866</v>
      </c>
      <c r="D11" s="358">
        <f t="shared" si="0"/>
        <v>2006</v>
      </c>
      <c r="E11" s="359">
        <v>10</v>
      </c>
      <c r="F11" s="360">
        <f t="shared" si="1"/>
        <v>42518</v>
      </c>
      <c r="G11" s="358">
        <f t="shared" si="2"/>
        <v>2016</v>
      </c>
      <c r="H11" s="361">
        <v>10</v>
      </c>
      <c r="I11" s="362">
        <v>4.0500000000000001E-2</v>
      </c>
      <c r="J11" s="363">
        <f t="shared" si="3"/>
        <v>0.40500000000000003</v>
      </c>
      <c r="K11" s="363">
        <f t="shared" si="3"/>
        <v>0.40500000000000003</v>
      </c>
      <c r="L11" s="363">
        <f t="shared" si="3"/>
        <v>0.1642191780821918</v>
      </c>
      <c r="M11" s="363">
        <f t="shared" si="3"/>
        <v>0</v>
      </c>
      <c r="N11" s="364">
        <f t="shared" si="3"/>
        <v>0</v>
      </c>
      <c r="O11" s="364">
        <f t="shared" si="3"/>
        <v>0</v>
      </c>
      <c r="P11" s="364">
        <f t="shared" si="3"/>
        <v>0</v>
      </c>
      <c r="Q11" s="364">
        <f t="shared" si="3"/>
        <v>0</v>
      </c>
      <c r="R11" s="364">
        <f t="shared" si="3"/>
        <v>0</v>
      </c>
      <c r="V11"/>
      <c r="W11"/>
      <c r="X11"/>
      <c r="Y11"/>
      <c r="Z11"/>
      <c r="AA11"/>
      <c r="AB11"/>
      <c r="AC11"/>
      <c r="AD11"/>
      <c r="AE11"/>
      <c r="AF11"/>
      <c r="AG11"/>
      <c r="AH11"/>
      <c r="AI11"/>
      <c r="AJ11"/>
      <c r="AK11"/>
      <c r="AL11"/>
      <c r="AM11"/>
      <c r="AN11"/>
      <c r="AO11"/>
      <c r="AP11"/>
    </row>
    <row r="12" spans="1:42">
      <c r="A12" s="355" t="s">
        <v>1105</v>
      </c>
      <c r="B12" s="356" t="s">
        <v>1085</v>
      </c>
      <c r="C12" s="357">
        <v>38866</v>
      </c>
      <c r="D12" s="358">
        <f t="shared" si="0"/>
        <v>2006</v>
      </c>
      <c r="E12" s="359">
        <v>15</v>
      </c>
      <c r="F12" s="360">
        <f t="shared" si="1"/>
        <v>44344</v>
      </c>
      <c r="G12" s="358">
        <f t="shared" si="2"/>
        <v>2021</v>
      </c>
      <c r="H12" s="361">
        <v>50</v>
      </c>
      <c r="I12" s="362">
        <v>4.1000000000000002E-2</v>
      </c>
      <c r="J12" s="363">
        <f t="shared" si="3"/>
        <v>2.0500000000000003</v>
      </c>
      <c r="K12" s="363">
        <f t="shared" si="3"/>
        <v>2.0500000000000003</v>
      </c>
      <c r="L12" s="363">
        <f t="shared" si="3"/>
        <v>2.0500000000000003</v>
      </c>
      <c r="M12" s="363">
        <f t="shared" si="3"/>
        <v>2.0500000000000003</v>
      </c>
      <c r="N12" s="364">
        <f t="shared" si="3"/>
        <v>2.0500000000000003</v>
      </c>
      <c r="O12" s="364">
        <f t="shared" si="3"/>
        <v>2.0500000000000003</v>
      </c>
      <c r="P12" s="364">
        <f t="shared" si="3"/>
        <v>2.0500000000000003</v>
      </c>
      <c r="Q12" s="364">
        <f t="shared" si="3"/>
        <v>0.82561643835616438</v>
      </c>
      <c r="R12" s="364">
        <f t="shared" si="3"/>
        <v>0</v>
      </c>
      <c r="V12"/>
      <c r="W12"/>
      <c r="X12"/>
      <c r="Y12"/>
      <c r="Z12"/>
      <c r="AA12"/>
      <c r="AB12"/>
      <c r="AC12"/>
      <c r="AD12"/>
      <c r="AE12"/>
      <c r="AF12"/>
      <c r="AG12"/>
      <c r="AH12"/>
      <c r="AI12"/>
      <c r="AJ12"/>
      <c r="AK12"/>
      <c r="AL12"/>
      <c r="AM12"/>
      <c r="AN12"/>
      <c r="AO12"/>
      <c r="AP12"/>
    </row>
    <row r="13" spans="1:42">
      <c r="A13" s="355" t="s">
        <v>1105</v>
      </c>
      <c r="B13" s="356" t="s">
        <v>1193</v>
      </c>
      <c r="C13" s="357">
        <v>38929</v>
      </c>
      <c r="D13" s="358">
        <f t="shared" si="0"/>
        <v>2006</v>
      </c>
      <c r="E13" s="359">
        <v>15</v>
      </c>
      <c r="F13" s="360">
        <f t="shared" si="1"/>
        <v>44407</v>
      </c>
      <c r="G13" s="358">
        <f t="shared" si="2"/>
        <v>2021</v>
      </c>
      <c r="H13" s="361">
        <v>10</v>
      </c>
      <c r="I13" s="362">
        <v>4.3999999999999997E-2</v>
      </c>
      <c r="J13" s="363">
        <f t="shared" si="3"/>
        <v>0.43999999999999995</v>
      </c>
      <c r="K13" s="363">
        <f t="shared" si="3"/>
        <v>0.43999999999999995</v>
      </c>
      <c r="L13" s="363">
        <f t="shared" si="3"/>
        <v>0.43999999999999995</v>
      </c>
      <c r="M13" s="363">
        <f t="shared" si="3"/>
        <v>0.43999999999999995</v>
      </c>
      <c r="N13" s="364">
        <f t="shared" si="3"/>
        <v>0.43999999999999995</v>
      </c>
      <c r="O13" s="364">
        <f t="shared" si="3"/>
        <v>0.43999999999999995</v>
      </c>
      <c r="P13" s="364">
        <f t="shared" si="3"/>
        <v>0.43999999999999995</v>
      </c>
      <c r="Q13" s="364">
        <f t="shared" si="3"/>
        <v>0.25315068493150683</v>
      </c>
      <c r="R13" s="364">
        <f t="shared" si="3"/>
        <v>0</v>
      </c>
      <c r="V13"/>
      <c r="W13"/>
      <c r="X13"/>
      <c r="Y13"/>
      <c r="Z13"/>
      <c r="AA13"/>
      <c r="AB13"/>
      <c r="AC13"/>
      <c r="AD13"/>
      <c r="AE13"/>
      <c r="AF13"/>
      <c r="AG13"/>
      <c r="AH13"/>
      <c r="AI13"/>
      <c r="AJ13"/>
      <c r="AK13"/>
      <c r="AL13"/>
      <c r="AM13"/>
      <c r="AN13"/>
      <c r="AO13"/>
      <c r="AP13"/>
    </row>
    <row r="14" spans="1:42">
      <c r="A14" s="355" t="s">
        <v>1105</v>
      </c>
      <c r="B14" s="356" t="s">
        <v>1086</v>
      </c>
      <c r="C14" s="357">
        <v>39332</v>
      </c>
      <c r="D14" s="358">
        <f t="shared" si="0"/>
        <v>2007</v>
      </c>
      <c r="E14" s="359">
        <v>10</v>
      </c>
      <c r="F14" s="360">
        <f t="shared" si="1"/>
        <v>42984</v>
      </c>
      <c r="G14" s="358">
        <f t="shared" si="2"/>
        <v>2017</v>
      </c>
      <c r="H14" s="361">
        <v>40</v>
      </c>
      <c r="I14" s="362">
        <v>5.1999999999999998E-2</v>
      </c>
      <c r="J14" s="363">
        <f t="shared" si="3"/>
        <v>2.08</v>
      </c>
      <c r="K14" s="363">
        <f t="shared" si="3"/>
        <v>2.08</v>
      </c>
      <c r="L14" s="363">
        <f t="shared" si="3"/>
        <v>2.08</v>
      </c>
      <c r="M14" s="363">
        <f t="shared" si="3"/>
        <v>1.4132602739726026</v>
      </c>
      <c r="N14" s="364">
        <f t="shared" si="3"/>
        <v>0</v>
      </c>
      <c r="O14" s="364">
        <f t="shared" si="3"/>
        <v>0</v>
      </c>
      <c r="P14" s="364">
        <f t="shared" si="3"/>
        <v>0</v>
      </c>
      <c r="Q14" s="364">
        <f t="shared" si="3"/>
        <v>0</v>
      </c>
      <c r="R14" s="364">
        <f t="shared" si="3"/>
        <v>0</v>
      </c>
      <c r="V14"/>
      <c r="W14"/>
      <c r="X14"/>
      <c r="Y14"/>
      <c r="Z14"/>
      <c r="AA14"/>
      <c r="AB14"/>
      <c r="AC14"/>
      <c r="AD14"/>
      <c r="AE14"/>
      <c r="AF14"/>
      <c r="AG14"/>
      <c r="AH14"/>
      <c r="AI14"/>
      <c r="AJ14"/>
      <c r="AK14"/>
      <c r="AL14"/>
      <c r="AM14"/>
      <c r="AN14"/>
      <c r="AO14"/>
      <c r="AP14"/>
    </row>
    <row r="15" spans="1:42">
      <c r="A15" s="355" t="s">
        <v>1105</v>
      </c>
      <c r="B15" s="356" t="s">
        <v>1086</v>
      </c>
      <c r="C15" s="357">
        <v>39332</v>
      </c>
      <c r="D15" s="358">
        <f t="shared" si="0"/>
        <v>2007</v>
      </c>
      <c r="E15" s="359">
        <v>15</v>
      </c>
      <c r="F15" s="360">
        <f t="shared" si="1"/>
        <v>44810</v>
      </c>
      <c r="G15" s="358">
        <f t="shared" si="2"/>
        <v>2022</v>
      </c>
      <c r="H15" s="361">
        <v>10</v>
      </c>
      <c r="I15" s="362">
        <v>5.2999999999999999E-2</v>
      </c>
      <c r="J15" s="363">
        <f t="shared" si="3"/>
        <v>0.53</v>
      </c>
      <c r="K15" s="363">
        <f t="shared" si="3"/>
        <v>0.53</v>
      </c>
      <c r="L15" s="363">
        <f t="shared" si="3"/>
        <v>0.53</v>
      </c>
      <c r="M15" s="363">
        <f t="shared" si="3"/>
        <v>0.53</v>
      </c>
      <c r="N15" s="364">
        <f t="shared" si="3"/>
        <v>0.53</v>
      </c>
      <c r="O15" s="364">
        <f t="shared" si="3"/>
        <v>0.53</v>
      </c>
      <c r="P15" s="364">
        <f t="shared" si="3"/>
        <v>0.53</v>
      </c>
      <c r="Q15" s="364">
        <f t="shared" si="3"/>
        <v>0.53</v>
      </c>
      <c r="R15" s="364">
        <f t="shared" si="3"/>
        <v>0.36010958904109586</v>
      </c>
      <c r="V15"/>
      <c r="W15"/>
      <c r="X15"/>
      <c r="Y15"/>
      <c r="Z15"/>
      <c r="AA15"/>
      <c r="AB15"/>
      <c r="AC15"/>
      <c r="AD15"/>
      <c r="AE15"/>
      <c r="AF15"/>
      <c r="AG15"/>
      <c r="AH15"/>
      <c r="AI15"/>
      <c r="AJ15"/>
      <c r="AK15"/>
      <c r="AL15"/>
      <c r="AM15"/>
      <c r="AN15"/>
      <c r="AO15"/>
      <c r="AP15"/>
    </row>
    <row r="16" spans="1:42">
      <c r="A16" s="355" t="s">
        <v>1105</v>
      </c>
      <c r="B16" s="356" t="s">
        <v>1146</v>
      </c>
      <c r="C16" s="357">
        <v>39400</v>
      </c>
      <c r="D16" s="358">
        <f t="shared" si="0"/>
        <v>2007</v>
      </c>
      <c r="E16" s="359">
        <v>5</v>
      </c>
      <c r="F16" s="360">
        <f t="shared" si="1"/>
        <v>41226</v>
      </c>
      <c r="G16" s="358">
        <f t="shared" si="2"/>
        <v>2012</v>
      </c>
      <c r="H16" s="361">
        <v>27.2</v>
      </c>
      <c r="I16" s="362">
        <v>4.9700000000000001E-2</v>
      </c>
      <c r="J16" s="363">
        <f t="shared" si="3"/>
        <v>0</v>
      </c>
      <c r="K16" s="363">
        <f t="shared" si="3"/>
        <v>0</v>
      </c>
      <c r="L16" s="363">
        <f t="shared" si="3"/>
        <v>0</v>
      </c>
      <c r="M16" s="363">
        <f t="shared" si="3"/>
        <v>0</v>
      </c>
      <c r="N16" s="364">
        <f t="shared" si="3"/>
        <v>0</v>
      </c>
      <c r="O16" s="364">
        <f t="shared" si="3"/>
        <v>0</v>
      </c>
      <c r="P16" s="364">
        <f t="shared" si="3"/>
        <v>0</v>
      </c>
      <c r="Q16" s="364">
        <f t="shared" si="3"/>
        <v>0</v>
      </c>
      <c r="R16" s="364">
        <f t="shared" si="3"/>
        <v>0</v>
      </c>
      <c r="V16"/>
      <c r="W16"/>
      <c r="X16"/>
      <c r="Y16"/>
      <c r="Z16"/>
      <c r="AA16"/>
      <c r="AB16"/>
      <c r="AC16"/>
      <c r="AD16"/>
      <c r="AE16"/>
      <c r="AF16"/>
      <c r="AG16"/>
      <c r="AH16"/>
      <c r="AI16"/>
      <c r="AJ16"/>
      <c r="AK16"/>
      <c r="AL16"/>
      <c r="AM16"/>
      <c r="AN16"/>
      <c r="AO16"/>
      <c r="AP16"/>
    </row>
    <row r="17" spans="1:42">
      <c r="A17" s="355" t="s">
        <v>1105</v>
      </c>
      <c r="B17" s="356" t="s">
        <v>1146</v>
      </c>
      <c r="C17" s="357">
        <v>39400</v>
      </c>
      <c r="D17" s="358">
        <f t="shared" si="0"/>
        <v>2007</v>
      </c>
      <c r="E17" s="359">
        <v>5</v>
      </c>
      <c r="F17" s="360">
        <f t="shared" si="1"/>
        <v>41226</v>
      </c>
      <c r="G17" s="358">
        <f t="shared" si="2"/>
        <v>2012</v>
      </c>
      <c r="H17" s="361">
        <v>22.8</v>
      </c>
      <c r="I17" s="362">
        <v>5.3999999999999999E-2</v>
      </c>
      <c r="J17" s="363">
        <f t="shared" si="3"/>
        <v>0</v>
      </c>
      <c r="K17" s="363">
        <f t="shared" si="3"/>
        <v>0</v>
      </c>
      <c r="L17" s="363">
        <f t="shared" si="3"/>
        <v>0</v>
      </c>
      <c r="M17" s="363">
        <f t="shared" si="3"/>
        <v>0</v>
      </c>
      <c r="N17" s="364">
        <f t="shared" si="3"/>
        <v>0</v>
      </c>
      <c r="O17" s="364">
        <f t="shared" si="3"/>
        <v>0</v>
      </c>
      <c r="P17" s="364">
        <f t="shared" si="3"/>
        <v>0</v>
      </c>
      <c r="Q17" s="364">
        <f t="shared" si="3"/>
        <v>0</v>
      </c>
      <c r="R17" s="364">
        <f t="shared" si="3"/>
        <v>0</v>
      </c>
      <c r="V17"/>
      <c r="W17"/>
      <c r="X17"/>
      <c r="Y17"/>
      <c r="Z17"/>
      <c r="AA17"/>
      <c r="AB17"/>
      <c r="AC17"/>
      <c r="AD17"/>
      <c r="AE17"/>
      <c r="AF17"/>
      <c r="AG17"/>
      <c r="AH17"/>
      <c r="AI17"/>
      <c r="AJ17"/>
      <c r="AK17"/>
      <c r="AL17"/>
      <c r="AM17"/>
      <c r="AN17"/>
      <c r="AO17"/>
      <c r="AP17"/>
    </row>
    <row r="18" spans="1:42">
      <c r="A18" s="355" t="s">
        <v>1105</v>
      </c>
      <c r="B18" s="356" t="s">
        <v>1087</v>
      </c>
      <c r="C18" s="357">
        <v>39506</v>
      </c>
      <c r="D18" s="358">
        <f t="shared" si="0"/>
        <v>2008</v>
      </c>
      <c r="E18" s="359">
        <v>7</v>
      </c>
      <c r="F18" s="360">
        <f t="shared" si="1"/>
        <v>42062</v>
      </c>
      <c r="G18" s="358">
        <f t="shared" si="2"/>
        <v>2015</v>
      </c>
      <c r="H18" s="361">
        <v>50</v>
      </c>
      <c r="I18" s="362">
        <v>5.2499999999999998E-2</v>
      </c>
      <c r="J18" s="363">
        <f t="shared" si="3"/>
        <v>2.625</v>
      </c>
      <c r="K18" s="363">
        <f t="shared" si="3"/>
        <v>0.40993150684931506</v>
      </c>
      <c r="L18" s="363">
        <f t="shared" si="3"/>
        <v>0</v>
      </c>
      <c r="M18" s="363">
        <f t="shared" si="3"/>
        <v>0</v>
      </c>
      <c r="N18" s="364">
        <f t="shared" si="3"/>
        <v>0</v>
      </c>
      <c r="O18" s="364">
        <f t="shared" si="3"/>
        <v>0</v>
      </c>
      <c r="P18" s="364">
        <f t="shared" si="3"/>
        <v>0</v>
      </c>
      <c r="Q18" s="364">
        <f t="shared" si="3"/>
        <v>0</v>
      </c>
      <c r="R18" s="364">
        <f t="shared" si="3"/>
        <v>0</v>
      </c>
    </row>
    <row r="19" spans="1:42">
      <c r="A19" s="355" t="s">
        <v>1105</v>
      </c>
      <c r="B19" s="356" t="s">
        <v>1087</v>
      </c>
      <c r="C19" s="357">
        <v>39506</v>
      </c>
      <c r="D19" s="358">
        <f t="shared" si="0"/>
        <v>2008</v>
      </c>
      <c r="E19" s="359">
        <v>10</v>
      </c>
      <c r="F19" s="360">
        <f t="shared" si="1"/>
        <v>43158</v>
      </c>
      <c r="G19" s="358">
        <f t="shared" si="2"/>
        <v>2018</v>
      </c>
      <c r="H19" s="361">
        <v>150</v>
      </c>
      <c r="I19" s="362">
        <v>5.3499999999999999E-2</v>
      </c>
      <c r="J19" s="363">
        <f t="shared" si="3"/>
        <v>8.0250000000000004</v>
      </c>
      <c r="K19" s="363">
        <f t="shared" si="3"/>
        <v>8.0250000000000004</v>
      </c>
      <c r="L19" s="363">
        <f t="shared" si="3"/>
        <v>8.0250000000000004</v>
      </c>
      <c r="M19" s="363">
        <f t="shared" si="3"/>
        <v>8.0250000000000004</v>
      </c>
      <c r="N19" s="364">
        <f t="shared" si="3"/>
        <v>1.2532191780821917</v>
      </c>
      <c r="O19" s="364">
        <f t="shared" si="3"/>
        <v>0</v>
      </c>
      <c r="P19" s="364">
        <f t="shared" si="3"/>
        <v>0</v>
      </c>
      <c r="Q19" s="364">
        <f t="shared" si="3"/>
        <v>0</v>
      </c>
      <c r="R19" s="364">
        <f t="shared" si="3"/>
        <v>0</v>
      </c>
    </row>
    <row r="20" spans="1:42">
      <c r="A20" s="355" t="s">
        <v>1105</v>
      </c>
      <c r="B20" s="356" t="s">
        <v>1194</v>
      </c>
      <c r="C20" s="357">
        <v>39617</v>
      </c>
      <c r="D20" s="358">
        <f t="shared" si="0"/>
        <v>2008</v>
      </c>
      <c r="E20" s="359">
        <v>15</v>
      </c>
      <c r="F20" s="360">
        <f t="shared" si="1"/>
        <v>45094</v>
      </c>
      <c r="G20" s="358">
        <f t="shared" si="2"/>
        <v>2023</v>
      </c>
      <c r="H20" s="361">
        <v>6</v>
      </c>
      <c r="I20" s="362">
        <v>6.2E-2</v>
      </c>
      <c r="J20" s="363">
        <f t="shared" si="3"/>
        <v>0.372</v>
      </c>
      <c r="K20" s="363">
        <f t="shared" si="3"/>
        <v>0.372</v>
      </c>
      <c r="L20" s="363">
        <f t="shared" si="3"/>
        <v>0.372</v>
      </c>
      <c r="M20" s="363">
        <f t="shared" si="3"/>
        <v>0.372</v>
      </c>
      <c r="N20" s="364">
        <f t="shared" si="3"/>
        <v>0.372</v>
      </c>
      <c r="O20" s="364">
        <f t="shared" si="3"/>
        <v>0.372</v>
      </c>
      <c r="P20" s="364">
        <f t="shared" si="3"/>
        <v>0.372</v>
      </c>
      <c r="Q20" s="364">
        <f t="shared" si="3"/>
        <v>0.372</v>
      </c>
      <c r="R20" s="364">
        <f t="shared" si="3"/>
        <v>0.372</v>
      </c>
    </row>
    <row r="21" spans="1:42">
      <c r="A21" s="355" t="s">
        <v>1105</v>
      </c>
      <c r="B21" s="356" t="s">
        <v>1088</v>
      </c>
      <c r="C21" s="357">
        <v>39633</v>
      </c>
      <c r="D21" s="358">
        <f t="shared" si="0"/>
        <v>2008</v>
      </c>
      <c r="E21" s="359">
        <v>7</v>
      </c>
      <c r="F21" s="360">
        <f t="shared" si="1"/>
        <v>42188</v>
      </c>
      <c r="G21" s="358">
        <f t="shared" si="2"/>
        <v>2015</v>
      </c>
      <c r="H21" s="361">
        <v>74</v>
      </c>
      <c r="I21" s="362">
        <v>5.6000000000000001E-2</v>
      </c>
      <c r="J21" s="363">
        <f t="shared" si="3"/>
        <v>4.1440000000000001</v>
      </c>
      <c r="K21" s="363">
        <f t="shared" si="3"/>
        <v>2.0776767123287674</v>
      </c>
      <c r="L21" s="363">
        <f t="shared" si="3"/>
        <v>0</v>
      </c>
      <c r="M21" s="363">
        <f t="shared" si="3"/>
        <v>0</v>
      </c>
      <c r="N21" s="364">
        <f t="shared" si="3"/>
        <v>0</v>
      </c>
      <c r="O21" s="364">
        <f t="shared" si="3"/>
        <v>0</v>
      </c>
      <c r="P21" s="364">
        <f t="shared" si="3"/>
        <v>0</v>
      </c>
      <c r="Q21" s="364">
        <f t="shared" si="3"/>
        <v>0</v>
      </c>
      <c r="R21" s="364">
        <f t="shared" si="3"/>
        <v>0</v>
      </c>
    </row>
    <row r="22" spans="1:42">
      <c r="A22" s="355" t="s">
        <v>1105</v>
      </c>
      <c r="B22" s="356" t="s">
        <v>1088</v>
      </c>
      <c r="C22" s="357">
        <v>39633</v>
      </c>
      <c r="D22" s="358">
        <f t="shared" si="0"/>
        <v>2008</v>
      </c>
      <c r="E22" s="359">
        <v>10</v>
      </c>
      <c r="F22" s="360">
        <f t="shared" si="1"/>
        <v>43284</v>
      </c>
      <c r="G22" s="358">
        <f t="shared" si="2"/>
        <v>2018</v>
      </c>
      <c r="H22" s="361">
        <v>121</v>
      </c>
      <c r="I22" s="362">
        <v>5.7099999999999998E-2</v>
      </c>
      <c r="J22" s="363">
        <f t="shared" ref="J22:R50" si="4">IFERROR(MAX(MIN(1,($F22-J$5)/365)*$H22*$I22,0),0)</f>
        <v>6.9090999999999996</v>
      </c>
      <c r="K22" s="363">
        <f t="shared" si="4"/>
        <v>6.9090999999999996</v>
      </c>
      <c r="L22" s="363">
        <f t="shared" si="4"/>
        <v>6.9090999999999996</v>
      </c>
      <c r="M22" s="363">
        <f t="shared" si="4"/>
        <v>6.9090999999999996</v>
      </c>
      <c r="N22" s="364">
        <f t="shared" si="4"/>
        <v>3.4640145205479453</v>
      </c>
      <c r="O22" s="364">
        <f t="shared" si="4"/>
        <v>0</v>
      </c>
      <c r="P22" s="364">
        <f t="shared" si="4"/>
        <v>0</v>
      </c>
      <c r="Q22" s="364">
        <f t="shared" si="4"/>
        <v>0</v>
      </c>
      <c r="R22" s="364">
        <f t="shared" si="4"/>
        <v>0</v>
      </c>
    </row>
    <row r="23" spans="1:42">
      <c r="A23" s="355" t="s">
        <v>1105</v>
      </c>
      <c r="B23" s="356" t="s">
        <v>1137</v>
      </c>
      <c r="C23" s="357">
        <v>39897</v>
      </c>
      <c r="D23" s="358">
        <f t="shared" si="0"/>
        <v>2009</v>
      </c>
      <c r="E23" s="359">
        <v>6</v>
      </c>
      <c r="F23" s="360">
        <f t="shared" si="1"/>
        <v>42087</v>
      </c>
      <c r="G23" s="358">
        <f t="shared" si="2"/>
        <v>2015</v>
      </c>
      <c r="H23" s="361">
        <v>8</v>
      </c>
      <c r="I23" s="362">
        <v>4.5999999999999999E-2</v>
      </c>
      <c r="J23" s="363">
        <f t="shared" si="4"/>
        <v>0.36799999999999999</v>
      </c>
      <c r="K23" s="363">
        <f t="shared" si="4"/>
        <v>8.2673972602739718E-2</v>
      </c>
      <c r="L23" s="363">
        <f t="shared" si="4"/>
        <v>0</v>
      </c>
      <c r="M23" s="363">
        <f t="shared" si="4"/>
        <v>0</v>
      </c>
      <c r="N23" s="364">
        <f t="shared" si="4"/>
        <v>0</v>
      </c>
      <c r="O23" s="364">
        <f t="shared" si="4"/>
        <v>0</v>
      </c>
      <c r="P23" s="364">
        <f t="shared" si="4"/>
        <v>0</v>
      </c>
      <c r="Q23" s="364">
        <f t="shared" si="4"/>
        <v>0</v>
      </c>
      <c r="R23" s="364">
        <f t="shared" si="4"/>
        <v>0</v>
      </c>
    </row>
    <row r="24" spans="1:42">
      <c r="A24" s="355" t="s">
        <v>1105</v>
      </c>
      <c r="B24" s="356" t="s">
        <v>1197</v>
      </c>
      <c r="C24" s="357">
        <v>40030</v>
      </c>
      <c r="D24" s="358">
        <f t="shared" si="0"/>
        <v>2009</v>
      </c>
      <c r="E24" s="359">
        <v>5</v>
      </c>
      <c r="F24" s="360">
        <f t="shared" si="1"/>
        <v>41855</v>
      </c>
      <c r="G24" s="358">
        <f t="shared" si="2"/>
        <v>2014</v>
      </c>
      <c r="H24" s="361">
        <v>30</v>
      </c>
      <c r="I24" s="362">
        <v>0.04</v>
      </c>
      <c r="J24" s="363">
        <f t="shared" si="4"/>
        <v>0.70684931506849324</v>
      </c>
      <c r="K24" s="363">
        <f t="shared" si="4"/>
        <v>0</v>
      </c>
      <c r="L24" s="363">
        <f t="shared" si="4"/>
        <v>0</v>
      </c>
      <c r="M24" s="363">
        <f t="shared" si="4"/>
        <v>0</v>
      </c>
      <c r="N24" s="364">
        <f t="shared" si="4"/>
        <v>0</v>
      </c>
      <c r="O24" s="364">
        <f t="shared" si="4"/>
        <v>0</v>
      </c>
      <c r="P24" s="364">
        <f t="shared" si="4"/>
        <v>0</v>
      </c>
      <c r="Q24" s="364">
        <f t="shared" si="4"/>
        <v>0</v>
      </c>
      <c r="R24" s="364">
        <f t="shared" si="4"/>
        <v>0</v>
      </c>
    </row>
    <row r="25" spans="1:42">
      <c r="A25" s="355" t="s">
        <v>1105</v>
      </c>
      <c r="B25" s="356" t="s">
        <v>1089</v>
      </c>
      <c r="C25" s="357">
        <v>40065</v>
      </c>
      <c r="D25" s="358">
        <f t="shared" si="0"/>
        <v>2009</v>
      </c>
      <c r="E25" s="359">
        <v>7</v>
      </c>
      <c r="F25" s="360">
        <f t="shared" si="1"/>
        <v>42621</v>
      </c>
      <c r="G25" s="358">
        <f t="shared" si="2"/>
        <v>2016</v>
      </c>
      <c r="H25" s="361">
        <v>150</v>
      </c>
      <c r="I25" s="362">
        <v>4.8000000000000001E-2</v>
      </c>
      <c r="J25" s="363">
        <f t="shared" si="4"/>
        <v>7.2</v>
      </c>
      <c r="K25" s="363">
        <f t="shared" si="4"/>
        <v>7.2</v>
      </c>
      <c r="L25" s="363">
        <f t="shared" si="4"/>
        <v>4.9512328767123286</v>
      </c>
      <c r="M25" s="363">
        <f t="shared" si="4"/>
        <v>0</v>
      </c>
      <c r="N25" s="364">
        <f t="shared" si="4"/>
        <v>0</v>
      </c>
      <c r="O25" s="364">
        <f t="shared" si="4"/>
        <v>0</v>
      </c>
      <c r="P25" s="364">
        <f t="shared" si="4"/>
        <v>0</v>
      </c>
      <c r="Q25" s="364">
        <f t="shared" si="4"/>
        <v>0</v>
      </c>
      <c r="R25" s="364">
        <f t="shared" si="4"/>
        <v>0</v>
      </c>
    </row>
    <row r="26" spans="1:42">
      <c r="A26" s="355" t="s">
        <v>1105</v>
      </c>
      <c r="B26" s="356" t="s">
        <v>1089</v>
      </c>
      <c r="C26" s="357">
        <v>40065</v>
      </c>
      <c r="D26" s="358">
        <f t="shared" si="0"/>
        <v>2009</v>
      </c>
      <c r="E26" s="359">
        <v>10</v>
      </c>
      <c r="F26" s="360">
        <f t="shared" si="1"/>
        <v>43716</v>
      </c>
      <c r="G26" s="358">
        <f t="shared" si="2"/>
        <v>2019</v>
      </c>
      <c r="H26" s="361">
        <v>50</v>
      </c>
      <c r="I26" s="362">
        <v>5.0200000000000002E-2</v>
      </c>
      <c r="J26" s="363">
        <f t="shared" si="4"/>
        <v>2.5100000000000002</v>
      </c>
      <c r="K26" s="363">
        <f t="shared" si="4"/>
        <v>2.5100000000000002</v>
      </c>
      <c r="L26" s="363">
        <f t="shared" si="4"/>
        <v>2.5100000000000002</v>
      </c>
      <c r="M26" s="363">
        <f t="shared" si="4"/>
        <v>2.5100000000000002</v>
      </c>
      <c r="N26" s="364">
        <f t="shared" si="4"/>
        <v>2.5100000000000002</v>
      </c>
      <c r="O26" s="364">
        <f t="shared" si="4"/>
        <v>1.7191780821917808</v>
      </c>
      <c r="P26" s="364">
        <f t="shared" si="4"/>
        <v>0</v>
      </c>
      <c r="Q26" s="364">
        <f t="shared" si="4"/>
        <v>0</v>
      </c>
      <c r="R26" s="364">
        <f t="shared" si="4"/>
        <v>0</v>
      </c>
    </row>
    <row r="27" spans="1:42">
      <c r="A27" s="355" t="s">
        <v>1105</v>
      </c>
      <c r="B27" s="356" t="s">
        <v>1090</v>
      </c>
      <c r="C27" s="357">
        <v>40171</v>
      </c>
      <c r="D27" s="358">
        <f t="shared" si="0"/>
        <v>2009</v>
      </c>
      <c r="E27" s="359">
        <v>7</v>
      </c>
      <c r="F27" s="360">
        <f t="shared" si="1"/>
        <v>42727</v>
      </c>
      <c r="G27" s="358">
        <f t="shared" si="2"/>
        <v>2016</v>
      </c>
      <c r="H27" s="361">
        <v>163</v>
      </c>
      <c r="I27" s="362">
        <v>4.8000000000000001E-2</v>
      </c>
      <c r="J27" s="363">
        <f t="shared" si="4"/>
        <v>7.8239999999999998</v>
      </c>
      <c r="K27" s="363">
        <f t="shared" si="4"/>
        <v>7.8239999999999998</v>
      </c>
      <c r="L27" s="363">
        <f t="shared" si="4"/>
        <v>7.6525150684931509</v>
      </c>
      <c r="M27" s="363">
        <f t="shared" si="4"/>
        <v>0</v>
      </c>
      <c r="N27" s="364">
        <f t="shared" si="4"/>
        <v>0</v>
      </c>
      <c r="O27" s="364">
        <f t="shared" si="4"/>
        <v>0</v>
      </c>
      <c r="P27" s="364">
        <f t="shared" si="4"/>
        <v>0</v>
      </c>
      <c r="Q27" s="364">
        <f t="shared" si="4"/>
        <v>0</v>
      </c>
      <c r="R27" s="364">
        <f t="shared" si="4"/>
        <v>0</v>
      </c>
    </row>
    <row r="28" spans="1:42">
      <c r="A28" s="355" t="s">
        <v>1105</v>
      </c>
      <c r="B28" s="356" t="s">
        <v>1090</v>
      </c>
      <c r="C28" s="357">
        <v>40171</v>
      </c>
      <c r="D28" s="358">
        <f t="shared" si="0"/>
        <v>2009</v>
      </c>
      <c r="E28" s="359">
        <v>10</v>
      </c>
      <c r="F28" s="360">
        <f t="shared" si="1"/>
        <v>43822</v>
      </c>
      <c r="G28" s="358">
        <f t="shared" si="2"/>
        <v>2019</v>
      </c>
      <c r="H28" s="361">
        <v>37</v>
      </c>
      <c r="I28" s="362">
        <v>0.05</v>
      </c>
      <c r="J28" s="363">
        <f t="shared" si="4"/>
        <v>1.85</v>
      </c>
      <c r="K28" s="363">
        <f t="shared" si="4"/>
        <v>1.85</v>
      </c>
      <c r="L28" s="363">
        <f t="shared" si="4"/>
        <v>1.85</v>
      </c>
      <c r="M28" s="363">
        <f t="shared" si="4"/>
        <v>1.85</v>
      </c>
      <c r="N28" s="364">
        <f t="shared" si="4"/>
        <v>1.85</v>
      </c>
      <c r="O28" s="364">
        <f t="shared" si="4"/>
        <v>1.804383561643836</v>
      </c>
      <c r="P28" s="364">
        <f t="shared" si="4"/>
        <v>0</v>
      </c>
      <c r="Q28" s="364">
        <f t="shared" si="4"/>
        <v>0</v>
      </c>
      <c r="R28" s="364">
        <f t="shared" si="4"/>
        <v>0</v>
      </c>
    </row>
    <row r="29" spans="1:42">
      <c r="A29" s="355" t="s">
        <v>1105</v>
      </c>
      <c r="B29" s="356" t="s">
        <v>1091</v>
      </c>
      <c r="C29" s="357">
        <v>40214</v>
      </c>
      <c r="D29" s="358">
        <f t="shared" si="0"/>
        <v>2010</v>
      </c>
      <c r="E29" s="359">
        <v>10</v>
      </c>
      <c r="F29" s="360">
        <f t="shared" si="1"/>
        <v>43865</v>
      </c>
      <c r="G29" s="358">
        <f t="shared" si="2"/>
        <v>2020</v>
      </c>
      <c r="H29" s="361">
        <v>200</v>
      </c>
      <c r="I29" s="362">
        <v>4.7399999999999998E-2</v>
      </c>
      <c r="J29" s="363">
        <f t="shared" si="4"/>
        <v>9.48</v>
      </c>
      <c r="K29" s="363">
        <f t="shared" si="4"/>
        <v>9.48</v>
      </c>
      <c r="L29" s="363">
        <f t="shared" si="4"/>
        <v>9.48</v>
      </c>
      <c r="M29" s="363">
        <f t="shared" si="4"/>
        <v>9.48</v>
      </c>
      <c r="N29" s="364">
        <f t="shared" si="4"/>
        <v>9.48</v>
      </c>
      <c r="O29" s="364">
        <f t="shared" si="4"/>
        <v>9.48</v>
      </c>
      <c r="P29" s="364">
        <f t="shared" si="4"/>
        <v>0.88306849315068492</v>
      </c>
      <c r="Q29" s="364">
        <f t="shared" si="4"/>
        <v>0</v>
      </c>
      <c r="R29" s="364">
        <f t="shared" si="4"/>
        <v>0</v>
      </c>
    </row>
    <row r="30" spans="1:42">
      <c r="A30" s="355" t="s">
        <v>1105</v>
      </c>
      <c r="B30" s="356" t="s">
        <v>1091</v>
      </c>
      <c r="C30" s="357">
        <v>40214</v>
      </c>
      <c r="D30" s="358">
        <f t="shared" si="0"/>
        <v>2010</v>
      </c>
      <c r="E30" s="359">
        <v>15</v>
      </c>
      <c r="F30" s="360">
        <f t="shared" si="1"/>
        <v>45692</v>
      </c>
      <c r="G30" s="358">
        <f t="shared" si="2"/>
        <v>2025</v>
      </c>
      <c r="H30" s="361">
        <v>100</v>
      </c>
      <c r="I30" s="362">
        <v>4.8000000000000001E-2</v>
      </c>
      <c r="J30" s="363">
        <f t="shared" si="4"/>
        <v>4.8</v>
      </c>
      <c r="K30" s="363">
        <f t="shared" si="4"/>
        <v>4.8</v>
      </c>
      <c r="L30" s="363">
        <f t="shared" si="4"/>
        <v>4.8</v>
      </c>
      <c r="M30" s="363">
        <f t="shared" si="4"/>
        <v>4.8</v>
      </c>
      <c r="N30" s="364">
        <f t="shared" si="4"/>
        <v>4.8</v>
      </c>
      <c r="O30" s="364">
        <f t="shared" si="4"/>
        <v>4.8</v>
      </c>
      <c r="P30" s="364">
        <f t="shared" si="4"/>
        <v>4.8</v>
      </c>
      <c r="Q30" s="364">
        <f t="shared" si="4"/>
        <v>4.8</v>
      </c>
      <c r="R30" s="364">
        <f t="shared" si="4"/>
        <v>4.8</v>
      </c>
    </row>
    <row r="31" spans="1:42">
      <c r="A31" s="355" t="s">
        <v>1105</v>
      </c>
      <c r="B31" s="356" t="s">
        <v>1092</v>
      </c>
      <c r="C31" s="357">
        <v>40274</v>
      </c>
      <c r="D31" s="358">
        <f t="shared" si="0"/>
        <v>2010</v>
      </c>
      <c r="E31" s="359">
        <v>10</v>
      </c>
      <c r="F31" s="360">
        <f t="shared" si="1"/>
        <v>43926</v>
      </c>
      <c r="G31" s="358">
        <f t="shared" si="2"/>
        <v>2020</v>
      </c>
      <c r="H31" s="361">
        <v>50</v>
      </c>
      <c r="I31" s="362">
        <v>4.3499999999999997E-2</v>
      </c>
      <c r="J31" s="363">
        <f t="shared" si="4"/>
        <v>2.1749999999999998</v>
      </c>
      <c r="K31" s="363">
        <f t="shared" si="4"/>
        <v>2.1749999999999998</v>
      </c>
      <c r="L31" s="363">
        <f t="shared" si="4"/>
        <v>2.1749999999999998</v>
      </c>
      <c r="M31" s="363">
        <f t="shared" si="4"/>
        <v>2.1749999999999998</v>
      </c>
      <c r="N31" s="364">
        <f t="shared" si="4"/>
        <v>2.1749999999999998</v>
      </c>
      <c r="O31" s="364">
        <f t="shared" si="4"/>
        <v>2.1749999999999998</v>
      </c>
      <c r="P31" s="364">
        <f t="shared" si="4"/>
        <v>0.56609589041095887</v>
      </c>
      <c r="Q31" s="364">
        <f t="shared" si="4"/>
        <v>0</v>
      </c>
      <c r="R31" s="364">
        <f t="shared" si="4"/>
        <v>0</v>
      </c>
    </row>
    <row r="32" spans="1:42">
      <c r="A32" s="355" t="s">
        <v>1105</v>
      </c>
      <c r="B32" s="356" t="s">
        <v>1092</v>
      </c>
      <c r="C32" s="357">
        <v>40274</v>
      </c>
      <c r="D32" s="358">
        <f t="shared" si="0"/>
        <v>2010</v>
      </c>
      <c r="E32" s="359">
        <v>15</v>
      </c>
      <c r="F32" s="360">
        <f t="shared" si="1"/>
        <v>45752</v>
      </c>
      <c r="G32" s="358">
        <f t="shared" si="2"/>
        <v>2025</v>
      </c>
      <c r="H32" s="361">
        <v>50</v>
      </c>
      <c r="I32" s="362">
        <v>4.4499999999999998E-2</v>
      </c>
      <c r="J32" s="363">
        <f t="shared" si="4"/>
        <v>2.2250000000000001</v>
      </c>
      <c r="K32" s="363">
        <f t="shared" si="4"/>
        <v>2.2250000000000001</v>
      </c>
      <c r="L32" s="363">
        <f t="shared" si="4"/>
        <v>2.2250000000000001</v>
      </c>
      <c r="M32" s="363">
        <f t="shared" si="4"/>
        <v>2.2250000000000001</v>
      </c>
      <c r="N32" s="364">
        <f t="shared" si="4"/>
        <v>2.2250000000000001</v>
      </c>
      <c r="O32" s="364">
        <f t="shared" si="4"/>
        <v>2.2250000000000001</v>
      </c>
      <c r="P32" s="364">
        <f t="shared" si="4"/>
        <v>2.2250000000000001</v>
      </c>
      <c r="Q32" s="364">
        <f t="shared" si="4"/>
        <v>2.2250000000000001</v>
      </c>
      <c r="R32" s="364">
        <f t="shared" si="4"/>
        <v>2.2250000000000001</v>
      </c>
    </row>
    <row r="33" spans="1:18">
      <c r="A33" s="355" t="s">
        <v>1105</v>
      </c>
      <c r="B33" s="356" t="s">
        <v>1138</v>
      </c>
      <c r="C33" s="357">
        <v>40877</v>
      </c>
      <c r="D33" s="358">
        <f t="shared" si="0"/>
        <v>2011</v>
      </c>
      <c r="E33" s="359">
        <v>7</v>
      </c>
      <c r="F33" s="360">
        <f t="shared" si="1"/>
        <v>43433</v>
      </c>
      <c r="G33" s="358">
        <f t="shared" si="2"/>
        <v>2018</v>
      </c>
      <c r="H33" s="361">
        <v>7</v>
      </c>
      <c r="I33" s="362">
        <v>6.7500000000000004E-2</v>
      </c>
      <c r="J33" s="363">
        <f t="shared" si="4"/>
        <v>0.47250000000000003</v>
      </c>
      <c r="K33" s="363">
        <f t="shared" si="4"/>
        <v>0.47250000000000003</v>
      </c>
      <c r="L33" s="363">
        <f t="shared" si="4"/>
        <v>0.47250000000000003</v>
      </c>
      <c r="M33" s="363">
        <f t="shared" si="4"/>
        <v>0.47250000000000003</v>
      </c>
      <c r="N33" s="364">
        <f t="shared" si="4"/>
        <v>0.42978082191780825</v>
      </c>
      <c r="O33" s="364">
        <f t="shared" si="4"/>
        <v>0</v>
      </c>
      <c r="P33" s="364">
        <f t="shared" si="4"/>
        <v>0</v>
      </c>
      <c r="Q33" s="364">
        <f t="shared" si="4"/>
        <v>0</v>
      </c>
      <c r="R33" s="364">
        <f t="shared" si="4"/>
        <v>0</v>
      </c>
    </row>
    <row r="34" spans="1:18">
      <c r="A34" s="355" t="s">
        <v>1105</v>
      </c>
      <c r="B34" s="356" t="s">
        <v>1093</v>
      </c>
      <c r="C34" s="357">
        <v>40885</v>
      </c>
      <c r="D34" s="358">
        <f t="shared" si="0"/>
        <v>2011</v>
      </c>
      <c r="E34" s="359">
        <v>10</v>
      </c>
      <c r="F34" s="360">
        <f t="shared" si="1"/>
        <v>44537</v>
      </c>
      <c r="G34" s="358">
        <f t="shared" si="2"/>
        <v>2021</v>
      </c>
      <c r="H34" s="361">
        <v>100</v>
      </c>
      <c r="I34" s="362">
        <v>5.1400000000000001E-2</v>
      </c>
      <c r="J34" s="363">
        <f t="shared" si="4"/>
        <v>5.1400000000000006</v>
      </c>
      <c r="K34" s="363">
        <f t="shared" si="4"/>
        <v>5.1400000000000006</v>
      </c>
      <c r="L34" s="363">
        <f t="shared" si="4"/>
        <v>5.1400000000000006</v>
      </c>
      <c r="M34" s="363">
        <f t="shared" si="4"/>
        <v>5.1400000000000006</v>
      </c>
      <c r="N34" s="364">
        <f t="shared" si="4"/>
        <v>5.1400000000000006</v>
      </c>
      <c r="O34" s="364">
        <f t="shared" si="4"/>
        <v>5.1400000000000006</v>
      </c>
      <c r="P34" s="364">
        <f t="shared" si="4"/>
        <v>5.1400000000000006</v>
      </c>
      <c r="Q34" s="364">
        <f t="shared" si="4"/>
        <v>4.7879452054794518</v>
      </c>
      <c r="R34" s="364">
        <f t="shared" si="4"/>
        <v>0</v>
      </c>
    </row>
    <row r="35" spans="1:18">
      <c r="A35" s="355" t="s">
        <v>1105</v>
      </c>
      <c r="B35" s="356" t="s">
        <v>1093</v>
      </c>
      <c r="C35" s="357">
        <v>40885</v>
      </c>
      <c r="D35" s="358">
        <f t="shared" si="0"/>
        <v>2011</v>
      </c>
      <c r="E35" s="359">
        <v>15</v>
      </c>
      <c r="F35" s="360">
        <f t="shared" si="1"/>
        <v>46363</v>
      </c>
      <c r="G35" s="358">
        <f t="shared" si="2"/>
        <v>2026</v>
      </c>
      <c r="H35" s="361">
        <v>50</v>
      </c>
      <c r="I35" s="362">
        <v>5.2400000000000002E-2</v>
      </c>
      <c r="J35" s="363">
        <f t="shared" si="4"/>
        <v>2.62</v>
      </c>
      <c r="K35" s="363">
        <f t="shared" si="4"/>
        <v>2.62</v>
      </c>
      <c r="L35" s="363">
        <f t="shared" si="4"/>
        <v>2.62</v>
      </c>
      <c r="M35" s="363">
        <f t="shared" si="4"/>
        <v>2.62</v>
      </c>
      <c r="N35" s="364">
        <f t="shared" si="4"/>
        <v>2.62</v>
      </c>
      <c r="O35" s="364">
        <f t="shared" si="4"/>
        <v>2.62</v>
      </c>
      <c r="P35" s="364">
        <f t="shared" si="4"/>
        <v>2.62</v>
      </c>
      <c r="Q35" s="364">
        <f t="shared" si="4"/>
        <v>2.62</v>
      </c>
      <c r="R35" s="364">
        <f t="shared" si="4"/>
        <v>2.62</v>
      </c>
    </row>
    <row r="36" spans="1:18">
      <c r="A36" s="355" t="s">
        <v>1105</v>
      </c>
      <c r="B36" s="356" t="s">
        <v>1094</v>
      </c>
      <c r="C36" s="357">
        <v>41016</v>
      </c>
      <c r="D36" s="358">
        <f t="shared" si="0"/>
        <v>2012</v>
      </c>
      <c r="E36" s="359">
        <v>10</v>
      </c>
      <c r="F36" s="360">
        <f t="shared" si="1"/>
        <v>44667</v>
      </c>
      <c r="G36" s="358">
        <f t="shared" si="2"/>
        <v>2022</v>
      </c>
      <c r="H36" s="361">
        <v>50</v>
      </c>
      <c r="I36" s="362">
        <v>4.99E-2</v>
      </c>
      <c r="J36" s="363">
        <f t="shared" si="4"/>
        <v>2.4950000000000001</v>
      </c>
      <c r="K36" s="363">
        <f t="shared" si="4"/>
        <v>2.4950000000000001</v>
      </c>
      <c r="L36" s="363">
        <f t="shared" si="4"/>
        <v>2.4950000000000001</v>
      </c>
      <c r="M36" s="363">
        <f t="shared" si="4"/>
        <v>2.4950000000000001</v>
      </c>
      <c r="N36" s="364">
        <f t="shared" si="4"/>
        <v>2.4950000000000001</v>
      </c>
      <c r="O36" s="364">
        <f t="shared" si="4"/>
        <v>2.4950000000000001</v>
      </c>
      <c r="P36" s="364">
        <f t="shared" si="4"/>
        <v>2.4950000000000001</v>
      </c>
      <c r="Q36" s="364">
        <f t="shared" si="4"/>
        <v>2.4950000000000001</v>
      </c>
      <c r="R36" s="364">
        <f t="shared" si="4"/>
        <v>0.71773972602739722</v>
      </c>
    </row>
    <row r="37" spans="1:18">
      <c r="A37" s="355" t="s">
        <v>1105</v>
      </c>
      <c r="B37" s="356" t="s">
        <v>1094</v>
      </c>
      <c r="C37" s="357">
        <v>41016</v>
      </c>
      <c r="D37" s="358">
        <f t="shared" si="0"/>
        <v>2012</v>
      </c>
      <c r="E37" s="359">
        <v>15</v>
      </c>
      <c r="F37" s="360">
        <f t="shared" si="1"/>
        <v>46493</v>
      </c>
      <c r="G37" s="358">
        <f t="shared" si="2"/>
        <v>2027</v>
      </c>
      <c r="H37" s="361">
        <v>100</v>
      </c>
      <c r="I37" s="362">
        <v>5.2600000000000001E-2</v>
      </c>
      <c r="J37" s="363">
        <f t="shared" si="4"/>
        <v>5.26</v>
      </c>
      <c r="K37" s="363">
        <f t="shared" si="4"/>
        <v>5.26</v>
      </c>
      <c r="L37" s="363">
        <f t="shared" si="4"/>
        <v>5.26</v>
      </c>
      <c r="M37" s="363">
        <f t="shared" si="4"/>
        <v>5.26</v>
      </c>
      <c r="N37" s="364">
        <f t="shared" si="4"/>
        <v>5.26</v>
      </c>
      <c r="O37" s="364">
        <f t="shared" si="4"/>
        <v>5.26</v>
      </c>
      <c r="P37" s="364">
        <f t="shared" si="4"/>
        <v>5.26</v>
      </c>
      <c r="Q37" s="364">
        <f t="shared" si="4"/>
        <v>5.26</v>
      </c>
      <c r="R37" s="364">
        <f t="shared" si="4"/>
        <v>5.26</v>
      </c>
    </row>
    <row r="38" spans="1:18">
      <c r="A38" s="355" t="s">
        <v>1105</v>
      </c>
      <c r="B38" s="356" t="s">
        <v>1095</v>
      </c>
      <c r="C38" s="357">
        <v>41233</v>
      </c>
      <c r="D38" s="358">
        <f t="shared" si="0"/>
        <v>2012</v>
      </c>
      <c r="E38" s="359">
        <v>7</v>
      </c>
      <c r="F38" s="360">
        <f t="shared" si="1"/>
        <v>43788</v>
      </c>
      <c r="G38" s="358">
        <f t="shared" si="2"/>
        <v>2019</v>
      </c>
      <c r="H38" s="361">
        <v>50</v>
      </c>
      <c r="I38" s="362">
        <v>4.8000000000000001E-2</v>
      </c>
      <c r="J38" s="363">
        <f t="shared" si="4"/>
        <v>2.4</v>
      </c>
      <c r="K38" s="363">
        <f t="shared" si="4"/>
        <v>2.4</v>
      </c>
      <c r="L38" s="363">
        <f t="shared" si="4"/>
        <v>2.4</v>
      </c>
      <c r="M38" s="363">
        <f t="shared" si="4"/>
        <v>2.4</v>
      </c>
      <c r="N38" s="364">
        <f t="shared" si="4"/>
        <v>2.4</v>
      </c>
      <c r="O38" s="364">
        <f t="shared" si="4"/>
        <v>2.1172602739726032</v>
      </c>
      <c r="P38" s="364">
        <f t="shared" si="4"/>
        <v>0</v>
      </c>
      <c r="Q38" s="364">
        <f t="shared" si="4"/>
        <v>0</v>
      </c>
      <c r="R38" s="364">
        <f t="shared" si="4"/>
        <v>0</v>
      </c>
    </row>
    <row r="39" spans="1:18">
      <c r="A39" s="355" t="s">
        <v>1105</v>
      </c>
      <c r="B39" s="356" t="s">
        <v>1095</v>
      </c>
      <c r="C39" s="357">
        <v>41233</v>
      </c>
      <c r="D39" s="358">
        <f t="shared" si="0"/>
        <v>2012</v>
      </c>
      <c r="E39" s="359">
        <v>10</v>
      </c>
      <c r="F39" s="360">
        <f t="shared" si="1"/>
        <v>44884</v>
      </c>
      <c r="G39" s="358">
        <f t="shared" si="2"/>
        <v>2022</v>
      </c>
      <c r="H39" s="361">
        <v>50</v>
      </c>
      <c r="I39" s="362">
        <v>0.05</v>
      </c>
      <c r="J39" s="363">
        <f t="shared" si="4"/>
        <v>2.5</v>
      </c>
      <c r="K39" s="363">
        <f t="shared" si="4"/>
        <v>2.5</v>
      </c>
      <c r="L39" s="363">
        <f t="shared" si="4"/>
        <v>2.5</v>
      </c>
      <c r="M39" s="363">
        <f t="shared" si="4"/>
        <v>2.5</v>
      </c>
      <c r="N39" s="364">
        <f t="shared" si="4"/>
        <v>2.5</v>
      </c>
      <c r="O39" s="364">
        <f t="shared" si="4"/>
        <v>2.5</v>
      </c>
      <c r="P39" s="364">
        <f t="shared" si="4"/>
        <v>2.5</v>
      </c>
      <c r="Q39" s="364">
        <f t="shared" si="4"/>
        <v>2.5</v>
      </c>
      <c r="R39" s="364">
        <f t="shared" si="4"/>
        <v>2.2054794520547949</v>
      </c>
    </row>
    <row r="40" spans="1:18">
      <c r="A40" s="355" t="s">
        <v>1105</v>
      </c>
      <c r="B40" s="356" t="s">
        <v>1096</v>
      </c>
      <c r="C40" s="357">
        <v>41297</v>
      </c>
      <c r="D40" s="358">
        <f t="shared" si="0"/>
        <v>2013</v>
      </c>
      <c r="E40" s="359">
        <v>7</v>
      </c>
      <c r="F40" s="360">
        <f t="shared" si="1"/>
        <v>43852</v>
      </c>
      <c r="G40" s="358">
        <f t="shared" si="2"/>
        <v>2020</v>
      </c>
      <c r="H40" s="361">
        <v>100</v>
      </c>
      <c r="I40" s="362">
        <v>4.7500000000000001E-2</v>
      </c>
      <c r="J40" s="363">
        <f t="shared" si="4"/>
        <v>4.75</v>
      </c>
      <c r="K40" s="363">
        <f t="shared" si="4"/>
        <v>4.75</v>
      </c>
      <c r="L40" s="363">
        <f t="shared" si="4"/>
        <v>4.75</v>
      </c>
      <c r="M40" s="363">
        <f t="shared" si="4"/>
        <v>4.75</v>
      </c>
      <c r="N40" s="364">
        <f t="shared" si="4"/>
        <v>4.75</v>
      </c>
      <c r="O40" s="364">
        <f t="shared" si="4"/>
        <v>4.75</v>
      </c>
      <c r="P40" s="364">
        <f t="shared" si="4"/>
        <v>0.27328767123287673</v>
      </c>
      <c r="Q40" s="364">
        <f t="shared" si="4"/>
        <v>0</v>
      </c>
      <c r="R40" s="364">
        <f t="shared" si="4"/>
        <v>0</v>
      </c>
    </row>
    <row r="41" spans="1:18">
      <c r="A41" s="355" t="s">
        <v>1105</v>
      </c>
      <c r="B41" s="356" t="s">
        <v>1096</v>
      </c>
      <c r="C41" s="357">
        <v>41297</v>
      </c>
      <c r="D41" s="358">
        <f t="shared" si="0"/>
        <v>2013</v>
      </c>
      <c r="E41" s="359">
        <v>15</v>
      </c>
      <c r="F41" s="360">
        <f t="shared" si="1"/>
        <v>46774</v>
      </c>
      <c r="G41" s="358">
        <f t="shared" si="2"/>
        <v>2028</v>
      </c>
      <c r="H41" s="361">
        <v>100</v>
      </c>
      <c r="I41" s="362">
        <v>5.0999999999999997E-2</v>
      </c>
      <c r="J41" s="363">
        <f t="shared" si="4"/>
        <v>5.0999999999999996</v>
      </c>
      <c r="K41" s="363">
        <f t="shared" si="4"/>
        <v>5.0999999999999996</v>
      </c>
      <c r="L41" s="363">
        <f t="shared" si="4"/>
        <v>5.0999999999999996</v>
      </c>
      <c r="M41" s="363">
        <f t="shared" si="4"/>
        <v>5.0999999999999996</v>
      </c>
      <c r="N41" s="364">
        <f t="shared" si="4"/>
        <v>5.0999999999999996</v>
      </c>
      <c r="O41" s="364">
        <f t="shared" si="4"/>
        <v>5.0999999999999996</v>
      </c>
      <c r="P41" s="364">
        <f t="shared" si="4"/>
        <v>5.0999999999999996</v>
      </c>
      <c r="Q41" s="364">
        <f t="shared" si="4"/>
        <v>5.0999999999999996</v>
      </c>
      <c r="R41" s="364">
        <f t="shared" si="4"/>
        <v>5.0999999999999996</v>
      </c>
    </row>
    <row r="42" spans="1:18">
      <c r="A42" s="355" t="s">
        <v>1105</v>
      </c>
      <c r="B42" s="356" t="s">
        <v>1097</v>
      </c>
      <c r="C42" s="357">
        <v>41570</v>
      </c>
      <c r="D42" s="358">
        <f t="shared" si="0"/>
        <v>2013</v>
      </c>
      <c r="E42" s="359">
        <v>7</v>
      </c>
      <c r="F42" s="360">
        <f t="shared" si="1"/>
        <v>44126</v>
      </c>
      <c r="G42" s="358">
        <f t="shared" si="2"/>
        <v>2020</v>
      </c>
      <c r="H42" s="361">
        <v>50</v>
      </c>
      <c r="I42" s="362">
        <v>5.5E-2</v>
      </c>
      <c r="J42" s="363">
        <f t="shared" si="4"/>
        <v>2.75</v>
      </c>
      <c r="K42" s="363">
        <f t="shared" si="4"/>
        <v>2.75</v>
      </c>
      <c r="L42" s="363">
        <f t="shared" si="4"/>
        <v>2.75</v>
      </c>
      <c r="M42" s="363">
        <f t="shared" si="4"/>
        <v>2.75</v>
      </c>
      <c r="N42" s="364">
        <f t="shared" si="4"/>
        <v>2.75</v>
      </c>
      <c r="O42" s="364">
        <f t="shared" si="4"/>
        <v>2.75</v>
      </c>
      <c r="P42" s="364">
        <f t="shared" si="4"/>
        <v>2.2226027397260277</v>
      </c>
      <c r="Q42" s="364">
        <f t="shared" si="4"/>
        <v>0</v>
      </c>
      <c r="R42" s="364">
        <f t="shared" si="4"/>
        <v>0</v>
      </c>
    </row>
    <row r="43" spans="1:18">
      <c r="A43" s="355" t="s">
        <v>1105</v>
      </c>
      <c r="B43" s="356" t="s">
        <v>1097</v>
      </c>
      <c r="C43" s="357">
        <v>41570</v>
      </c>
      <c r="D43" s="358">
        <f t="shared" si="0"/>
        <v>2013</v>
      </c>
      <c r="E43" s="359">
        <v>15</v>
      </c>
      <c r="F43" s="360">
        <f t="shared" si="1"/>
        <v>47048</v>
      </c>
      <c r="G43" s="358">
        <f t="shared" si="2"/>
        <v>2028</v>
      </c>
      <c r="H43" s="361">
        <v>50</v>
      </c>
      <c r="I43" s="362">
        <v>5.7299999999999997E-2</v>
      </c>
      <c r="J43" s="363">
        <f t="shared" si="4"/>
        <v>2.8649999999999998</v>
      </c>
      <c r="K43" s="363">
        <f t="shared" si="4"/>
        <v>2.8649999999999998</v>
      </c>
      <c r="L43" s="363">
        <f t="shared" si="4"/>
        <v>2.8649999999999998</v>
      </c>
      <c r="M43" s="363">
        <f t="shared" si="4"/>
        <v>2.8649999999999998</v>
      </c>
      <c r="N43" s="364">
        <f t="shared" si="4"/>
        <v>2.8649999999999998</v>
      </c>
      <c r="O43" s="364">
        <f t="shared" si="4"/>
        <v>2.8649999999999998</v>
      </c>
      <c r="P43" s="364">
        <f t="shared" si="4"/>
        <v>2.8649999999999998</v>
      </c>
      <c r="Q43" s="364">
        <f t="shared" si="4"/>
        <v>2.8649999999999998</v>
      </c>
      <c r="R43" s="364">
        <f t="shared" si="4"/>
        <v>2.8649999999999998</v>
      </c>
    </row>
    <row r="44" spans="1:18">
      <c r="A44" s="355" t="s">
        <v>1105</v>
      </c>
      <c r="B44" s="356" t="s">
        <v>1098</v>
      </c>
      <c r="C44" s="357">
        <v>41711</v>
      </c>
      <c r="D44" s="358">
        <f t="shared" si="0"/>
        <v>2014</v>
      </c>
      <c r="E44" s="359">
        <v>5</v>
      </c>
      <c r="F44" s="360">
        <f t="shared" si="1"/>
        <v>43536</v>
      </c>
      <c r="G44" s="358">
        <f t="shared" si="2"/>
        <v>2019</v>
      </c>
      <c r="H44" s="361">
        <v>50</v>
      </c>
      <c r="I44" s="362">
        <v>5.6899999999999999E-2</v>
      </c>
      <c r="J44" s="363">
        <f t="shared" si="4"/>
        <v>2.8449999999999998</v>
      </c>
      <c r="K44" s="363">
        <f t="shared" si="4"/>
        <v>2.8449999999999998</v>
      </c>
      <c r="L44" s="363">
        <f t="shared" si="4"/>
        <v>2.8449999999999998</v>
      </c>
      <c r="M44" s="363">
        <f t="shared" si="4"/>
        <v>2.8449999999999998</v>
      </c>
      <c r="N44" s="364">
        <f t="shared" si="4"/>
        <v>2.8449999999999998</v>
      </c>
      <c r="O44" s="364">
        <f t="shared" si="4"/>
        <v>0.54561643835616436</v>
      </c>
      <c r="P44" s="364">
        <f t="shared" si="4"/>
        <v>0</v>
      </c>
      <c r="Q44" s="364">
        <f t="shared" si="4"/>
        <v>0</v>
      </c>
      <c r="R44" s="364">
        <f t="shared" si="4"/>
        <v>0</v>
      </c>
    </row>
    <row r="45" spans="1:18">
      <c r="A45" s="355" t="s">
        <v>1105</v>
      </c>
      <c r="B45" s="356" t="s">
        <v>1098</v>
      </c>
      <c r="C45" s="357">
        <v>41711</v>
      </c>
      <c r="D45" s="358">
        <f t="shared" si="0"/>
        <v>2014</v>
      </c>
      <c r="E45" s="359">
        <v>15</v>
      </c>
      <c r="F45" s="360">
        <f t="shared" si="1"/>
        <v>47189</v>
      </c>
      <c r="G45" s="358">
        <f t="shared" si="2"/>
        <v>2029</v>
      </c>
      <c r="H45" s="361">
        <v>50</v>
      </c>
      <c r="I45" s="362">
        <v>0.06</v>
      </c>
      <c r="J45" s="363">
        <f t="shared" si="4"/>
        <v>3</v>
      </c>
      <c r="K45" s="363">
        <f t="shared" si="4"/>
        <v>3</v>
      </c>
      <c r="L45" s="363">
        <f t="shared" si="4"/>
        <v>3</v>
      </c>
      <c r="M45" s="363">
        <f t="shared" si="4"/>
        <v>3</v>
      </c>
      <c r="N45" s="364">
        <f t="shared" si="4"/>
        <v>3</v>
      </c>
      <c r="O45" s="364">
        <f t="shared" si="4"/>
        <v>3</v>
      </c>
      <c r="P45" s="364">
        <f t="shared" si="4"/>
        <v>3</v>
      </c>
      <c r="Q45" s="364">
        <f t="shared" si="4"/>
        <v>3</v>
      </c>
      <c r="R45" s="364">
        <f t="shared" si="4"/>
        <v>3</v>
      </c>
    </row>
    <row r="46" spans="1:18">
      <c r="A46" s="355" t="s">
        <v>1105</v>
      </c>
      <c r="B46" s="356" t="s">
        <v>1099</v>
      </c>
      <c r="C46" s="357">
        <v>41869</v>
      </c>
      <c r="D46" s="358">
        <f t="shared" si="0"/>
        <v>2014</v>
      </c>
      <c r="E46" s="359">
        <v>5</v>
      </c>
      <c r="F46" s="360">
        <f t="shared" si="1"/>
        <v>43694</v>
      </c>
      <c r="G46" s="358">
        <f t="shared" si="2"/>
        <v>2019</v>
      </c>
      <c r="H46" s="361">
        <v>60</v>
      </c>
      <c r="I46" s="362">
        <v>5.0999999999999997E-2</v>
      </c>
      <c r="J46" s="363">
        <f t="shared" si="4"/>
        <v>3.0599999999999996</v>
      </c>
      <c r="K46" s="363">
        <f t="shared" si="4"/>
        <v>3.0599999999999996</v>
      </c>
      <c r="L46" s="363">
        <f t="shared" si="4"/>
        <v>3.0599999999999996</v>
      </c>
      <c r="M46" s="363">
        <f t="shared" si="4"/>
        <v>3.0599999999999996</v>
      </c>
      <c r="N46" s="364">
        <f t="shared" si="4"/>
        <v>3.0599999999999996</v>
      </c>
      <c r="O46" s="364">
        <f t="shared" si="4"/>
        <v>1.9114520547945204</v>
      </c>
      <c r="P46" s="364">
        <f t="shared" si="4"/>
        <v>0</v>
      </c>
      <c r="Q46" s="364">
        <f t="shared" si="4"/>
        <v>0</v>
      </c>
      <c r="R46" s="364">
        <f t="shared" si="4"/>
        <v>0</v>
      </c>
    </row>
    <row r="47" spans="1:18">
      <c r="A47" s="355" t="s">
        <v>1105</v>
      </c>
      <c r="B47" s="356" t="s">
        <v>1099</v>
      </c>
      <c r="C47" s="357">
        <v>41869</v>
      </c>
      <c r="D47" s="358">
        <f t="shared" si="0"/>
        <v>2014</v>
      </c>
      <c r="E47" s="359">
        <v>10</v>
      </c>
      <c r="F47" s="360">
        <f t="shared" si="1"/>
        <v>45521</v>
      </c>
      <c r="G47" s="358">
        <f t="shared" si="2"/>
        <v>2024</v>
      </c>
      <c r="H47" s="361">
        <v>40</v>
      </c>
      <c r="I47" s="362">
        <v>5.3800000000000001E-2</v>
      </c>
      <c r="J47" s="363">
        <f t="shared" si="4"/>
        <v>2.1520000000000001</v>
      </c>
      <c r="K47" s="363">
        <f t="shared" si="4"/>
        <v>2.1520000000000001</v>
      </c>
      <c r="L47" s="363">
        <f t="shared" si="4"/>
        <v>2.1520000000000001</v>
      </c>
      <c r="M47" s="363">
        <f t="shared" si="4"/>
        <v>2.1520000000000001</v>
      </c>
      <c r="N47" s="364">
        <f t="shared" si="4"/>
        <v>2.1520000000000001</v>
      </c>
      <c r="O47" s="364">
        <f t="shared" si="4"/>
        <v>2.1520000000000001</v>
      </c>
      <c r="P47" s="364">
        <f t="shared" si="4"/>
        <v>2.1520000000000001</v>
      </c>
      <c r="Q47" s="364">
        <f t="shared" si="4"/>
        <v>2.1520000000000001</v>
      </c>
      <c r="R47" s="364">
        <f t="shared" si="4"/>
        <v>2.1520000000000001</v>
      </c>
    </row>
    <row r="48" spans="1:18">
      <c r="A48" s="355" t="s">
        <v>1105</v>
      </c>
      <c r="B48" s="356" t="s">
        <v>1195</v>
      </c>
      <c r="C48" s="357">
        <v>41927</v>
      </c>
      <c r="D48" s="358">
        <f t="shared" si="0"/>
        <v>2014</v>
      </c>
      <c r="E48" s="359">
        <v>3</v>
      </c>
      <c r="F48" s="360">
        <f t="shared" si="1"/>
        <v>43022</v>
      </c>
      <c r="G48" s="358">
        <f t="shared" si="2"/>
        <v>2017</v>
      </c>
      <c r="H48" s="361">
        <v>80</v>
      </c>
      <c r="I48" s="362">
        <v>5.1499999999999997E-2</v>
      </c>
      <c r="J48" s="363">
        <f t="shared" si="4"/>
        <v>4.12</v>
      </c>
      <c r="K48" s="363">
        <f t="shared" si="4"/>
        <v>4.12</v>
      </c>
      <c r="L48" s="363">
        <f t="shared" si="4"/>
        <v>4.12</v>
      </c>
      <c r="M48" s="363">
        <f t="shared" si="4"/>
        <v>3.2282739726027398</v>
      </c>
      <c r="N48" s="364">
        <f t="shared" si="4"/>
        <v>0</v>
      </c>
      <c r="O48" s="364">
        <f t="shared" si="4"/>
        <v>0</v>
      </c>
      <c r="P48" s="364">
        <f t="shared" si="4"/>
        <v>0</v>
      </c>
      <c r="Q48" s="364">
        <f t="shared" si="4"/>
        <v>0</v>
      </c>
      <c r="R48" s="364">
        <f t="shared" si="4"/>
        <v>0</v>
      </c>
    </row>
    <row r="49" spans="1:18">
      <c r="A49" s="355" t="s">
        <v>1105</v>
      </c>
      <c r="B49" s="356" t="s">
        <v>1196</v>
      </c>
      <c r="C49" s="357">
        <v>41927</v>
      </c>
      <c r="D49" s="358">
        <f t="shared" si="0"/>
        <v>2014</v>
      </c>
      <c r="E49" s="359">
        <v>5</v>
      </c>
      <c r="F49" s="360">
        <f t="shared" si="1"/>
        <v>43752</v>
      </c>
      <c r="G49" s="358">
        <f t="shared" si="2"/>
        <v>2019</v>
      </c>
      <c r="H49" s="361">
        <v>50</v>
      </c>
      <c r="I49" s="362">
        <v>5.2999999999999999E-2</v>
      </c>
      <c r="J49" s="363">
        <f t="shared" si="4"/>
        <v>2.65</v>
      </c>
      <c r="K49" s="363">
        <f t="shared" si="4"/>
        <v>2.65</v>
      </c>
      <c r="L49" s="363">
        <f t="shared" si="4"/>
        <v>2.65</v>
      </c>
      <c r="M49" s="363">
        <f t="shared" si="4"/>
        <v>2.65</v>
      </c>
      <c r="N49" s="364">
        <f t="shared" si="4"/>
        <v>2.65</v>
      </c>
      <c r="O49" s="364">
        <f t="shared" si="4"/>
        <v>2.0764383561643838</v>
      </c>
      <c r="P49" s="364">
        <f t="shared" si="4"/>
        <v>0</v>
      </c>
      <c r="Q49" s="364">
        <f t="shared" si="4"/>
        <v>0</v>
      </c>
      <c r="R49" s="364">
        <f t="shared" si="4"/>
        <v>0</v>
      </c>
    </row>
    <row r="50" spans="1:18">
      <c r="A50" s="355" t="s">
        <v>1105</v>
      </c>
      <c r="B50" s="356" t="s">
        <v>1100</v>
      </c>
      <c r="C50" s="357">
        <v>42102</v>
      </c>
      <c r="D50" s="358">
        <f t="shared" si="0"/>
        <v>2015</v>
      </c>
      <c r="E50" s="359">
        <v>7</v>
      </c>
      <c r="F50" s="360">
        <f t="shared" si="1"/>
        <v>44658</v>
      </c>
      <c r="G50" s="358">
        <f t="shared" si="2"/>
        <v>2022</v>
      </c>
      <c r="H50" s="361">
        <v>80</v>
      </c>
      <c r="I50" s="362">
        <v>4.9000000000000002E-2</v>
      </c>
      <c r="J50" s="363">
        <f t="shared" si="4"/>
        <v>3.92</v>
      </c>
      <c r="K50" s="363">
        <f t="shared" si="4"/>
        <v>3.92</v>
      </c>
      <c r="L50" s="363">
        <f t="shared" si="4"/>
        <v>3.92</v>
      </c>
      <c r="M50" s="363">
        <f t="shared" ref="J50:R70" si="5">IFERROR(MAX(MIN(1,($F50-M$5)/365)*$H50*$I50,0),0)</f>
        <v>3.92</v>
      </c>
      <c r="N50" s="364">
        <f t="shared" si="5"/>
        <v>3.92</v>
      </c>
      <c r="O50" s="364">
        <f t="shared" si="5"/>
        <v>3.92</v>
      </c>
      <c r="P50" s="364">
        <f t="shared" si="5"/>
        <v>3.92</v>
      </c>
      <c r="Q50" s="364">
        <f t="shared" si="5"/>
        <v>3.92</v>
      </c>
      <c r="R50" s="364">
        <f t="shared" si="5"/>
        <v>1.031013698630137</v>
      </c>
    </row>
    <row r="51" spans="1:18">
      <c r="A51" s="355" t="s">
        <v>1105</v>
      </c>
      <c r="B51" s="356" t="s">
        <v>1100</v>
      </c>
      <c r="C51" s="357">
        <v>42102</v>
      </c>
      <c r="D51" s="358">
        <f t="shared" si="0"/>
        <v>2015</v>
      </c>
      <c r="E51" s="359">
        <v>15</v>
      </c>
      <c r="F51" s="360">
        <f t="shared" si="1"/>
        <v>47580</v>
      </c>
      <c r="G51" s="358">
        <f t="shared" si="2"/>
        <v>2030</v>
      </c>
      <c r="H51" s="361">
        <v>20</v>
      </c>
      <c r="I51" s="362">
        <v>4.9500000000000002E-2</v>
      </c>
      <c r="J51" s="363">
        <f t="shared" si="5"/>
        <v>0.99</v>
      </c>
      <c r="K51" s="363">
        <f t="shared" si="5"/>
        <v>0.99</v>
      </c>
      <c r="L51" s="363">
        <f t="shared" si="5"/>
        <v>0.99</v>
      </c>
      <c r="M51" s="363">
        <f t="shared" si="5"/>
        <v>0.99</v>
      </c>
      <c r="N51" s="364">
        <f t="shared" si="5"/>
        <v>0.99</v>
      </c>
      <c r="O51" s="364">
        <f t="shared" si="5"/>
        <v>0.99</v>
      </c>
      <c r="P51" s="364">
        <f t="shared" si="5"/>
        <v>0.99</v>
      </c>
      <c r="Q51" s="364">
        <f t="shared" si="5"/>
        <v>0.99</v>
      </c>
      <c r="R51" s="364">
        <f t="shared" si="5"/>
        <v>0.99</v>
      </c>
    </row>
    <row r="52" spans="1:18">
      <c r="A52" s="355" t="s">
        <v>1105</v>
      </c>
      <c r="B52" s="356" t="s">
        <v>1139</v>
      </c>
      <c r="C52" s="357">
        <v>42081</v>
      </c>
      <c r="D52" s="358">
        <f t="shared" si="0"/>
        <v>2015</v>
      </c>
      <c r="E52" s="359">
        <v>5</v>
      </c>
      <c r="F52" s="360">
        <f t="shared" si="1"/>
        <v>43907</v>
      </c>
      <c r="G52" s="358">
        <f t="shared" si="2"/>
        <v>2020</v>
      </c>
      <c r="H52" s="361">
        <v>10</v>
      </c>
      <c r="I52" s="362">
        <v>0.06</v>
      </c>
      <c r="J52" s="363">
        <f t="shared" si="5"/>
        <v>0.6</v>
      </c>
      <c r="K52" s="363">
        <f t="shared" si="5"/>
        <v>0.6</v>
      </c>
      <c r="L52" s="363">
        <f t="shared" si="5"/>
        <v>0.6</v>
      </c>
      <c r="M52" s="363">
        <f t="shared" si="5"/>
        <v>0.6</v>
      </c>
      <c r="N52" s="364">
        <f t="shared" si="5"/>
        <v>0.6</v>
      </c>
      <c r="O52" s="364">
        <f t="shared" si="5"/>
        <v>0.6</v>
      </c>
      <c r="P52" s="364">
        <f t="shared" si="5"/>
        <v>0.12493150684931506</v>
      </c>
      <c r="Q52" s="364">
        <f t="shared" si="5"/>
        <v>0</v>
      </c>
      <c r="R52" s="364">
        <f t="shared" si="5"/>
        <v>0</v>
      </c>
    </row>
    <row r="53" spans="1:18">
      <c r="A53" s="355" t="s">
        <v>1105</v>
      </c>
      <c r="B53" s="356"/>
      <c r="C53" s="357"/>
      <c r="D53" s="358" t="str">
        <f t="shared" si="0"/>
        <v/>
      </c>
      <c r="E53" s="359"/>
      <c r="F53" s="360" t="str">
        <f t="shared" si="1"/>
        <v/>
      </c>
      <c r="G53" s="358" t="e">
        <f t="shared" si="2"/>
        <v>#VALUE!</v>
      </c>
      <c r="H53" s="361"/>
      <c r="I53" s="362"/>
      <c r="J53" s="363">
        <f t="shared" si="5"/>
        <v>0</v>
      </c>
      <c r="K53" s="363">
        <f t="shared" si="5"/>
        <v>0</v>
      </c>
      <c r="L53" s="363">
        <f t="shared" si="5"/>
        <v>0</v>
      </c>
      <c r="M53" s="363">
        <f t="shared" si="5"/>
        <v>0</v>
      </c>
      <c r="N53" s="364">
        <f t="shared" si="5"/>
        <v>0</v>
      </c>
      <c r="O53" s="364">
        <f t="shared" si="5"/>
        <v>0</v>
      </c>
      <c r="P53" s="364">
        <f t="shared" si="5"/>
        <v>0</v>
      </c>
      <c r="Q53" s="364">
        <f t="shared" si="5"/>
        <v>0</v>
      </c>
      <c r="R53" s="364">
        <f t="shared" si="5"/>
        <v>0</v>
      </c>
    </row>
    <row r="54" spans="1:18">
      <c r="A54" s="355" t="s">
        <v>1105</v>
      </c>
      <c r="B54" s="356" t="s">
        <v>1101</v>
      </c>
      <c r="C54" s="357">
        <v>42297</v>
      </c>
      <c r="D54" s="358">
        <f t="shared" si="0"/>
        <v>2015</v>
      </c>
      <c r="E54" s="359">
        <v>3</v>
      </c>
      <c r="F54" s="360">
        <f t="shared" si="1"/>
        <v>43392</v>
      </c>
      <c r="G54" s="358">
        <f t="shared" si="2"/>
        <v>2018</v>
      </c>
      <c r="H54" s="361">
        <v>50</v>
      </c>
      <c r="I54" s="362">
        <v>3.5000000000000003E-2</v>
      </c>
      <c r="J54" s="363">
        <f t="shared" si="5"/>
        <v>1.7500000000000002</v>
      </c>
      <c r="K54" s="363">
        <f t="shared" si="5"/>
        <v>1.7500000000000002</v>
      </c>
      <c r="L54" s="363">
        <f t="shared" si="5"/>
        <v>1.7500000000000002</v>
      </c>
      <c r="M54" s="363">
        <f t="shared" si="5"/>
        <v>1.7500000000000002</v>
      </c>
      <c r="N54" s="364">
        <f t="shared" si="5"/>
        <v>1.3952054794520548</v>
      </c>
      <c r="O54" s="364">
        <f t="shared" si="5"/>
        <v>0</v>
      </c>
      <c r="P54" s="364">
        <f t="shared" si="5"/>
        <v>0</v>
      </c>
      <c r="Q54" s="364">
        <f t="shared" si="5"/>
        <v>0</v>
      </c>
      <c r="R54" s="364">
        <f t="shared" si="5"/>
        <v>0</v>
      </c>
    </row>
    <row r="55" spans="1:18">
      <c r="A55" s="355" t="s">
        <v>1105</v>
      </c>
      <c r="B55" s="356" t="s">
        <v>1101</v>
      </c>
      <c r="C55" s="357">
        <v>42297</v>
      </c>
      <c r="D55" s="358">
        <f t="shared" si="0"/>
        <v>2015</v>
      </c>
      <c r="E55" s="359">
        <v>5</v>
      </c>
      <c r="F55" s="360">
        <f t="shared" si="1"/>
        <v>44123</v>
      </c>
      <c r="G55" s="358">
        <f t="shared" si="2"/>
        <v>2020</v>
      </c>
      <c r="H55" s="361">
        <v>50</v>
      </c>
      <c r="I55" s="362">
        <v>3.7900000000000003E-2</v>
      </c>
      <c r="J55" s="363">
        <f t="shared" si="5"/>
        <v>1.8950000000000002</v>
      </c>
      <c r="K55" s="363">
        <f t="shared" si="5"/>
        <v>1.8950000000000002</v>
      </c>
      <c r="L55" s="363">
        <f t="shared" si="5"/>
        <v>1.8950000000000002</v>
      </c>
      <c r="M55" s="363">
        <f t="shared" si="5"/>
        <v>1.8950000000000002</v>
      </c>
      <c r="N55" s="364">
        <f t="shared" si="5"/>
        <v>1.8950000000000002</v>
      </c>
      <c r="O55" s="364">
        <f t="shared" si="5"/>
        <v>1.8950000000000002</v>
      </c>
      <c r="P55" s="364">
        <f t="shared" si="5"/>
        <v>1.516</v>
      </c>
      <c r="Q55" s="364">
        <f t="shared" si="5"/>
        <v>0</v>
      </c>
      <c r="R55" s="364">
        <f t="shared" si="5"/>
        <v>0</v>
      </c>
    </row>
    <row r="56" spans="1:18">
      <c r="A56" s="355" t="s">
        <v>1105</v>
      </c>
      <c r="B56" s="356" t="s">
        <v>1102</v>
      </c>
      <c r="C56" s="357">
        <v>42318</v>
      </c>
      <c r="D56" s="358">
        <f t="shared" si="0"/>
        <v>2015</v>
      </c>
      <c r="E56" s="359">
        <v>3</v>
      </c>
      <c r="F56" s="360">
        <f t="shared" si="1"/>
        <v>43413</v>
      </c>
      <c r="G56" s="358">
        <f t="shared" si="2"/>
        <v>2018</v>
      </c>
      <c r="H56" s="361">
        <v>80</v>
      </c>
      <c r="I56" s="362">
        <v>3.5799999999999998E-2</v>
      </c>
      <c r="J56" s="363">
        <f t="shared" si="5"/>
        <v>2.8639999999999999</v>
      </c>
      <c r="K56" s="363">
        <f t="shared" si="5"/>
        <v>2.8639999999999999</v>
      </c>
      <c r="L56" s="363">
        <f t="shared" si="5"/>
        <v>2.8639999999999999</v>
      </c>
      <c r="M56" s="363">
        <f t="shared" si="5"/>
        <v>2.8639999999999999</v>
      </c>
      <c r="N56" s="364">
        <f t="shared" si="5"/>
        <v>2.448131506849315</v>
      </c>
      <c r="O56" s="364">
        <f t="shared" si="5"/>
        <v>0</v>
      </c>
      <c r="P56" s="364">
        <f t="shared" si="5"/>
        <v>0</v>
      </c>
      <c r="Q56" s="364">
        <f t="shared" si="5"/>
        <v>0</v>
      </c>
      <c r="R56" s="364">
        <f t="shared" si="5"/>
        <v>0</v>
      </c>
    </row>
    <row r="57" spans="1:18">
      <c r="A57" s="355" t="s">
        <v>1105</v>
      </c>
      <c r="B57" s="356" t="s">
        <v>1102</v>
      </c>
      <c r="C57" s="357">
        <v>42318</v>
      </c>
      <c r="D57" s="358">
        <f t="shared" si="0"/>
        <v>2015</v>
      </c>
      <c r="E57" s="359">
        <v>5</v>
      </c>
      <c r="F57" s="360">
        <f t="shared" si="1"/>
        <v>44144</v>
      </c>
      <c r="G57" s="358">
        <f t="shared" si="2"/>
        <v>2020</v>
      </c>
      <c r="H57" s="361">
        <v>20</v>
      </c>
      <c r="I57" s="362">
        <v>3.7499999999999999E-2</v>
      </c>
      <c r="J57" s="363">
        <f t="shared" si="5"/>
        <v>0.75</v>
      </c>
      <c r="K57" s="363">
        <f t="shared" si="5"/>
        <v>0.75</v>
      </c>
      <c r="L57" s="363">
        <f t="shared" si="5"/>
        <v>0.75</v>
      </c>
      <c r="M57" s="363">
        <f t="shared" si="5"/>
        <v>0.75</v>
      </c>
      <c r="N57" s="364">
        <f t="shared" si="5"/>
        <v>0.75</v>
      </c>
      <c r="O57" s="364">
        <f t="shared" si="5"/>
        <v>0.75</v>
      </c>
      <c r="P57" s="364">
        <f t="shared" si="5"/>
        <v>0.64315068493150684</v>
      </c>
      <c r="Q57" s="364">
        <f t="shared" si="5"/>
        <v>0</v>
      </c>
      <c r="R57" s="364">
        <f t="shared" si="5"/>
        <v>0</v>
      </c>
    </row>
    <row r="58" spans="1:18">
      <c r="A58" s="355" t="s">
        <v>1105</v>
      </c>
      <c r="B58" s="356" t="s">
        <v>1103</v>
      </c>
      <c r="C58" s="357">
        <v>42662</v>
      </c>
      <c r="D58" s="358">
        <f t="shared" si="0"/>
        <v>2016</v>
      </c>
      <c r="E58" s="359">
        <v>3</v>
      </c>
      <c r="F58" s="360">
        <f t="shared" si="1"/>
        <v>43756</v>
      </c>
      <c r="G58" s="358">
        <f t="shared" si="2"/>
        <v>2019</v>
      </c>
      <c r="H58" s="361">
        <v>50</v>
      </c>
      <c r="I58" s="362">
        <v>2.8000000000000001E-2</v>
      </c>
      <c r="J58" s="363">
        <f t="shared" si="5"/>
        <v>1.4000000000000001</v>
      </c>
      <c r="K58" s="363">
        <f t="shared" si="5"/>
        <v>1.4000000000000001</v>
      </c>
      <c r="L58" s="363">
        <f t="shared" si="5"/>
        <v>1.4000000000000001</v>
      </c>
      <c r="M58" s="363">
        <f t="shared" si="5"/>
        <v>1.4000000000000001</v>
      </c>
      <c r="N58" s="364">
        <f t="shared" si="5"/>
        <v>1.4000000000000001</v>
      </c>
      <c r="O58" s="364">
        <f t="shared" si="5"/>
        <v>1.1123287671232878</v>
      </c>
      <c r="P58" s="364">
        <f t="shared" si="5"/>
        <v>0</v>
      </c>
      <c r="Q58" s="364">
        <f t="shared" si="5"/>
        <v>0</v>
      </c>
      <c r="R58" s="364">
        <f t="shared" si="5"/>
        <v>0</v>
      </c>
    </row>
    <row r="59" spans="1:18">
      <c r="A59" s="355" t="s">
        <v>1105</v>
      </c>
      <c r="B59" s="356" t="s">
        <v>1103</v>
      </c>
      <c r="C59" s="357">
        <v>42662</v>
      </c>
      <c r="D59" s="358">
        <f t="shared" si="0"/>
        <v>2016</v>
      </c>
      <c r="E59" s="359">
        <v>5</v>
      </c>
      <c r="F59" s="360">
        <f t="shared" si="1"/>
        <v>44487</v>
      </c>
      <c r="G59" s="358">
        <f t="shared" si="2"/>
        <v>2021</v>
      </c>
      <c r="H59" s="361">
        <v>50</v>
      </c>
      <c r="I59" s="362">
        <v>2.9899999999999999E-2</v>
      </c>
      <c r="J59" s="363">
        <f t="shared" si="5"/>
        <v>1.4949999999999999</v>
      </c>
      <c r="K59" s="363">
        <f t="shared" si="5"/>
        <v>1.4949999999999999</v>
      </c>
      <c r="L59" s="363">
        <f t="shared" si="5"/>
        <v>1.4949999999999999</v>
      </c>
      <c r="M59" s="363">
        <f t="shared" si="5"/>
        <v>1.4949999999999999</v>
      </c>
      <c r="N59" s="364">
        <f t="shared" si="5"/>
        <v>1.4949999999999999</v>
      </c>
      <c r="O59" s="364">
        <f t="shared" si="5"/>
        <v>1.4949999999999999</v>
      </c>
      <c r="P59" s="364">
        <f t="shared" si="5"/>
        <v>1.4949999999999999</v>
      </c>
      <c r="Q59" s="364">
        <f t="shared" si="5"/>
        <v>1.1878082191780821</v>
      </c>
      <c r="R59" s="364">
        <f t="shared" si="5"/>
        <v>0</v>
      </c>
    </row>
    <row r="60" spans="1:18">
      <c r="A60" s="355" t="s">
        <v>1105</v>
      </c>
      <c r="B60" s="356" t="s">
        <v>1104</v>
      </c>
      <c r="C60" s="357">
        <v>42684</v>
      </c>
      <c r="D60" s="358">
        <f t="shared" si="0"/>
        <v>2016</v>
      </c>
      <c r="E60" s="359">
        <v>3</v>
      </c>
      <c r="F60" s="360">
        <f t="shared" si="1"/>
        <v>43778</v>
      </c>
      <c r="G60" s="358">
        <f t="shared" si="2"/>
        <v>2019</v>
      </c>
      <c r="H60" s="361">
        <v>50</v>
      </c>
      <c r="I60" s="362">
        <v>2.9899999999999999E-2</v>
      </c>
      <c r="J60" s="363">
        <f t="shared" si="5"/>
        <v>1.4949999999999999</v>
      </c>
      <c r="K60" s="363">
        <f t="shared" si="5"/>
        <v>1.4949999999999999</v>
      </c>
      <c r="L60" s="363">
        <f t="shared" si="5"/>
        <v>1.4949999999999999</v>
      </c>
      <c r="M60" s="363">
        <f t="shared" si="5"/>
        <v>1.4949999999999999</v>
      </c>
      <c r="N60" s="364">
        <f t="shared" si="5"/>
        <v>1.4949999999999999</v>
      </c>
      <c r="O60" s="364">
        <f t="shared" si="5"/>
        <v>1.277917808219178</v>
      </c>
      <c r="P60" s="364">
        <f t="shared" si="5"/>
        <v>0</v>
      </c>
      <c r="Q60" s="364">
        <f t="shared" si="5"/>
        <v>0</v>
      </c>
      <c r="R60" s="364">
        <f t="shared" si="5"/>
        <v>0</v>
      </c>
    </row>
    <row r="61" spans="1:18">
      <c r="A61" s="355" t="s">
        <v>1105</v>
      </c>
      <c r="B61" s="356" t="s">
        <v>1104</v>
      </c>
      <c r="C61" s="357">
        <v>42684</v>
      </c>
      <c r="D61" s="358">
        <f t="shared" si="0"/>
        <v>2016</v>
      </c>
      <c r="E61" s="359">
        <v>5</v>
      </c>
      <c r="F61" s="360">
        <f t="shared" si="1"/>
        <v>44509</v>
      </c>
      <c r="G61" s="358">
        <f t="shared" si="2"/>
        <v>2021</v>
      </c>
      <c r="H61" s="361">
        <v>50</v>
      </c>
      <c r="I61" s="362">
        <v>3.15E-2</v>
      </c>
      <c r="J61" s="363">
        <f t="shared" si="5"/>
        <v>1.575</v>
      </c>
      <c r="K61" s="363">
        <f t="shared" si="5"/>
        <v>1.575</v>
      </c>
      <c r="L61" s="363">
        <f t="shared" si="5"/>
        <v>1.575</v>
      </c>
      <c r="M61" s="363">
        <f t="shared" si="5"/>
        <v>1.575</v>
      </c>
      <c r="N61" s="364">
        <f t="shared" si="5"/>
        <v>1.575</v>
      </c>
      <c r="O61" s="364">
        <f t="shared" si="5"/>
        <v>1.575</v>
      </c>
      <c r="P61" s="364">
        <f t="shared" si="5"/>
        <v>1.575</v>
      </c>
      <c r="Q61" s="364">
        <f t="shared" si="5"/>
        <v>1.3463013698630137</v>
      </c>
      <c r="R61" s="364">
        <f t="shared" si="5"/>
        <v>0</v>
      </c>
    </row>
    <row r="62" spans="1:18">
      <c r="A62" s="355" t="s">
        <v>1105</v>
      </c>
      <c r="B62" s="356" t="s">
        <v>1140</v>
      </c>
      <c r="C62" s="357">
        <v>42268</v>
      </c>
      <c r="D62" s="358">
        <f t="shared" si="0"/>
        <v>2015</v>
      </c>
      <c r="E62" s="359">
        <v>3</v>
      </c>
      <c r="F62" s="360">
        <f t="shared" si="1"/>
        <v>43363</v>
      </c>
      <c r="G62" s="358">
        <f t="shared" si="2"/>
        <v>2018</v>
      </c>
      <c r="H62" s="361">
        <v>5.5</v>
      </c>
      <c r="I62" s="362">
        <v>3.9300000000000002E-2</v>
      </c>
      <c r="J62" s="363">
        <f t="shared" si="5"/>
        <v>0.21615000000000001</v>
      </c>
      <c r="K62" s="363">
        <f t="shared" si="5"/>
        <v>0.21615000000000001</v>
      </c>
      <c r="L62" s="363">
        <f t="shared" si="5"/>
        <v>0.21615000000000001</v>
      </c>
      <c r="M62" s="363">
        <f t="shared" si="5"/>
        <v>0.21615000000000001</v>
      </c>
      <c r="N62" s="364">
        <f t="shared" si="5"/>
        <v>0.15515424657534249</v>
      </c>
      <c r="O62" s="364">
        <f t="shared" si="5"/>
        <v>0</v>
      </c>
      <c r="P62" s="364">
        <f t="shared" si="5"/>
        <v>0</v>
      </c>
      <c r="Q62" s="364">
        <f t="shared" si="5"/>
        <v>0</v>
      </c>
      <c r="R62" s="364">
        <f t="shared" si="5"/>
        <v>0</v>
      </c>
    </row>
    <row r="63" spans="1:18">
      <c r="A63" s="355" t="s">
        <v>1105</v>
      </c>
      <c r="B63" s="356" t="s">
        <v>1141</v>
      </c>
      <c r="C63" s="357">
        <v>42361</v>
      </c>
      <c r="D63" s="358">
        <f t="shared" si="0"/>
        <v>2015</v>
      </c>
      <c r="E63" s="359">
        <v>5</v>
      </c>
      <c r="F63" s="360">
        <f t="shared" si="1"/>
        <v>44187</v>
      </c>
      <c r="G63" s="358">
        <f t="shared" si="2"/>
        <v>2020</v>
      </c>
      <c r="H63" s="361">
        <v>30</v>
      </c>
      <c r="I63" s="362">
        <v>3.7600000000000001E-2</v>
      </c>
      <c r="J63" s="363">
        <f t="shared" si="5"/>
        <v>1.1280000000000001</v>
      </c>
      <c r="K63" s="363">
        <f t="shared" si="5"/>
        <v>1.1280000000000001</v>
      </c>
      <c r="L63" s="363">
        <f t="shared" si="5"/>
        <v>1.1280000000000001</v>
      </c>
      <c r="M63" s="363">
        <f t="shared" si="5"/>
        <v>1.1280000000000001</v>
      </c>
      <c r="N63" s="364">
        <f t="shared" si="5"/>
        <v>1.1280000000000001</v>
      </c>
      <c r="O63" s="364">
        <f t="shared" si="5"/>
        <v>1.1280000000000001</v>
      </c>
      <c r="P63" s="364">
        <f t="shared" si="5"/>
        <v>1.100186301369863</v>
      </c>
      <c r="Q63" s="364">
        <f t="shared" si="5"/>
        <v>0</v>
      </c>
      <c r="R63" s="364">
        <f t="shared" si="5"/>
        <v>0</v>
      </c>
    </row>
    <row r="64" spans="1:18">
      <c r="A64" s="355" t="s">
        <v>1105</v>
      </c>
      <c r="B64" s="356" t="s">
        <v>1142</v>
      </c>
      <c r="C64" s="357">
        <v>42576</v>
      </c>
      <c r="D64" s="358">
        <f t="shared" si="0"/>
        <v>2016</v>
      </c>
      <c r="E64" s="359">
        <v>5</v>
      </c>
      <c r="F64" s="360">
        <f t="shared" si="1"/>
        <v>44401</v>
      </c>
      <c r="G64" s="358">
        <f t="shared" si="2"/>
        <v>2021</v>
      </c>
      <c r="H64" s="361">
        <v>40</v>
      </c>
      <c r="I64" s="362">
        <v>3.1800000000000002E-2</v>
      </c>
      <c r="J64" s="363">
        <f t="shared" si="5"/>
        <v>1.272</v>
      </c>
      <c r="K64" s="363">
        <f t="shared" si="5"/>
        <v>1.272</v>
      </c>
      <c r="L64" s="363">
        <f t="shared" si="5"/>
        <v>1.272</v>
      </c>
      <c r="M64" s="363">
        <f t="shared" si="5"/>
        <v>1.272</v>
      </c>
      <c r="N64" s="364">
        <f t="shared" si="5"/>
        <v>1.272</v>
      </c>
      <c r="O64" s="364">
        <f t="shared" si="5"/>
        <v>1.272</v>
      </c>
      <c r="P64" s="364">
        <f t="shared" si="5"/>
        <v>1.272</v>
      </c>
      <c r="Q64" s="364">
        <f t="shared" si="5"/>
        <v>0.7109260273972603</v>
      </c>
      <c r="R64" s="364">
        <f t="shared" si="5"/>
        <v>0</v>
      </c>
    </row>
    <row r="65" spans="1:18">
      <c r="A65" s="355" t="s">
        <v>1105</v>
      </c>
      <c r="B65" s="356" t="s">
        <v>1143</v>
      </c>
      <c r="C65" s="357">
        <v>42619</v>
      </c>
      <c r="D65" s="358">
        <f t="shared" si="0"/>
        <v>2016</v>
      </c>
      <c r="E65" s="359">
        <v>7</v>
      </c>
      <c r="F65" s="360">
        <f t="shared" si="1"/>
        <v>45174</v>
      </c>
      <c r="G65" s="358">
        <f t="shared" si="2"/>
        <v>2023</v>
      </c>
      <c r="H65" s="361">
        <v>10</v>
      </c>
      <c r="I65" s="362">
        <v>3.3500000000000002E-2</v>
      </c>
      <c r="J65" s="363">
        <f t="shared" si="5"/>
        <v>0.33500000000000002</v>
      </c>
      <c r="K65" s="363">
        <f t="shared" si="5"/>
        <v>0.33500000000000002</v>
      </c>
      <c r="L65" s="363">
        <f t="shared" si="5"/>
        <v>0.33500000000000002</v>
      </c>
      <c r="M65" s="363">
        <f t="shared" si="5"/>
        <v>0.33500000000000002</v>
      </c>
      <c r="N65" s="364">
        <f t="shared" si="5"/>
        <v>0.33500000000000002</v>
      </c>
      <c r="O65" s="364">
        <f t="shared" si="5"/>
        <v>0.33500000000000002</v>
      </c>
      <c r="P65" s="364">
        <f t="shared" si="5"/>
        <v>0.33500000000000002</v>
      </c>
      <c r="Q65" s="364">
        <f t="shared" si="5"/>
        <v>0.33500000000000002</v>
      </c>
      <c r="R65" s="364">
        <f t="shared" si="5"/>
        <v>0.33500000000000002</v>
      </c>
    </row>
    <row r="66" spans="1:18">
      <c r="A66" s="355" t="s">
        <v>1105</v>
      </c>
      <c r="B66" s="356" t="s">
        <v>1145</v>
      </c>
      <c r="C66" s="357">
        <v>42598</v>
      </c>
      <c r="D66" s="358">
        <f t="shared" si="0"/>
        <v>2016</v>
      </c>
      <c r="E66" s="359">
        <v>3</v>
      </c>
      <c r="F66" s="360">
        <f t="shared" si="1"/>
        <v>43692</v>
      </c>
      <c r="G66" s="358">
        <f t="shared" si="2"/>
        <v>2019</v>
      </c>
      <c r="H66" s="361">
        <v>5</v>
      </c>
      <c r="I66" s="362">
        <v>2.87E-2</v>
      </c>
      <c r="J66" s="363">
        <f t="shared" si="5"/>
        <v>0.14349999999999999</v>
      </c>
      <c r="K66" s="363">
        <f t="shared" si="5"/>
        <v>0.14349999999999999</v>
      </c>
      <c r="L66" s="363">
        <f t="shared" si="5"/>
        <v>0.14349999999999999</v>
      </c>
      <c r="M66" s="363">
        <f t="shared" si="5"/>
        <v>0.14349999999999999</v>
      </c>
      <c r="N66" s="364">
        <f t="shared" si="5"/>
        <v>0.14349999999999999</v>
      </c>
      <c r="O66" s="364">
        <f t="shared" si="5"/>
        <v>8.8852054794520546E-2</v>
      </c>
      <c r="P66" s="364">
        <f t="shared" si="5"/>
        <v>0</v>
      </c>
      <c r="Q66" s="364">
        <f t="shared" si="5"/>
        <v>0</v>
      </c>
      <c r="R66" s="364">
        <f t="shared" si="5"/>
        <v>0</v>
      </c>
    </row>
    <row r="67" spans="1:18">
      <c r="A67" s="355" t="s">
        <v>1105</v>
      </c>
      <c r="B67" s="356" t="s">
        <v>1144</v>
      </c>
      <c r="C67" s="357">
        <v>42816</v>
      </c>
      <c r="D67" s="358">
        <f t="shared" si="0"/>
        <v>2017</v>
      </c>
      <c r="E67" s="359">
        <v>5</v>
      </c>
      <c r="F67" s="360">
        <f t="shared" si="1"/>
        <v>44641</v>
      </c>
      <c r="G67" s="358">
        <f t="shared" si="2"/>
        <v>2022</v>
      </c>
      <c r="H67" s="361">
        <v>5.5</v>
      </c>
      <c r="I67" s="362">
        <v>5.5E-2</v>
      </c>
      <c r="J67" s="363">
        <f t="shared" si="5"/>
        <v>0.30249999999999999</v>
      </c>
      <c r="K67" s="363">
        <f t="shared" si="5"/>
        <v>0.30249999999999999</v>
      </c>
      <c r="L67" s="363">
        <f t="shared" si="5"/>
        <v>0.30249999999999999</v>
      </c>
      <c r="M67" s="363">
        <f t="shared" si="5"/>
        <v>0.30249999999999999</v>
      </c>
      <c r="N67" s="364">
        <f t="shared" si="5"/>
        <v>0.30249999999999999</v>
      </c>
      <c r="O67" s="364">
        <f t="shared" si="5"/>
        <v>0.30249999999999999</v>
      </c>
      <c r="P67" s="364">
        <f t="shared" si="5"/>
        <v>0.30249999999999999</v>
      </c>
      <c r="Q67" s="364">
        <f t="shared" si="5"/>
        <v>0.30249999999999999</v>
      </c>
      <c r="R67" s="364">
        <f t="shared" si="5"/>
        <v>6.5472602739726035E-2</v>
      </c>
    </row>
    <row r="68" spans="1:18">
      <c r="A68" s="355"/>
      <c r="B68" s="356"/>
      <c r="C68" s="357"/>
      <c r="D68" s="358"/>
      <c r="E68" s="359"/>
      <c r="F68" s="360"/>
      <c r="G68" s="358"/>
      <c r="H68" s="361"/>
      <c r="I68" s="362"/>
      <c r="J68" s="363"/>
      <c r="K68" s="363"/>
      <c r="L68" s="363"/>
      <c r="M68" s="363"/>
      <c r="N68" s="364"/>
      <c r="O68" s="364"/>
      <c r="P68" s="364"/>
      <c r="Q68" s="364"/>
      <c r="R68" s="364"/>
    </row>
    <row r="69" spans="1:18">
      <c r="A69" s="365" t="s">
        <v>1129</v>
      </c>
      <c r="B69" s="356" t="s">
        <v>1106</v>
      </c>
      <c r="C69" s="357">
        <v>39923</v>
      </c>
      <c r="D69" s="358">
        <f t="shared" si="0"/>
        <v>2009</v>
      </c>
      <c r="E69" s="359">
        <v>3</v>
      </c>
      <c r="F69" s="360">
        <f t="shared" si="1"/>
        <v>41018</v>
      </c>
      <c r="G69" s="358">
        <f t="shared" si="2"/>
        <v>2012</v>
      </c>
      <c r="H69" s="361">
        <v>300</v>
      </c>
      <c r="I69" s="362">
        <v>2.35E-2</v>
      </c>
      <c r="J69" s="363">
        <f t="shared" si="5"/>
        <v>0</v>
      </c>
      <c r="K69" s="363">
        <f t="shared" si="5"/>
        <v>0</v>
      </c>
      <c r="L69" s="363">
        <f t="shared" si="5"/>
        <v>0</v>
      </c>
      <c r="M69" s="363">
        <f t="shared" si="5"/>
        <v>0</v>
      </c>
      <c r="N69" s="364">
        <f t="shared" si="5"/>
        <v>0</v>
      </c>
      <c r="O69" s="364">
        <f t="shared" si="5"/>
        <v>0</v>
      </c>
      <c r="P69" s="364">
        <f t="shared" si="5"/>
        <v>0</v>
      </c>
      <c r="Q69" s="364">
        <f t="shared" si="5"/>
        <v>0</v>
      </c>
      <c r="R69" s="364">
        <f t="shared" si="5"/>
        <v>0</v>
      </c>
    </row>
    <row r="70" spans="1:18">
      <c r="A70" s="365" t="s">
        <v>1129</v>
      </c>
      <c r="B70" s="356" t="s">
        <v>1107</v>
      </c>
      <c r="C70" s="357">
        <v>39990</v>
      </c>
      <c r="D70" s="358">
        <f t="shared" si="0"/>
        <v>2009</v>
      </c>
      <c r="E70" s="359">
        <v>5</v>
      </c>
      <c r="F70" s="360">
        <f t="shared" ref="F70:F92" si="6">IF(ISBLANK(C70),"",DATE(YEAR(C70)+E70,MONTH(C70),DAY(C70))-1)</f>
        <v>41815</v>
      </c>
      <c r="G70" s="358">
        <f t="shared" ref="G70:G92" si="7">YEAR(F70)</f>
        <v>2014</v>
      </c>
      <c r="H70" s="361">
        <v>300</v>
      </c>
      <c r="I70" s="362">
        <v>3.5999999999999997E-2</v>
      </c>
      <c r="J70" s="363">
        <f t="shared" si="5"/>
        <v>5.1780821917808213</v>
      </c>
      <c r="K70" s="363">
        <f t="shared" si="5"/>
        <v>0</v>
      </c>
      <c r="L70" s="363">
        <f t="shared" si="5"/>
        <v>0</v>
      </c>
      <c r="M70" s="363">
        <f t="shared" si="5"/>
        <v>0</v>
      </c>
      <c r="N70" s="364">
        <f t="shared" si="5"/>
        <v>0</v>
      </c>
      <c r="O70" s="364">
        <f t="shared" si="5"/>
        <v>0</v>
      </c>
      <c r="P70" s="364">
        <f t="shared" si="5"/>
        <v>0</v>
      </c>
      <c r="Q70" s="364">
        <f t="shared" si="5"/>
        <v>0</v>
      </c>
      <c r="R70" s="364">
        <f t="shared" si="5"/>
        <v>0</v>
      </c>
    </row>
    <row r="71" spans="1:18">
      <c r="A71" s="365" t="s">
        <v>1129</v>
      </c>
      <c r="B71" s="356" t="s">
        <v>1108</v>
      </c>
      <c r="C71" s="357">
        <v>40137</v>
      </c>
      <c r="D71" s="358">
        <f t="shared" ref="D71:D109" si="8">IF(ISBLANK(C71),"",YEAR(C71))</f>
        <v>2009</v>
      </c>
      <c r="E71" s="359">
        <v>3</v>
      </c>
      <c r="F71" s="360">
        <f t="shared" si="6"/>
        <v>41232</v>
      </c>
      <c r="G71" s="358">
        <f t="shared" si="7"/>
        <v>2012</v>
      </c>
      <c r="H71" s="361">
        <v>300</v>
      </c>
      <c r="I71" s="362">
        <v>3.9699999999999999E-2</v>
      </c>
      <c r="J71" s="363">
        <f t="shared" ref="J71:R95" si="9">IFERROR(MAX(MIN(1,($F71-J$5)/365)*$H71*$I71,0),0)</f>
        <v>0</v>
      </c>
      <c r="K71" s="363">
        <f t="shared" si="9"/>
        <v>0</v>
      </c>
      <c r="L71" s="363">
        <f t="shared" si="9"/>
        <v>0</v>
      </c>
      <c r="M71" s="363">
        <f t="shared" si="9"/>
        <v>0</v>
      </c>
      <c r="N71" s="364">
        <f t="shared" si="9"/>
        <v>0</v>
      </c>
      <c r="O71" s="364">
        <f t="shared" si="9"/>
        <v>0</v>
      </c>
      <c r="P71" s="364">
        <f t="shared" si="9"/>
        <v>0</v>
      </c>
      <c r="Q71" s="364">
        <f t="shared" si="9"/>
        <v>0</v>
      </c>
      <c r="R71" s="364">
        <f t="shared" si="9"/>
        <v>0</v>
      </c>
    </row>
    <row r="72" spans="1:18">
      <c r="A72" s="365" t="s">
        <v>1129</v>
      </c>
      <c r="B72" s="356" t="s">
        <v>1109</v>
      </c>
      <c r="C72" s="357">
        <v>40745</v>
      </c>
      <c r="D72" s="358">
        <f t="shared" si="8"/>
        <v>2011</v>
      </c>
      <c r="E72" s="359">
        <v>3</v>
      </c>
      <c r="F72" s="360">
        <f t="shared" si="6"/>
        <v>41840</v>
      </c>
      <c r="G72" s="358">
        <f t="shared" si="7"/>
        <v>2014</v>
      </c>
      <c r="H72" s="361">
        <v>100</v>
      </c>
      <c r="I72" s="362">
        <v>5.1999999999999998E-2</v>
      </c>
      <c r="J72" s="363">
        <f t="shared" si="9"/>
        <v>2.8493150684931505</v>
      </c>
      <c r="K72" s="363">
        <f t="shared" si="9"/>
        <v>0</v>
      </c>
      <c r="L72" s="363">
        <f t="shared" si="9"/>
        <v>0</v>
      </c>
      <c r="M72" s="363">
        <f t="shared" si="9"/>
        <v>0</v>
      </c>
      <c r="N72" s="364">
        <f t="shared" si="9"/>
        <v>0</v>
      </c>
      <c r="O72" s="364">
        <f t="shared" si="9"/>
        <v>0</v>
      </c>
      <c r="P72" s="364">
        <f t="shared" si="9"/>
        <v>0</v>
      </c>
      <c r="Q72" s="364">
        <f t="shared" si="9"/>
        <v>0</v>
      </c>
      <c r="R72" s="364">
        <f t="shared" si="9"/>
        <v>0</v>
      </c>
    </row>
    <row r="73" spans="1:18">
      <c r="A73" s="365" t="s">
        <v>1129</v>
      </c>
      <c r="B73" s="356" t="s">
        <v>1110</v>
      </c>
      <c r="C73" s="357">
        <v>40841</v>
      </c>
      <c r="D73" s="358">
        <f t="shared" si="8"/>
        <v>2011</v>
      </c>
      <c r="E73" s="359">
        <v>5</v>
      </c>
      <c r="F73" s="360">
        <f t="shared" si="6"/>
        <v>42667</v>
      </c>
      <c r="G73" s="358">
        <f t="shared" si="7"/>
        <v>2016</v>
      </c>
      <c r="H73" s="361">
        <v>100</v>
      </c>
      <c r="I73" s="362">
        <v>5.2999999999999999E-2</v>
      </c>
      <c r="J73" s="363">
        <f t="shared" si="9"/>
        <v>5.3</v>
      </c>
      <c r="K73" s="363">
        <f t="shared" si="9"/>
        <v>5.3</v>
      </c>
      <c r="L73" s="363">
        <f t="shared" si="9"/>
        <v>4.3126027397260271</v>
      </c>
      <c r="M73" s="363">
        <f t="shared" si="9"/>
        <v>0</v>
      </c>
      <c r="N73" s="364">
        <f t="shared" si="9"/>
        <v>0</v>
      </c>
      <c r="O73" s="364">
        <f t="shared" si="9"/>
        <v>0</v>
      </c>
      <c r="P73" s="364">
        <f t="shared" si="9"/>
        <v>0</v>
      </c>
      <c r="Q73" s="364">
        <f t="shared" si="9"/>
        <v>0</v>
      </c>
      <c r="R73" s="364">
        <f t="shared" si="9"/>
        <v>0</v>
      </c>
    </row>
    <row r="74" spans="1:18">
      <c r="A74" s="365" t="s">
        <v>1129</v>
      </c>
      <c r="B74" s="356" t="s">
        <v>1111</v>
      </c>
      <c r="C74" s="357">
        <v>41135</v>
      </c>
      <c r="D74" s="358">
        <f t="shared" si="8"/>
        <v>2012</v>
      </c>
      <c r="E74" s="359">
        <v>3</v>
      </c>
      <c r="F74" s="360">
        <f t="shared" si="6"/>
        <v>42229</v>
      </c>
      <c r="G74" s="358">
        <f t="shared" si="7"/>
        <v>2015</v>
      </c>
      <c r="H74" s="361">
        <v>100</v>
      </c>
      <c r="I74" s="362">
        <v>4.1500000000000002E-2</v>
      </c>
      <c r="J74" s="363">
        <f t="shared" si="9"/>
        <v>4.1500000000000004</v>
      </c>
      <c r="K74" s="363">
        <f t="shared" si="9"/>
        <v>2.5468493150684934</v>
      </c>
      <c r="L74" s="363">
        <f t="shared" si="9"/>
        <v>0</v>
      </c>
      <c r="M74" s="363">
        <f t="shared" si="9"/>
        <v>0</v>
      </c>
      <c r="N74" s="364">
        <f t="shared" si="9"/>
        <v>0</v>
      </c>
      <c r="O74" s="364">
        <f t="shared" si="9"/>
        <v>0</v>
      </c>
      <c r="P74" s="364">
        <f t="shared" si="9"/>
        <v>0</v>
      </c>
      <c r="Q74" s="364">
        <f t="shared" si="9"/>
        <v>0</v>
      </c>
      <c r="R74" s="364">
        <f t="shared" si="9"/>
        <v>0</v>
      </c>
    </row>
    <row r="75" spans="1:18">
      <c r="A75" s="365" t="s">
        <v>1129</v>
      </c>
      <c r="B75" s="356" t="s">
        <v>1112</v>
      </c>
      <c r="C75" s="357">
        <v>41164</v>
      </c>
      <c r="D75" s="358">
        <f t="shared" si="8"/>
        <v>2012</v>
      </c>
      <c r="E75" s="359">
        <v>5</v>
      </c>
      <c r="F75" s="360">
        <f t="shared" si="6"/>
        <v>42989</v>
      </c>
      <c r="G75" s="358">
        <f t="shared" si="7"/>
        <v>2017</v>
      </c>
      <c r="H75" s="361">
        <v>100</v>
      </c>
      <c r="I75" s="362">
        <v>4.5599999999999995E-2</v>
      </c>
      <c r="J75" s="363">
        <f t="shared" si="9"/>
        <v>4.5599999999999996</v>
      </c>
      <c r="K75" s="363">
        <f t="shared" si="9"/>
        <v>4.5599999999999996</v>
      </c>
      <c r="L75" s="363">
        <f t="shared" si="9"/>
        <v>4.5599999999999996</v>
      </c>
      <c r="M75" s="363">
        <f t="shared" si="9"/>
        <v>3.1607671232876711</v>
      </c>
      <c r="N75" s="364">
        <f t="shared" si="9"/>
        <v>0</v>
      </c>
      <c r="O75" s="364">
        <f t="shared" si="9"/>
        <v>0</v>
      </c>
      <c r="P75" s="364">
        <f t="shared" si="9"/>
        <v>0</v>
      </c>
      <c r="Q75" s="364">
        <f t="shared" si="9"/>
        <v>0</v>
      </c>
      <c r="R75" s="364">
        <f t="shared" si="9"/>
        <v>0</v>
      </c>
    </row>
    <row r="76" spans="1:18">
      <c r="A76" s="365" t="s">
        <v>1129</v>
      </c>
      <c r="B76" s="356" t="s">
        <v>1113</v>
      </c>
      <c r="C76" s="357">
        <v>41192</v>
      </c>
      <c r="D76" s="358">
        <f t="shared" si="8"/>
        <v>2012</v>
      </c>
      <c r="E76" s="359">
        <v>3</v>
      </c>
      <c r="F76" s="360">
        <f t="shared" si="6"/>
        <v>42286</v>
      </c>
      <c r="G76" s="358">
        <f t="shared" si="7"/>
        <v>2015</v>
      </c>
      <c r="H76" s="361">
        <v>100</v>
      </c>
      <c r="I76" s="362">
        <v>4.3899999999999995E-2</v>
      </c>
      <c r="J76" s="363">
        <f t="shared" si="9"/>
        <v>4.3899999999999997</v>
      </c>
      <c r="K76" s="363">
        <f t="shared" si="9"/>
        <v>3.379698630136986</v>
      </c>
      <c r="L76" s="363">
        <f t="shared" si="9"/>
        <v>0</v>
      </c>
      <c r="M76" s="363">
        <f t="shared" si="9"/>
        <v>0</v>
      </c>
      <c r="N76" s="364">
        <f t="shared" si="9"/>
        <v>0</v>
      </c>
      <c r="O76" s="364">
        <f t="shared" si="9"/>
        <v>0</v>
      </c>
      <c r="P76" s="364">
        <f t="shared" si="9"/>
        <v>0</v>
      </c>
      <c r="Q76" s="364">
        <f t="shared" si="9"/>
        <v>0</v>
      </c>
      <c r="R76" s="364">
        <f t="shared" si="9"/>
        <v>0</v>
      </c>
    </row>
    <row r="77" spans="1:18">
      <c r="A77" s="365" t="s">
        <v>1129</v>
      </c>
      <c r="B77" s="356" t="s">
        <v>1114</v>
      </c>
      <c r="C77" s="357">
        <v>41239</v>
      </c>
      <c r="D77" s="358">
        <f t="shared" si="8"/>
        <v>2012</v>
      </c>
      <c r="E77" s="359">
        <v>5</v>
      </c>
      <c r="F77" s="360">
        <f t="shared" si="6"/>
        <v>43064</v>
      </c>
      <c r="G77" s="358">
        <f t="shared" si="7"/>
        <v>2017</v>
      </c>
      <c r="H77" s="361">
        <v>200</v>
      </c>
      <c r="I77" s="362">
        <v>4.7400000000000005E-2</v>
      </c>
      <c r="J77" s="363">
        <f t="shared" si="9"/>
        <v>9.48</v>
      </c>
      <c r="K77" s="363">
        <f t="shared" si="9"/>
        <v>9.48</v>
      </c>
      <c r="L77" s="363">
        <f t="shared" si="9"/>
        <v>9.48</v>
      </c>
      <c r="M77" s="363">
        <f t="shared" si="9"/>
        <v>8.5190136986301379</v>
      </c>
      <c r="N77" s="364">
        <f t="shared" si="9"/>
        <v>0</v>
      </c>
      <c r="O77" s="364">
        <f t="shared" si="9"/>
        <v>0</v>
      </c>
      <c r="P77" s="364">
        <f t="shared" si="9"/>
        <v>0</v>
      </c>
      <c r="Q77" s="364">
        <f t="shared" si="9"/>
        <v>0</v>
      </c>
      <c r="R77" s="364">
        <f t="shared" si="9"/>
        <v>0</v>
      </c>
    </row>
    <row r="78" spans="1:18">
      <c r="A78" s="365" t="s">
        <v>1129</v>
      </c>
      <c r="B78" s="356" t="s">
        <v>1115</v>
      </c>
      <c r="C78" s="357">
        <v>41353</v>
      </c>
      <c r="D78" s="358">
        <f t="shared" si="8"/>
        <v>2013</v>
      </c>
      <c r="E78" s="359">
        <v>5</v>
      </c>
      <c r="F78" s="360">
        <f t="shared" si="6"/>
        <v>43178</v>
      </c>
      <c r="G78" s="358">
        <f t="shared" si="7"/>
        <v>2018</v>
      </c>
      <c r="H78" s="361">
        <v>100</v>
      </c>
      <c r="I78" s="362">
        <v>4.65E-2</v>
      </c>
      <c r="J78" s="363">
        <f t="shared" si="9"/>
        <v>4.6500000000000004</v>
      </c>
      <c r="K78" s="363">
        <f t="shared" si="9"/>
        <v>4.6500000000000004</v>
      </c>
      <c r="L78" s="363">
        <f t="shared" si="9"/>
        <v>4.6500000000000004</v>
      </c>
      <c r="M78" s="363">
        <f t="shared" si="9"/>
        <v>4.6500000000000004</v>
      </c>
      <c r="N78" s="364">
        <f t="shared" si="9"/>
        <v>0.98095890410958908</v>
      </c>
      <c r="O78" s="364">
        <f t="shared" si="9"/>
        <v>0</v>
      </c>
      <c r="P78" s="364">
        <f t="shared" si="9"/>
        <v>0</v>
      </c>
      <c r="Q78" s="364">
        <f t="shared" si="9"/>
        <v>0</v>
      </c>
      <c r="R78" s="364">
        <f t="shared" si="9"/>
        <v>0</v>
      </c>
    </row>
    <row r="79" spans="1:18">
      <c r="A79" s="365" t="s">
        <v>1129</v>
      </c>
      <c r="B79" s="356" t="s">
        <v>1116</v>
      </c>
      <c r="C79" s="357">
        <v>41478</v>
      </c>
      <c r="D79" s="358">
        <f t="shared" si="8"/>
        <v>2013</v>
      </c>
      <c r="E79" s="359">
        <v>3</v>
      </c>
      <c r="F79" s="360">
        <f t="shared" si="6"/>
        <v>42573</v>
      </c>
      <c r="G79" s="358">
        <f t="shared" si="7"/>
        <v>2016</v>
      </c>
      <c r="H79" s="361">
        <v>100</v>
      </c>
      <c r="I79" s="362">
        <v>4.6800000000000001E-2</v>
      </c>
      <c r="J79" s="363">
        <f t="shared" si="9"/>
        <v>4.68</v>
      </c>
      <c r="K79" s="363">
        <f t="shared" si="9"/>
        <v>4.68</v>
      </c>
      <c r="L79" s="363">
        <f t="shared" si="9"/>
        <v>2.6028493150684935</v>
      </c>
      <c r="M79" s="363">
        <f t="shared" si="9"/>
        <v>0</v>
      </c>
      <c r="N79" s="364">
        <f t="shared" si="9"/>
        <v>0</v>
      </c>
      <c r="O79" s="364">
        <f t="shared" si="9"/>
        <v>0</v>
      </c>
      <c r="P79" s="364">
        <f t="shared" si="9"/>
        <v>0</v>
      </c>
      <c r="Q79" s="364">
        <f t="shared" si="9"/>
        <v>0</v>
      </c>
      <c r="R79" s="364">
        <f t="shared" si="9"/>
        <v>0</v>
      </c>
    </row>
    <row r="80" spans="1:18">
      <c r="A80" s="365" t="s">
        <v>1129</v>
      </c>
      <c r="B80" s="356" t="s">
        <v>1117</v>
      </c>
      <c r="C80" s="357">
        <v>41800</v>
      </c>
      <c r="D80" s="358">
        <f t="shared" si="8"/>
        <v>2014</v>
      </c>
      <c r="E80" s="359">
        <v>3</v>
      </c>
      <c r="F80" s="360">
        <f t="shared" si="6"/>
        <v>42895</v>
      </c>
      <c r="G80" s="358">
        <f t="shared" si="7"/>
        <v>2017</v>
      </c>
      <c r="H80" s="361">
        <v>100</v>
      </c>
      <c r="I80" s="362">
        <v>4.8399999999999999E-2</v>
      </c>
      <c r="J80" s="363">
        <f t="shared" si="9"/>
        <v>4.84</v>
      </c>
      <c r="K80" s="363">
        <f t="shared" si="9"/>
        <v>4.84</v>
      </c>
      <c r="L80" s="363">
        <f t="shared" si="9"/>
        <v>4.84</v>
      </c>
      <c r="M80" s="363">
        <f t="shared" si="9"/>
        <v>2.1083835616438353</v>
      </c>
      <c r="N80" s="364">
        <f t="shared" si="9"/>
        <v>0</v>
      </c>
      <c r="O80" s="364">
        <f t="shared" si="9"/>
        <v>0</v>
      </c>
      <c r="P80" s="364">
        <f t="shared" si="9"/>
        <v>0</v>
      </c>
      <c r="Q80" s="364">
        <f t="shared" si="9"/>
        <v>0</v>
      </c>
      <c r="R80" s="364">
        <f t="shared" si="9"/>
        <v>0</v>
      </c>
    </row>
    <row r="81" spans="1:18">
      <c r="A81" s="365" t="s">
        <v>1129</v>
      </c>
      <c r="B81" s="356" t="s">
        <v>1118</v>
      </c>
      <c r="C81" s="357">
        <v>41961</v>
      </c>
      <c r="D81" s="358">
        <f t="shared" si="8"/>
        <v>2014</v>
      </c>
      <c r="E81" s="359">
        <v>3</v>
      </c>
      <c r="F81" s="360">
        <f t="shared" si="6"/>
        <v>43056</v>
      </c>
      <c r="G81" s="358">
        <f t="shared" si="7"/>
        <v>2017</v>
      </c>
      <c r="H81" s="361">
        <v>100</v>
      </c>
      <c r="I81" s="362">
        <v>4.3799999999999999E-2</v>
      </c>
      <c r="J81" s="363">
        <f t="shared" si="9"/>
        <v>4.38</v>
      </c>
      <c r="K81" s="363">
        <f t="shared" si="9"/>
        <v>4.38</v>
      </c>
      <c r="L81" s="363">
        <f t="shared" si="9"/>
        <v>4.38</v>
      </c>
      <c r="M81" s="363">
        <f t="shared" si="9"/>
        <v>3.84</v>
      </c>
      <c r="N81" s="364">
        <f t="shared" si="9"/>
        <v>0</v>
      </c>
      <c r="O81" s="364">
        <f t="shared" si="9"/>
        <v>0</v>
      </c>
      <c r="P81" s="364">
        <f t="shared" si="9"/>
        <v>0</v>
      </c>
      <c r="Q81" s="364">
        <f t="shared" si="9"/>
        <v>0</v>
      </c>
      <c r="R81" s="364">
        <f t="shared" si="9"/>
        <v>0</v>
      </c>
    </row>
    <row r="82" spans="1:18">
      <c r="A82" s="365" t="s">
        <v>1129</v>
      </c>
      <c r="B82" s="356" t="s">
        <v>1119</v>
      </c>
      <c r="C82" s="357">
        <v>42080</v>
      </c>
      <c r="D82" s="358">
        <f t="shared" si="8"/>
        <v>2015</v>
      </c>
      <c r="E82" s="359">
        <v>3</v>
      </c>
      <c r="F82" s="360">
        <f t="shared" si="6"/>
        <v>43175</v>
      </c>
      <c r="G82" s="358">
        <f t="shared" si="7"/>
        <v>2018</v>
      </c>
      <c r="H82" s="361">
        <v>100</v>
      </c>
      <c r="I82" s="362">
        <v>4.4900000000000002E-2</v>
      </c>
      <c r="J82" s="363">
        <f t="shared" si="9"/>
        <v>4.49</v>
      </c>
      <c r="K82" s="363">
        <f t="shared" si="9"/>
        <v>4.49</v>
      </c>
      <c r="L82" s="363">
        <f t="shared" si="9"/>
        <v>4.49</v>
      </c>
      <c r="M82" s="363">
        <f t="shared" si="9"/>
        <v>4.49</v>
      </c>
      <c r="N82" s="364">
        <f t="shared" si="9"/>
        <v>0.91030136986301369</v>
      </c>
      <c r="O82" s="364">
        <f t="shared" si="9"/>
        <v>0</v>
      </c>
      <c r="P82" s="364">
        <f t="shared" si="9"/>
        <v>0</v>
      </c>
      <c r="Q82" s="364">
        <f t="shared" si="9"/>
        <v>0</v>
      </c>
      <c r="R82" s="364">
        <f t="shared" si="9"/>
        <v>0</v>
      </c>
    </row>
    <row r="83" spans="1:18">
      <c r="A83" s="365" t="s">
        <v>1129</v>
      </c>
      <c r="B83" s="356" t="s">
        <v>1120</v>
      </c>
      <c r="C83" s="357">
        <v>41100</v>
      </c>
      <c r="D83" s="358">
        <f t="shared" si="8"/>
        <v>2012</v>
      </c>
      <c r="E83" s="359">
        <v>3</v>
      </c>
      <c r="F83" s="360">
        <f t="shared" si="6"/>
        <v>42194</v>
      </c>
      <c r="G83" s="358">
        <f t="shared" si="7"/>
        <v>2015</v>
      </c>
      <c r="H83" s="361">
        <v>4</v>
      </c>
      <c r="I83" s="362">
        <v>4.8599999999999997E-2</v>
      </c>
      <c r="J83" s="363">
        <f t="shared" si="9"/>
        <v>0.19439999999999999</v>
      </c>
      <c r="K83" s="363">
        <f t="shared" si="9"/>
        <v>0.10066191780821918</v>
      </c>
      <c r="L83" s="363">
        <f t="shared" si="9"/>
        <v>0</v>
      </c>
      <c r="M83" s="363">
        <f t="shared" si="9"/>
        <v>0</v>
      </c>
      <c r="N83" s="364">
        <f t="shared" si="9"/>
        <v>0</v>
      </c>
      <c r="O83" s="364">
        <f t="shared" si="9"/>
        <v>0</v>
      </c>
      <c r="P83" s="364">
        <f t="shared" si="9"/>
        <v>0</v>
      </c>
      <c r="Q83" s="364">
        <f t="shared" si="9"/>
        <v>0</v>
      </c>
      <c r="R83" s="364">
        <f t="shared" si="9"/>
        <v>0</v>
      </c>
    </row>
    <row r="84" spans="1:18">
      <c r="A84" s="365" t="s">
        <v>1129</v>
      </c>
      <c r="B84" s="356" t="s">
        <v>1121</v>
      </c>
      <c r="C84" s="357">
        <v>40053</v>
      </c>
      <c r="D84" s="358">
        <f t="shared" si="8"/>
        <v>2009</v>
      </c>
      <c r="E84" s="359">
        <v>5</v>
      </c>
      <c r="F84" s="360">
        <f t="shared" si="6"/>
        <v>41878</v>
      </c>
      <c r="G84" s="358">
        <f t="shared" si="7"/>
        <v>2014</v>
      </c>
      <c r="H84" s="361">
        <v>30</v>
      </c>
      <c r="I84" s="362">
        <v>4.9500000000000002E-2</v>
      </c>
      <c r="J84" s="363">
        <f t="shared" si="9"/>
        <v>0.96830136986301363</v>
      </c>
      <c r="K84" s="363">
        <f t="shared" si="9"/>
        <v>0</v>
      </c>
      <c r="L84" s="363">
        <f t="shared" si="9"/>
        <v>0</v>
      </c>
      <c r="M84" s="363">
        <f t="shared" si="9"/>
        <v>0</v>
      </c>
      <c r="N84" s="364">
        <f t="shared" si="9"/>
        <v>0</v>
      </c>
      <c r="O84" s="364">
        <f t="shared" si="9"/>
        <v>0</v>
      </c>
      <c r="P84" s="364">
        <f t="shared" si="9"/>
        <v>0</v>
      </c>
      <c r="Q84" s="364">
        <f t="shared" si="9"/>
        <v>0</v>
      </c>
      <c r="R84" s="364">
        <f t="shared" si="9"/>
        <v>0</v>
      </c>
    </row>
    <row r="85" spans="1:18">
      <c r="A85" s="365" t="s">
        <v>1129</v>
      </c>
      <c r="B85" s="356" t="s">
        <v>1122</v>
      </c>
      <c r="C85" s="357">
        <v>40080</v>
      </c>
      <c r="D85" s="358">
        <f t="shared" si="8"/>
        <v>2009</v>
      </c>
      <c r="E85" s="359">
        <v>3</v>
      </c>
      <c r="F85" s="360">
        <f t="shared" si="6"/>
        <v>41175</v>
      </c>
      <c r="G85" s="358">
        <f t="shared" si="7"/>
        <v>2012</v>
      </c>
      <c r="H85" s="361">
        <v>15</v>
      </c>
      <c r="I85" s="362">
        <v>3.85E-2</v>
      </c>
      <c r="J85" s="363">
        <f t="shared" si="9"/>
        <v>0</v>
      </c>
      <c r="K85" s="363">
        <f t="shared" si="9"/>
        <v>0</v>
      </c>
      <c r="L85" s="363">
        <f t="shared" si="9"/>
        <v>0</v>
      </c>
      <c r="M85" s="363">
        <f t="shared" si="9"/>
        <v>0</v>
      </c>
      <c r="N85" s="364">
        <f t="shared" si="9"/>
        <v>0</v>
      </c>
      <c r="O85" s="364">
        <f t="shared" si="9"/>
        <v>0</v>
      </c>
      <c r="P85" s="364">
        <f t="shared" si="9"/>
        <v>0</v>
      </c>
      <c r="Q85" s="364">
        <f t="shared" si="9"/>
        <v>0</v>
      </c>
      <c r="R85" s="364">
        <f t="shared" si="9"/>
        <v>0</v>
      </c>
    </row>
    <row r="86" spans="1:18">
      <c r="A86" s="365" t="s">
        <v>1129</v>
      </c>
      <c r="B86" s="356" t="s">
        <v>1123</v>
      </c>
      <c r="C86" s="357">
        <v>41487</v>
      </c>
      <c r="D86" s="358">
        <f t="shared" si="8"/>
        <v>2013</v>
      </c>
      <c r="E86" s="359">
        <v>3</v>
      </c>
      <c r="F86" s="360">
        <f t="shared" si="6"/>
        <v>42582</v>
      </c>
      <c r="G86" s="358">
        <f t="shared" si="7"/>
        <v>2016</v>
      </c>
      <c r="H86" s="361">
        <v>4</v>
      </c>
      <c r="I86" s="362">
        <v>5.7000000000000002E-2</v>
      </c>
      <c r="J86" s="363">
        <f t="shared" si="9"/>
        <v>0.22800000000000001</v>
      </c>
      <c r="K86" s="363">
        <f t="shared" si="9"/>
        <v>0.22800000000000001</v>
      </c>
      <c r="L86" s="363">
        <f t="shared" si="9"/>
        <v>0.13242739726027397</v>
      </c>
      <c r="M86" s="363">
        <f t="shared" si="9"/>
        <v>0</v>
      </c>
      <c r="N86" s="364">
        <f t="shared" si="9"/>
        <v>0</v>
      </c>
      <c r="O86" s="364">
        <f t="shared" si="9"/>
        <v>0</v>
      </c>
      <c r="P86" s="364">
        <f t="shared" si="9"/>
        <v>0</v>
      </c>
      <c r="Q86" s="364">
        <f t="shared" si="9"/>
        <v>0</v>
      </c>
      <c r="R86" s="364">
        <f t="shared" si="9"/>
        <v>0</v>
      </c>
    </row>
    <row r="87" spans="1:18">
      <c r="A87" s="365" t="s">
        <v>1129</v>
      </c>
      <c r="B87" s="356" t="s">
        <v>1123</v>
      </c>
      <c r="C87" s="357">
        <v>41781</v>
      </c>
      <c r="D87" s="358">
        <f t="shared" si="8"/>
        <v>2014</v>
      </c>
      <c r="E87" s="359">
        <v>3</v>
      </c>
      <c r="F87" s="360">
        <f t="shared" si="6"/>
        <v>42876</v>
      </c>
      <c r="G87" s="358">
        <f t="shared" si="7"/>
        <v>2017</v>
      </c>
      <c r="H87" s="361">
        <v>4</v>
      </c>
      <c r="I87" s="362">
        <v>6.7000000000000004E-2</v>
      </c>
      <c r="J87" s="363">
        <f t="shared" si="9"/>
        <v>0.26800000000000002</v>
      </c>
      <c r="K87" s="363">
        <f t="shared" si="9"/>
        <v>0.26800000000000002</v>
      </c>
      <c r="L87" s="363">
        <f t="shared" si="9"/>
        <v>0.26800000000000002</v>
      </c>
      <c r="M87" s="363">
        <f t="shared" si="9"/>
        <v>0.1027945205479452</v>
      </c>
      <c r="N87" s="364">
        <f t="shared" si="9"/>
        <v>0</v>
      </c>
      <c r="O87" s="364">
        <f t="shared" si="9"/>
        <v>0</v>
      </c>
      <c r="P87" s="364">
        <f t="shared" si="9"/>
        <v>0</v>
      </c>
      <c r="Q87" s="364">
        <f t="shared" si="9"/>
        <v>0</v>
      </c>
      <c r="R87" s="364">
        <f t="shared" si="9"/>
        <v>0</v>
      </c>
    </row>
    <row r="88" spans="1:18">
      <c r="A88" s="365" t="s">
        <v>1129</v>
      </c>
      <c r="B88" s="356" t="s">
        <v>1124</v>
      </c>
      <c r="C88" s="357">
        <v>42131</v>
      </c>
      <c r="D88" s="358">
        <f t="shared" si="8"/>
        <v>2015</v>
      </c>
      <c r="E88" s="359">
        <v>3</v>
      </c>
      <c r="F88" s="360">
        <f t="shared" si="6"/>
        <v>43226</v>
      </c>
      <c r="G88" s="358">
        <f t="shared" si="7"/>
        <v>2018</v>
      </c>
      <c r="H88" s="361">
        <v>10</v>
      </c>
      <c r="I88" s="362">
        <v>4.53E-2</v>
      </c>
      <c r="J88" s="363">
        <f t="shared" si="9"/>
        <v>0.45300000000000001</v>
      </c>
      <c r="K88" s="363">
        <f t="shared" si="9"/>
        <v>0.45300000000000001</v>
      </c>
      <c r="L88" s="363">
        <f t="shared" si="9"/>
        <v>0.45300000000000001</v>
      </c>
      <c r="M88" s="363">
        <f t="shared" si="9"/>
        <v>0.45300000000000001</v>
      </c>
      <c r="N88" s="364">
        <f t="shared" si="9"/>
        <v>0.15513698630136985</v>
      </c>
      <c r="O88" s="364">
        <f t="shared" si="9"/>
        <v>0</v>
      </c>
      <c r="P88" s="364">
        <f t="shared" si="9"/>
        <v>0</v>
      </c>
      <c r="Q88" s="364">
        <f t="shared" si="9"/>
        <v>0</v>
      </c>
      <c r="R88" s="364">
        <f t="shared" si="9"/>
        <v>0</v>
      </c>
    </row>
    <row r="89" spans="1:18">
      <c r="A89" s="365" t="s">
        <v>1129</v>
      </c>
      <c r="B89" s="356" t="s">
        <v>1125</v>
      </c>
      <c r="C89" s="357">
        <v>42692</v>
      </c>
      <c r="D89" s="358">
        <f t="shared" si="8"/>
        <v>2016</v>
      </c>
      <c r="E89" s="359">
        <v>3</v>
      </c>
      <c r="F89" s="360">
        <f t="shared" si="6"/>
        <v>43786</v>
      </c>
      <c r="G89" s="358">
        <f t="shared" si="7"/>
        <v>2019</v>
      </c>
      <c r="H89" s="361">
        <v>1</v>
      </c>
      <c r="I89" s="362">
        <v>3.5000000000000003E-2</v>
      </c>
      <c r="J89" s="363">
        <f t="shared" si="9"/>
        <v>3.5000000000000003E-2</v>
      </c>
      <c r="K89" s="363">
        <f t="shared" si="9"/>
        <v>3.5000000000000003E-2</v>
      </c>
      <c r="L89" s="363">
        <f t="shared" si="9"/>
        <v>3.5000000000000003E-2</v>
      </c>
      <c r="M89" s="363">
        <f t="shared" si="9"/>
        <v>3.5000000000000003E-2</v>
      </c>
      <c r="N89" s="364">
        <f t="shared" si="9"/>
        <v>3.5000000000000003E-2</v>
      </c>
      <c r="O89" s="364">
        <f t="shared" si="9"/>
        <v>3.0684931506849315E-2</v>
      </c>
      <c r="P89" s="364">
        <f t="shared" si="9"/>
        <v>0</v>
      </c>
      <c r="Q89" s="364">
        <f t="shared" si="9"/>
        <v>0</v>
      </c>
      <c r="R89" s="364">
        <f t="shared" si="9"/>
        <v>0</v>
      </c>
    </row>
    <row r="90" spans="1:18">
      <c r="A90" s="365" t="s">
        <v>1129</v>
      </c>
      <c r="B90" s="356" t="s">
        <v>1126</v>
      </c>
      <c r="C90" s="357">
        <v>42699</v>
      </c>
      <c r="D90" s="358">
        <f t="shared" si="8"/>
        <v>2016</v>
      </c>
      <c r="E90" s="359">
        <v>3</v>
      </c>
      <c r="F90" s="360">
        <f t="shared" si="6"/>
        <v>43793</v>
      </c>
      <c r="G90" s="358">
        <f t="shared" si="7"/>
        <v>2019</v>
      </c>
      <c r="H90" s="361">
        <v>5</v>
      </c>
      <c r="I90" s="362">
        <v>3.4299999999999997E-2</v>
      </c>
      <c r="J90" s="363">
        <f t="shared" si="9"/>
        <v>0.17149999999999999</v>
      </c>
      <c r="K90" s="363">
        <f t="shared" si="9"/>
        <v>0.17149999999999999</v>
      </c>
      <c r="L90" s="363">
        <f t="shared" si="9"/>
        <v>0.17149999999999999</v>
      </c>
      <c r="M90" s="363">
        <f t="shared" si="9"/>
        <v>0.17149999999999999</v>
      </c>
      <c r="N90" s="364">
        <f t="shared" si="9"/>
        <v>0.17149999999999999</v>
      </c>
      <c r="O90" s="364">
        <f t="shared" si="9"/>
        <v>0.15364520547945204</v>
      </c>
      <c r="P90" s="364">
        <f t="shared" si="9"/>
        <v>0</v>
      </c>
      <c r="Q90" s="364">
        <f t="shared" si="9"/>
        <v>0</v>
      </c>
      <c r="R90" s="364">
        <f t="shared" si="9"/>
        <v>0</v>
      </c>
    </row>
    <row r="91" spans="1:18">
      <c r="A91" s="365" t="s">
        <v>1129</v>
      </c>
      <c r="B91" s="356" t="s">
        <v>1127</v>
      </c>
      <c r="C91" s="357">
        <v>42110</v>
      </c>
      <c r="D91" s="358">
        <f t="shared" si="8"/>
        <v>2015</v>
      </c>
      <c r="E91" s="359">
        <v>3</v>
      </c>
      <c r="F91" s="360">
        <f t="shared" si="6"/>
        <v>43205</v>
      </c>
      <c r="G91" s="358">
        <f t="shared" si="7"/>
        <v>2018</v>
      </c>
      <c r="H91" s="361">
        <v>5</v>
      </c>
      <c r="I91" s="362">
        <v>5.9799999999999999E-2</v>
      </c>
      <c r="J91" s="363">
        <f t="shared" si="9"/>
        <v>0.29899999999999999</v>
      </c>
      <c r="K91" s="363">
        <f t="shared" si="9"/>
        <v>0.29899999999999999</v>
      </c>
      <c r="L91" s="363">
        <f t="shared" si="9"/>
        <v>0.29899999999999999</v>
      </c>
      <c r="M91" s="363">
        <f t="shared" si="9"/>
        <v>0.29899999999999999</v>
      </c>
      <c r="N91" s="364">
        <f t="shared" si="9"/>
        <v>8.5194520547945199E-2</v>
      </c>
      <c r="O91" s="364">
        <f t="shared" si="9"/>
        <v>0</v>
      </c>
      <c r="P91" s="364">
        <f t="shared" si="9"/>
        <v>0</v>
      </c>
      <c r="Q91" s="364">
        <f t="shared" si="9"/>
        <v>0</v>
      </c>
      <c r="R91" s="364">
        <f t="shared" si="9"/>
        <v>0</v>
      </c>
    </row>
    <row r="92" spans="1:18">
      <c r="A92" s="365" t="s">
        <v>1129</v>
      </c>
      <c r="B92" s="356" t="s">
        <v>1128</v>
      </c>
      <c r="C92" s="357">
        <v>42850</v>
      </c>
      <c r="D92" s="358">
        <f t="shared" si="8"/>
        <v>2017</v>
      </c>
      <c r="E92" s="359">
        <v>3</v>
      </c>
      <c r="F92" s="360">
        <f t="shared" si="6"/>
        <v>43945</v>
      </c>
      <c r="G92" s="358">
        <f t="shared" si="7"/>
        <v>2020</v>
      </c>
      <c r="H92" s="361">
        <v>10</v>
      </c>
      <c r="I92" s="362">
        <v>4.99E-2</v>
      </c>
      <c r="J92" s="363">
        <f t="shared" si="9"/>
        <v>0.499</v>
      </c>
      <c r="K92" s="363">
        <f t="shared" si="9"/>
        <v>0.499</v>
      </c>
      <c r="L92" s="363">
        <f t="shared" si="9"/>
        <v>0.499</v>
      </c>
      <c r="M92" s="363">
        <f t="shared" si="9"/>
        <v>0.499</v>
      </c>
      <c r="N92" s="364">
        <f t="shared" si="9"/>
        <v>0.499</v>
      </c>
      <c r="O92" s="364">
        <f t="shared" si="9"/>
        <v>0.499</v>
      </c>
      <c r="P92" s="364">
        <f t="shared" si="9"/>
        <v>0.15585205479452055</v>
      </c>
      <c r="Q92" s="364">
        <f t="shared" si="9"/>
        <v>0</v>
      </c>
      <c r="R92" s="364">
        <f t="shared" si="9"/>
        <v>0</v>
      </c>
    </row>
    <row r="93" spans="1:18">
      <c r="A93" s="355"/>
      <c r="B93" s="366"/>
      <c r="C93" s="367"/>
      <c r="D93" s="368"/>
      <c r="E93" s="366"/>
      <c r="F93" s="368"/>
      <c r="G93" s="368"/>
      <c r="H93" s="366"/>
      <c r="I93" s="366"/>
      <c r="J93" s="368"/>
      <c r="K93" s="368"/>
      <c r="L93" s="368"/>
      <c r="M93" s="368"/>
      <c r="N93" s="368"/>
      <c r="O93" s="368"/>
      <c r="P93" s="368"/>
      <c r="Q93" s="368"/>
      <c r="R93" s="368"/>
    </row>
    <row r="94" spans="1:18">
      <c r="A94" s="365" t="s">
        <v>1192</v>
      </c>
      <c r="B94" s="356" t="s">
        <v>1130</v>
      </c>
      <c r="C94" s="357">
        <v>41417</v>
      </c>
      <c r="D94" s="358">
        <f t="shared" si="8"/>
        <v>2013</v>
      </c>
      <c r="E94" s="359">
        <v>5</v>
      </c>
      <c r="F94" s="360">
        <f t="shared" ref="F94" si="10">IF(ISBLANK(C94),"",DATE(YEAR(C94)+E94,MONTH(C94),DAY(C94))-1)</f>
        <v>43242</v>
      </c>
      <c r="G94" s="358">
        <f t="shared" ref="G94" si="11">YEAR(F94)</f>
        <v>2018</v>
      </c>
      <c r="H94" s="361">
        <v>30.75</v>
      </c>
      <c r="I94" s="362">
        <v>1.7829999999999999E-2</v>
      </c>
      <c r="J94" s="363">
        <f t="shared" si="9"/>
        <v>0.54827249999999994</v>
      </c>
      <c r="K94" s="363">
        <f t="shared" si="9"/>
        <v>0.54827249999999994</v>
      </c>
      <c r="L94" s="363">
        <f t="shared" si="9"/>
        <v>0.54827249999999994</v>
      </c>
      <c r="M94" s="363">
        <f t="shared" si="9"/>
        <v>0.54827249999999994</v>
      </c>
      <c r="N94" s="364">
        <f t="shared" si="9"/>
        <v>0.21179841780821917</v>
      </c>
      <c r="O94" s="364">
        <f t="shared" si="9"/>
        <v>0</v>
      </c>
      <c r="P94" s="364">
        <f t="shared" si="9"/>
        <v>0</v>
      </c>
      <c r="Q94" s="364">
        <f t="shared" si="9"/>
        <v>0</v>
      </c>
      <c r="R94" s="364">
        <f t="shared" si="9"/>
        <v>0</v>
      </c>
    </row>
    <row r="95" spans="1:18">
      <c r="A95" s="365" t="s">
        <v>1192</v>
      </c>
      <c r="B95" s="356" t="s">
        <v>1130</v>
      </c>
      <c r="C95" s="357">
        <v>41417</v>
      </c>
      <c r="D95" s="358">
        <f t="shared" si="8"/>
        <v>2013</v>
      </c>
      <c r="E95" s="359">
        <v>10</v>
      </c>
      <c r="F95" s="360">
        <f t="shared" ref="F95:F109" si="12">IF(ISBLANK(C95),"",DATE(YEAR(C95)+E95,MONTH(C95),DAY(C95))-1)</f>
        <v>45068</v>
      </c>
      <c r="G95" s="358">
        <f t="shared" ref="G95:G109" si="13">YEAR(F95)</f>
        <v>2023</v>
      </c>
      <c r="H95" s="361">
        <v>61.5</v>
      </c>
      <c r="I95" s="362">
        <v>3.245E-2</v>
      </c>
      <c r="J95" s="363">
        <f t="shared" si="9"/>
        <v>1.9956750000000001</v>
      </c>
      <c r="K95" s="363">
        <f t="shared" si="9"/>
        <v>1.9956750000000001</v>
      </c>
      <c r="L95" s="363">
        <f t="shared" si="9"/>
        <v>1.9956750000000001</v>
      </c>
      <c r="M95" s="363">
        <f t="shared" si="9"/>
        <v>1.9956750000000001</v>
      </c>
      <c r="N95" s="364">
        <f t="shared" si="9"/>
        <v>1.9956750000000001</v>
      </c>
      <c r="O95" s="364">
        <f t="shared" si="9"/>
        <v>1.9956750000000001</v>
      </c>
      <c r="P95" s="364">
        <f t="shared" si="9"/>
        <v>1.9956750000000001</v>
      </c>
      <c r="Q95" s="364">
        <f t="shared" si="9"/>
        <v>1.9956750000000001</v>
      </c>
      <c r="R95" s="364">
        <f t="shared" si="9"/>
        <v>1.9956750000000001</v>
      </c>
    </row>
    <row r="96" spans="1:18">
      <c r="A96" s="365" t="s">
        <v>1192</v>
      </c>
      <c r="B96" s="356" t="s">
        <v>1130</v>
      </c>
      <c r="C96" s="357">
        <v>41417</v>
      </c>
      <c r="D96" s="358">
        <f t="shared" si="8"/>
        <v>2013</v>
      </c>
      <c r="E96" s="359">
        <v>30</v>
      </c>
      <c r="F96" s="360">
        <f t="shared" si="12"/>
        <v>52373</v>
      </c>
      <c r="G96" s="358">
        <f t="shared" si="13"/>
        <v>2043</v>
      </c>
      <c r="H96" s="361">
        <v>30.75</v>
      </c>
      <c r="I96" s="362">
        <v>4.4920000000000002E-2</v>
      </c>
      <c r="J96" s="363">
        <f t="shared" ref="J96:R109" si="14">IFERROR(MAX(MIN(1,($F96-J$5)/365)*$H96*$I96,0),0)</f>
        <v>1.3812900000000001</v>
      </c>
      <c r="K96" s="363">
        <f t="shared" si="14"/>
        <v>1.3812900000000001</v>
      </c>
      <c r="L96" s="363">
        <f t="shared" si="14"/>
        <v>1.3812900000000001</v>
      </c>
      <c r="M96" s="363">
        <f t="shared" si="14"/>
        <v>1.3812900000000001</v>
      </c>
      <c r="N96" s="364">
        <f t="shared" si="14"/>
        <v>1.3812900000000001</v>
      </c>
      <c r="O96" s="364">
        <f t="shared" si="14"/>
        <v>1.3812900000000001</v>
      </c>
      <c r="P96" s="364">
        <f t="shared" si="14"/>
        <v>1.3812900000000001</v>
      </c>
      <c r="Q96" s="364">
        <f t="shared" si="14"/>
        <v>1.3812900000000001</v>
      </c>
      <c r="R96" s="364">
        <f t="shared" si="14"/>
        <v>1.3812900000000001</v>
      </c>
    </row>
    <row r="97" spans="1:18">
      <c r="A97" s="365" t="s">
        <v>1192</v>
      </c>
      <c r="B97" s="356" t="s">
        <v>1131</v>
      </c>
      <c r="C97" s="357">
        <v>41757</v>
      </c>
      <c r="D97" s="358">
        <f t="shared" si="8"/>
        <v>2014</v>
      </c>
      <c r="E97" s="359">
        <v>5</v>
      </c>
      <c r="F97" s="360">
        <f t="shared" si="12"/>
        <v>43582</v>
      </c>
      <c r="G97" s="358">
        <f t="shared" si="13"/>
        <v>2019</v>
      </c>
      <c r="H97" s="361">
        <v>76.875</v>
      </c>
      <c r="I97" s="362">
        <v>2.9499999999999998E-2</v>
      </c>
      <c r="J97" s="363">
        <f t="shared" si="14"/>
        <v>2.2678124999999998</v>
      </c>
      <c r="K97" s="363">
        <f t="shared" si="14"/>
        <v>2.2678124999999998</v>
      </c>
      <c r="L97" s="363">
        <f t="shared" si="14"/>
        <v>2.2678124999999998</v>
      </c>
      <c r="M97" s="363">
        <f t="shared" si="14"/>
        <v>2.2678124999999998</v>
      </c>
      <c r="N97" s="364">
        <f t="shared" si="14"/>
        <v>2.2678124999999998</v>
      </c>
      <c r="O97" s="364">
        <f t="shared" si="14"/>
        <v>0.72072945205479455</v>
      </c>
      <c r="P97" s="364">
        <f t="shared" si="14"/>
        <v>0</v>
      </c>
      <c r="Q97" s="364">
        <f t="shared" si="14"/>
        <v>0</v>
      </c>
      <c r="R97" s="364">
        <f t="shared" si="14"/>
        <v>0</v>
      </c>
    </row>
    <row r="98" spans="1:18">
      <c r="A98" s="365" t="s">
        <v>1192</v>
      </c>
      <c r="B98" s="356" t="s">
        <v>1131</v>
      </c>
      <c r="C98" s="357">
        <v>41757</v>
      </c>
      <c r="D98" s="358">
        <f t="shared" si="8"/>
        <v>2014</v>
      </c>
      <c r="E98" s="359">
        <v>10</v>
      </c>
      <c r="F98" s="360">
        <f t="shared" si="12"/>
        <v>45409</v>
      </c>
      <c r="G98" s="358">
        <f t="shared" si="13"/>
        <v>2024</v>
      </c>
      <c r="H98" s="361">
        <v>98.4</v>
      </c>
      <c r="I98" s="362">
        <v>4.2599999999999999E-2</v>
      </c>
      <c r="J98" s="363">
        <f t="shared" si="14"/>
        <v>4.19184</v>
      </c>
      <c r="K98" s="363">
        <f t="shared" si="14"/>
        <v>4.19184</v>
      </c>
      <c r="L98" s="363">
        <f t="shared" si="14"/>
        <v>4.19184</v>
      </c>
      <c r="M98" s="363">
        <f t="shared" si="14"/>
        <v>4.19184</v>
      </c>
      <c r="N98" s="364">
        <f t="shared" si="14"/>
        <v>4.19184</v>
      </c>
      <c r="O98" s="364">
        <f t="shared" si="14"/>
        <v>4.19184</v>
      </c>
      <c r="P98" s="364">
        <f t="shared" si="14"/>
        <v>4.19184</v>
      </c>
      <c r="Q98" s="364">
        <f t="shared" si="14"/>
        <v>4.19184</v>
      </c>
      <c r="R98" s="364">
        <f t="shared" si="14"/>
        <v>4.19184</v>
      </c>
    </row>
    <row r="99" spans="1:18">
      <c r="A99" s="365" t="s">
        <v>1192</v>
      </c>
      <c r="B99" s="356" t="s">
        <v>1131</v>
      </c>
      <c r="C99" s="357">
        <v>41757</v>
      </c>
      <c r="D99" s="358">
        <f t="shared" si="8"/>
        <v>2014</v>
      </c>
      <c r="E99" s="359">
        <v>30</v>
      </c>
      <c r="F99" s="360">
        <f t="shared" si="12"/>
        <v>52714</v>
      </c>
      <c r="G99" s="358">
        <f t="shared" si="13"/>
        <v>2044</v>
      </c>
      <c r="H99" s="361">
        <v>39.975000000000001</v>
      </c>
      <c r="I99" s="362">
        <v>4.938E-2</v>
      </c>
      <c r="J99" s="363">
        <f t="shared" si="14"/>
        <v>1.9739655</v>
      </c>
      <c r="K99" s="363">
        <f t="shared" si="14"/>
        <v>1.9739655</v>
      </c>
      <c r="L99" s="363">
        <f t="shared" si="14"/>
        <v>1.9739655</v>
      </c>
      <c r="M99" s="363">
        <f t="shared" si="14"/>
        <v>1.9739655</v>
      </c>
      <c r="N99" s="364">
        <f t="shared" si="14"/>
        <v>1.9739655</v>
      </c>
      <c r="O99" s="364">
        <f t="shared" si="14"/>
        <v>1.9739655</v>
      </c>
      <c r="P99" s="364">
        <f t="shared" si="14"/>
        <v>1.9739655</v>
      </c>
      <c r="Q99" s="364">
        <f t="shared" si="14"/>
        <v>1.9739655</v>
      </c>
      <c r="R99" s="364">
        <f t="shared" si="14"/>
        <v>1.9739655</v>
      </c>
    </row>
    <row r="100" spans="1:18">
      <c r="A100" s="365" t="s">
        <v>1192</v>
      </c>
      <c r="B100" s="356" t="s">
        <v>1132</v>
      </c>
      <c r="C100" s="357">
        <v>42030</v>
      </c>
      <c r="D100" s="358">
        <f t="shared" si="8"/>
        <v>2015</v>
      </c>
      <c r="E100" s="359">
        <v>7</v>
      </c>
      <c r="F100" s="360">
        <f t="shared" si="12"/>
        <v>44586</v>
      </c>
      <c r="G100" s="358">
        <f t="shared" si="13"/>
        <v>2022</v>
      </c>
      <c r="H100" s="361">
        <v>48.300000000000004</v>
      </c>
      <c r="I100" s="362">
        <v>1.54E-2</v>
      </c>
      <c r="J100" s="363">
        <f t="shared" si="14"/>
        <v>0.74382000000000004</v>
      </c>
      <c r="K100" s="363">
        <f t="shared" si="14"/>
        <v>0.74382000000000004</v>
      </c>
      <c r="L100" s="363">
        <f t="shared" si="14"/>
        <v>0.74382000000000004</v>
      </c>
      <c r="M100" s="363">
        <f t="shared" si="14"/>
        <v>0.74382000000000004</v>
      </c>
      <c r="N100" s="364">
        <f t="shared" si="14"/>
        <v>0.74382000000000004</v>
      </c>
      <c r="O100" s="364">
        <f t="shared" si="14"/>
        <v>0.74382000000000004</v>
      </c>
      <c r="P100" s="364">
        <f t="shared" si="14"/>
        <v>0.74382000000000004</v>
      </c>
      <c r="Q100" s="364">
        <f t="shared" si="14"/>
        <v>0.74382000000000004</v>
      </c>
      <c r="R100" s="364">
        <f t="shared" si="14"/>
        <v>4.8908712328767125E-2</v>
      </c>
    </row>
    <row r="101" spans="1:18">
      <c r="A101" s="365" t="s">
        <v>1192</v>
      </c>
      <c r="B101" s="356" t="s">
        <v>1132</v>
      </c>
      <c r="C101" s="357">
        <v>42030</v>
      </c>
      <c r="D101" s="358">
        <f t="shared" si="8"/>
        <v>2015</v>
      </c>
      <c r="E101" s="359">
        <v>12</v>
      </c>
      <c r="F101" s="360">
        <f t="shared" si="12"/>
        <v>46412</v>
      </c>
      <c r="G101" s="358">
        <f t="shared" si="13"/>
        <v>2027</v>
      </c>
      <c r="H101" s="361">
        <v>20.700000000000003</v>
      </c>
      <c r="I101" s="362">
        <v>2.5270000000000001E-2</v>
      </c>
      <c r="J101" s="363">
        <f t="shared" si="14"/>
        <v>0.52308900000000014</v>
      </c>
      <c r="K101" s="363">
        <f t="shared" si="14"/>
        <v>0.52308900000000014</v>
      </c>
      <c r="L101" s="363">
        <f t="shared" si="14"/>
        <v>0.52308900000000014</v>
      </c>
      <c r="M101" s="363">
        <f t="shared" si="14"/>
        <v>0.52308900000000014</v>
      </c>
      <c r="N101" s="364">
        <f t="shared" si="14"/>
        <v>0.52308900000000014</v>
      </c>
      <c r="O101" s="364">
        <f t="shared" si="14"/>
        <v>0.52308900000000014</v>
      </c>
      <c r="P101" s="364">
        <f t="shared" si="14"/>
        <v>0.52308900000000014</v>
      </c>
      <c r="Q101" s="364">
        <f t="shared" si="14"/>
        <v>0.52308900000000014</v>
      </c>
      <c r="R101" s="364">
        <f t="shared" si="14"/>
        <v>0.52308900000000014</v>
      </c>
    </row>
    <row r="102" spans="1:18">
      <c r="A102" s="365" t="s">
        <v>1192</v>
      </c>
      <c r="B102" s="356" t="s">
        <v>1133</v>
      </c>
      <c r="C102" s="357">
        <v>42502</v>
      </c>
      <c r="D102" s="358">
        <f t="shared" si="8"/>
        <v>2016</v>
      </c>
      <c r="E102" s="359">
        <v>5</v>
      </c>
      <c r="F102" s="360">
        <f t="shared" si="12"/>
        <v>44327</v>
      </c>
      <c r="G102" s="358">
        <f t="shared" si="13"/>
        <v>2021</v>
      </c>
      <c r="H102" s="361">
        <v>32.5</v>
      </c>
      <c r="I102" s="362">
        <v>2.1250000000000002E-2</v>
      </c>
      <c r="J102" s="363">
        <f t="shared" si="14"/>
        <v>0.69062500000000004</v>
      </c>
      <c r="K102" s="363">
        <f t="shared" si="14"/>
        <v>0.69062500000000004</v>
      </c>
      <c r="L102" s="363">
        <f t="shared" si="14"/>
        <v>0.69062500000000004</v>
      </c>
      <c r="M102" s="363">
        <f t="shared" si="14"/>
        <v>0.69062500000000004</v>
      </c>
      <c r="N102" s="364">
        <f t="shared" si="14"/>
        <v>0.69062500000000004</v>
      </c>
      <c r="O102" s="364">
        <f t="shared" si="14"/>
        <v>0.69062500000000004</v>
      </c>
      <c r="P102" s="364">
        <f t="shared" si="14"/>
        <v>0.69062500000000004</v>
      </c>
      <c r="Q102" s="364">
        <f t="shared" si="14"/>
        <v>0.24597602739726029</v>
      </c>
      <c r="R102" s="364">
        <f t="shared" si="14"/>
        <v>0</v>
      </c>
    </row>
    <row r="103" spans="1:18">
      <c r="A103" s="365" t="s">
        <v>1192</v>
      </c>
      <c r="B103" s="356" t="s">
        <v>1133</v>
      </c>
      <c r="C103" s="357">
        <v>42502</v>
      </c>
      <c r="D103" s="358">
        <f t="shared" si="8"/>
        <v>2016</v>
      </c>
      <c r="E103" s="359">
        <v>10</v>
      </c>
      <c r="F103" s="360">
        <f t="shared" si="12"/>
        <v>46153</v>
      </c>
      <c r="G103" s="358">
        <f t="shared" si="13"/>
        <v>2026</v>
      </c>
      <c r="H103" s="361">
        <v>32.5</v>
      </c>
      <c r="I103" s="362">
        <v>2.8750000000000001E-2</v>
      </c>
      <c r="J103" s="363">
        <f t="shared" si="14"/>
        <v>0.93437500000000007</v>
      </c>
      <c r="K103" s="363">
        <f t="shared" si="14"/>
        <v>0.93437500000000007</v>
      </c>
      <c r="L103" s="363">
        <f t="shared" si="14"/>
        <v>0.93437500000000007</v>
      </c>
      <c r="M103" s="363">
        <f t="shared" si="14"/>
        <v>0.93437500000000007</v>
      </c>
      <c r="N103" s="364">
        <f t="shared" si="14"/>
        <v>0.93437500000000007</v>
      </c>
      <c r="O103" s="364">
        <f t="shared" si="14"/>
        <v>0.93437500000000007</v>
      </c>
      <c r="P103" s="364">
        <f t="shared" si="14"/>
        <v>0.93437500000000007</v>
      </c>
      <c r="Q103" s="364">
        <f t="shared" si="14"/>
        <v>0.93437500000000007</v>
      </c>
      <c r="R103" s="364">
        <f t="shared" si="14"/>
        <v>0.93437500000000007</v>
      </c>
    </row>
    <row r="104" spans="1:18">
      <c r="A104" s="365" t="s">
        <v>1192</v>
      </c>
      <c r="B104" s="356" t="s">
        <v>1133</v>
      </c>
      <c r="C104" s="357">
        <v>42502</v>
      </c>
      <c r="D104" s="358">
        <f t="shared" si="8"/>
        <v>2016</v>
      </c>
      <c r="E104" s="359">
        <v>6</v>
      </c>
      <c r="F104" s="360">
        <f t="shared" si="12"/>
        <v>44692</v>
      </c>
      <c r="G104" s="358">
        <f t="shared" si="13"/>
        <v>2022</v>
      </c>
      <c r="H104" s="361">
        <v>36.5</v>
      </c>
      <c r="I104" s="362">
        <v>1.2500000000000001E-2</v>
      </c>
      <c r="J104" s="363">
        <f t="shared" si="14"/>
        <v>0.45625000000000004</v>
      </c>
      <c r="K104" s="363">
        <f t="shared" si="14"/>
        <v>0.45625000000000004</v>
      </c>
      <c r="L104" s="363">
        <f t="shared" si="14"/>
        <v>0.45625000000000004</v>
      </c>
      <c r="M104" s="363">
        <f t="shared" si="14"/>
        <v>0.45625000000000004</v>
      </c>
      <c r="N104" s="364">
        <f t="shared" si="14"/>
        <v>0.45625000000000004</v>
      </c>
      <c r="O104" s="364">
        <f t="shared" si="14"/>
        <v>0.45625000000000004</v>
      </c>
      <c r="P104" s="364">
        <f t="shared" si="14"/>
        <v>0.45625000000000004</v>
      </c>
      <c r="Q104" s="364">
        <f t="shared" si="14"/>
        <v>0.45625000000000004</v>
      </c>
      <c r="R104" s="364">
        <f t="shared" si="14"/>
        <v>0.16250000000000001</v>
      </c>
    </row>
    <row r="105" spans="1:18">
      <c r="A105" s="365" t="s">
        <v>1192</v>
      </c>
      <c r="B105" s="356" t="s">
        <v>1133</v>
      </c>
      <c r="C105" s="357">
        <v>42502</v>
      </c>
      <c r="D105" s="358">
        <f t="shared" si="8"/>
        <v>2016</v>
      </c>
      <c r="E105" s="359">
        <v>9</v>
      </c>
      <c r="F105" s="360">
        <f t="shared" si="12"/>
        <v>45788</v>
      </c>
      <c r="G105" s="358">
        <f t="shared" si="13"/>
        <v>2025</v>
      </c>
      <c r="H105" s="361">
        <v>36.5</v>
      </c>
      <c r="I105" s="362">
        <v>1.7500000000000002E-2</v>
      </c>
      <c r="J105" s="363">
        <f t="shared" si="14"/>
        <v>0.63875000000000004</v>
      </c>
      <c r="K105" s="363">
        <f t="shared" si="14"/>
        <v>0.63875000000000004</v>
      </c>
      <c r="L105" s="363">
        <f t="shared" si="14"/>
        <v>0.63875000000000004</v>
      </c>
      <c r="M105" s="363">
        <f t="shared" si="14"/>
        <v>0.63875000000000004</v>
      </c>
      <c r="N105" s="364">
        <f t="shared" si="14"/>
        <v>0.63875000000000004</v>
      </c>
      <c r="O105" s="364">
        <f t="shared" si="14"/>
        <v>0.63875000000000004</v>
      </c>
      <c r="P105" s="364">
        <f t="shared" si="14"/>
        <v>0.63875000000000004</v>
      </c>
      <c r="Q105" s="364">
        <f t="shared" si="14"/>
        <v>0.63875000000000004</v>
      </c>
      <c r="R105" s="364">
        <f t="shared" si="14"/>
        <v>0.63875000000000004</v>
      </c>
    </row>
    <row r="106" spans="1:18">
      <c r="A106" s="365" t="s">
        <v>1192</v>
      </c>
      <c r="B106" s="356" t="s">
        <v>1134</v>
      </c>
      <c r="C106" s="357">
        <v>42852</v>
      </c>
      <c r="D106" s="358">
        <f t="shared" si="8"/>
        <v>2017</v>
      </c>
      <c r="E106" s="359">
        <v>3</v>
      </c>
      <c r="F106" s="360">
        <f t="shared" si="12"/>
        <v>43947</v>
      </c>
      <c r="G106" s="358">
        <f t="shared" si="13"/>
        <v>2020</v>
      </c>
      <c r="H106" s="361">
        <v>62.1</v>
      </c>
      <c r="I106" s="362">
        <v>2.307E-2</v>
      </c>
      <c r="J106" s="363">
        <f t="shared" si="14"/>
        <v>1.432647</v>
      </c>
      <c r="K106" s="363">
        <f t="shared" si="14"/>
        <v>1.432647</v>
      </c>
      <c r="L106" s="363">
        <f t="shared" si="14"/>
        <v>1.432647</v>
      </c>
      <c r="M106" s="363">
        <f t="shared" si="14"/>
        <v>1.432647</v>
      </c>
      <c r="N106" s="364">
        <f t="shared" si="14"/>
        <v>1.432647</v>
      </c>
      <c r="O106" s="364">
        <f t="shared" si="14"/>
        <v>1.432647</v>
      </c>
      <c r="P106" s="364">
        <f t="shared" si="14"/>
        <v>0.45530699178082196</v>
      </c>
      <c r="Q106" s="364">
        <f t="shared" si="14"/>
        <v>0</v>
      </c>
      <c r="R106" s="364">
        <f t="shared" si="14"/>
        <v>0</v>
      </c>
    </row>
    <row r="107" spans="1:18">
      <c r="A107" s="365" t="s">
        <v>1192</v>
      </c>
      <c r="B107" s="356" t="s">
        <v>1134</v>
      </c>
      <c r="C107" s="357">
        <v>42852</v>
      </c>
      <c r="D107" s="358">
        <f t="shared" si="8"/>
        <v>2017</v>
      </c>
      <c r="E107" s="359">
        <v>5</v>
      </c>
      <c r="F107" s="360">
        <f t="shared" si="12"/>
        <v>44677</v>
      </c>
      <c r="G107" s="358">
        <f t="shared" si="13"/>
        <v>2022</v>
      </c>
      <c r="H107" s="361">
        <v>86.25</v>
      </c>
      <c r="I107" s="362">
        <v>2.7799999999999998E-2</v>
      </c>
      <c r="J107" s="363">
        <f t="shared" si="14"/>
        <v>2.3977499999999998</v>
      </c>
      <c r="K107" s="363">
        <f t="shared" si="14"/>
        <v>2.3977499999999998</v>
      </c>
      <c r="L107" s="363">
        <f t="shared" si="14"/>
        <v>2.3977499999999998</v>
      </c>
      <c r="M107" s="363">
        <f t="shared" si="14"/>
        <v>2.3977499999999998</v>
      </c>
      <c r="N107" s="364">
        <f t="shared" si="14"/>
        <v>2.3977499999999998</v>
      </c>
      <c r="O107" s="364">
        <f t="shared" si="14"/>
        <v>2.3977499999999998</v>
      </c>
      <c r="P107" s="364">
        <f t="shared" si="14"/>
        <v>2.3977499999999998</v>
      </c>
      <c r="Q107" s="364">
        <f t="shared" si="14"/>
        <v>2.3977499999999998</v>
      </c>
      <c r="R107" s="364">
        <f t="shared" si="14"/>
        <v>0.75545547945205471</v>
      </c>
    </row>
    <row r="108" spans="1:18">
      <c r="A108" s="365" t="s">
        <v>1192</v>
      </c>
      <c r="B108" s="356" t="s">
        <v>1134</v>
      </c>
      <c r="C108" s="357">
        <v>42852</v>
      </c>
      <c r="D108" s="358">
        <f t="shared" si="8"/>
        <v>2017</v>
      </c>
      <c r="E108" s="359">
        <v>10</v>
      </c>
      <c r="F108" s="360">
        <f t="shared" si="12"/>
        <v>46503</v>
      </c>
      <c r="G108" s="358">
        <f t="shared" si="13"/>
        <v>2027</v>
      </c>
      <c r="H108" s="361">
        <v>162.15</v>
      </c>
      <c r="I108" s="362">
        <v>3.5069999999999997E-2</v>
      </c>
      <c r="J108" s="363">
        <f t="shared" si="14"/>
        <v>5.6866004999999999</v>
      </c>
      <c r="K108" s="363">
        <f t="shared" si="14"/>
        <v>5.6866004999999999</v>
      </c>
      <c r="L108" s="363">
        <f t="shared" si="14"/>
        <v>5.6866004999999999</v>
      </c>
      <c r="M108" s="363">
        <f t="shared" si="14"/>
        <v>5.6866004999999999</v>
      </c>
      <c r="N108" s="364">
        <f t="shared" si="14"/>
        <v>5.6866004999999999</v>
      </c>
      <c r="O108" s="364">
        <f t="shared" si="14"/>
        <v>5.6866004999999999</v>
      </c>
      <c r="P108" s="364">
        <f t="shared" si="14"/>
        <v>5.6866004999999999</v>
      </c>
      <c r="Q108" s="364">
        <f t="shared" si="14"/>
        <v>5.6866004999999999</v>
      </c>
      <c r="R108" s="364">
        <f t="shared" si="14"/>
        <v>5.6866004999999999</v>
      </c>
    </row>
    <row r="109" spans="1:18">
      <c r="A109" s="365" t="s">
        <v>1192</v>
      </c>
      <c r="B109" s="356" t="s">
        <v>1134</v>
      </c>
      <c r="C109" s="357">
        <v>42852</v>
      </c>
      <c r="D109" s="358">
        <f t="shared" si="8"/>
        <v>2017</v>
      </c>
      <c r="E109" s="359">
        <v>30</v>
      </c>
      <c r="F109" s="360">
        <f t="shared" si="12"/>
        <v>53808</v>
      </c>
      <c r="G109" s="358">
        <f t="shared" si="13"/>
        <v>2047</v>
      </c>
      <c r="H109" s="361">
        <v>34.5</v>
      </c>
      <c r="I109" s="362">
        <v>0.04</v>
      </c>
      <c r="J109" s="363">
        <f t="shared" si="14"/>
        <v>1.3800000000000001</v>
      </c>
      <c r="K109" s="363">
        <f t="shared" si="14"/>
        <v>1.3800000000000001</v>
      </c>
      <c r="L109" s="363">
        <f t="shared" si="14"/>
        <v>1.3800000000000001</v>
      </c>
      <c r="M109" s="363">
        <f t="shared" si="14"/>
        <v>1.3800000000000001</v>
      </c>
      <c r="N109" s="364">
        <f t="shared" si="14"/>
        <v>1.3800000000000001</v>
      </c>
      <c r="O109" s="364">
        <f t="shared" si="14"/>
        <v>1.3800000000000001</v>
      </c>
      <c r="P109" s="364">
        <f t="shared" si="14"/>
        <v>1.3800000000000001</v>
      </c>
      <c r="Q109" s="364">
        <f t="shared" si="14"/>
        <v>1.3800000000000001</v>
      </c>
      <c r="R109" s="364">
        <f t="shared" si="14"/>
        <v>1.3800000000000001</v>
      </c>
    </row>
    <row r="111" spans="1:18">
      <c r="A111"/>
      <c r="B111"/>
      <c r="C111"/>
      <c r="D111"/>
      <c r="E111"/>
      <c r="F111"/>
      <c r="G111"/>
      <c r="H111"/>
      <c r="I111"/>
      <c r="J111"/>
      <c r="K111"/>
      <c r="L111"/>
      <c r="M111"/>
      <c r="N111"/>
      <c r="O111"/>
      <c r="P111"/>
      <c r="Q111"/>
      <c r="R111"/>
    </row>
    <row r="112" spans="1:18">
      <c r="A112"/>
      <c r="B112"/>
      <c r="C112"/>
      <c r="D112"/>
      <c r="E112"/>
      <c r="F112"/>
      <c r="G112"/>
      <c r="H112"/>
      <c r="I112"/>
      <c r="J112"/>
      <c r="K112"/>
      <c r="L112"/>
      <c r="M112"/>
      <c r="N112"/>
      <c r="O112"/>
      <c r="P112"/>
      <c r="Q112"/>
      <c r="R112"/>
    </row>
    <row r="113" spans="1:18">
      <c r="A113"/>
      <c r="B113"/>
      <c r="C113"/>
      <c r="D113"/>
      <c r="E113"/>
      <c r="F113"/>
      <c r="G113"/>
      <c r="H113"/>
      <c r="I113"/>
      <c r="J113"/>
      <c r="K113"/>
      <c r="L113"/>
      <c r="M113"/>
      <c r="N113"/>
      <c r="O113"/>
      <c r="P113"/>
      <c r="Q113"/>
      <c r="R113"/>
    </row>
    <row r="114" spans="1:18">
      <c r="A114"/>
      <c r="B114"/>
      <c r="C114"/>
      <c r="D114"/>
      <c r="E114"/>
      <c r="F114"/>
      <c r="G114"/>
      <c r="H114"/>
      <c r="I114"/>
      <c r="J114"/>
      <c r="K114"/>
      <c r="L114"/>
      <c r="M114"/>
      <c r="N114"/>
      <c r="O114"/>
      <c r="P114"/>
      <c r="Q114"/>
      <c r="R114"/>
    </row>
    <row r="115" spans="1:18">
      <c r="A115"/>
      <c r="B115"/>
      <c r="C115"/>
      <c r="D115"/>
      <c r="E115"/>
      <c r="F115"/>
      <c r="G115"/>
      <c r="H115"/>
      <c r="I115"/>
      <c r="J115"/>
      <c r="K115"/>
      <c r="L115"/>
      <c r="M115"/>
      <c r="N115"/>
      <c r="O115"/>
      <c r="P115"/>
      <c r="Q115"/>
      <c r="R115"/>
    </row>
    <row r="116" spans="1:18">
      <c r="A116"/>
      <c r="B116"/>
      <c r="C116"/>
      <c r="D116"/>
      <c r="E116"/>
      <c r="F116"/>
      <c r="G116"/>
      <c r="H116"/>
      <c r="I116"/>
      <c r="J116"/>
      <c r="K116"/>
      <c r="L116"/>
      <c r="M116"/>
      <c r="N116"/>
      <c r="O116"/>
      <c r="P116"/>
      <c r="Q116"/>
      <c r="R116"/>
    </row>
    <row r="117" spans="1:18">
      <c r="A117"/>
      <c r="B117"/>
      <c r="C117"/>
      <c r="D117"/>
      <c r="E117"/>
      <c r="F117"/>
      <c r="G117"/>
      <c r="H117"/>
      <c r="I117"/>
      <c r="J117"/>
      <c r="K117"/>
      <c r="L117"/>
      <c r="M117"/>
      <c r="N117"/>
      <c r="O117"/>
      <c r="P117"/>
      <c r="Q117"/>
      <c r="R117"/>
    </row>
    <row r="118" spans="1:18">
      <c r="A118"/>
      <c r="B118"/>
      <c r="C118"/>
      <c r="D118"/>
      <c r="E118"/>
      <c r="F118"/>
      <c r="G118"/>
      <c r="H118"/>
      <c r="I118"/>
      <c r="J118"/>
      <c r="K118"/>
      <c r="L118"/>
      <c r="M118"/>
      <c r="N118"/>
      <c r="O118"/>
      <c r="P118"/>
      <c r="Q118"/>
      <c r="R118"/>
    </row>
    <row r="119" spans="1:18">
      <c r="A119"/>
      <c r="B119"/>
      <c r="C119"/>
      <c r="D119"/>
      <c r="E119"/>
      <c r="F119"/>
      <c r="G119"/>
      <c r="H119"/>
      <c r="I119"/>
      <c r="J119"/>
      <c r="K119"/>
      <c r="L119"/>
      <c r="M119"/>
      <c r="N119"/>
      <c r="O119"/>
      <c r="P119"/>
      <c r="Q119"/>
      <c r="R119"/>
    </row>
    <row r="120" spans="1:18">
      <c r="A120"/>
      <c r="B120"/>
      <c r="C120"/>
      <c r="D120"/>
      <c r="E120"/>
      <c r="F120"/>
      <c r="G120"/>
      <c r="H120"/>
      <c r="I120"/>
      <c r="J120"/>
      <c r="K120"/>
      <c r="L120"/>
      <c r="M120"/>
      <c r="N120"/>
      <c r="O120"/>
      <c r="P120"/>
      <c r="Q120"/>
      <c r="R120"/>
    </row>
    <row r="121" spans="1:18">
      <c r="A121"/>
      <c r="B121"/>
      <c r="C121"/>
      <c r="D121"/>
      <c r="E121"/>
      <c r="F121"/>
      <c r="G121"/>
      <c r="H121"/>
      <c r="I121"/>
      <c r="J121"/>
      <c r="K121"/>
      <c r="L121"/>
      <c r="M121"/>
      <c r="N121"/>
      <c r="O121"/>
      <c r="P121"/>
      <c r="Q121"/>
      <c r="R121"/>
    </row>
    <row r="122" spans="1:18">
      <c r="A122"/>
      <c r="B122"/>
      <c r="C122"/>
      <c r="D122"/>
      <c r="E122"/>
      <c r="F122"/>
      <c r="G122"/>
      <c r="H122"/>
      <c r="I122"/>
      <c r="J122"/>
      <c r="K122"/>
      <c r="L122"/>
      <c r="M122"/>
      <c r="N122"/>
      <c r="O122"/>
      <c r="P122"/>
      <c r="Q122"/>
      <c r="R122"/>
    </row>
    <row r="123" spans="1:18">
      <c r="A123"/>
      <c r="B123"/>
      <c r="C123"/>
      <c r="D123"/>
      <c r="E123"/>
      <c r="F123"/>
      <c r="G123"/>
      <c r="H123"/>
      <c r="I123"/>
      <c r="J123"/>
      <c r="K123"/>
      <c r="L123"/>
      <c r="M123"/>
      <c r="N123"/>
      <c r="O123"/>
      <c r="P123"/>
      <c r="Q123"/>
      <c r="R123"/>
    </row>
    <row r="124" spans="1:18">
      <c r="A124"/>
      <c r="B124"/>
      <c r="C124"/>
      <c r="D124"/>
      <c r="E124"/>
      <c r="F124"/>
      <c r="G124"/>
      <c r="H124"/>
      <c r="I124"/>
      <c r="J124"/>
      <c r="K124"/>
      <c r="L124"/>
      <c r="M124"/>
      <c r="N124"/>
      <c r="O124"/>
      <c r="P124"/>
      <c r="Q124"/>
      <c r="R124"/>
    </row>
    <row r="125" spans="1:18">
      <c r="A125"/>
      <c r="B125"/>
      <c r="C125"/>
      <c r="D125"/>
      <c r="E125"/>
      <c r="F125"/>
      <c r="G125"/>
      <c r="H125"/>
      <c r="I125"/>
      <c r="J125"/>
      <c r="K125"/>
      <c r="L125"/>
      <c r="M125"/>
      <c r="N125"/>
      <c r="O125"/>
      <c r="P125"/>
      <c r="Q125"/>
      <c r="R125"/>
    </row>
    <row r="126" spans="1:18">
      <c r="A126"/>
      <c r="B126"/>
      <c r="C126"/>
      <c r="D126"/>
      <c r="E126"/>
      <c r="F126"/>
      <c r="G126"/>
      <c r="H126"/>
      <c r="I126"/>
      <c r="J126"/>
      <c r="K126"/>
      <c r="L126"/>
      <c r="M126"/>
      <c r="N126"/>
      <c r="O126"/>
      <c r="P126"/>
      <c r="Q126"/>
      <c r="R126"/>
    </row>
    <row r="127" spans="1:18">
      <c r="A127"/>
      <c r="B127"/>
      <c r="C127"/>
      <c r="D127"/>
      <c r="E127"/>
      <c r="F127"/>
      <c r="G127"/>
      <c r="H127"/>
      <c r="I127"/>
      <c r="J127"/>
      <c r="K127"/>
      <c r="L127"/>
      <c r="M127"/>
      <c r="N127"/>
      <c r="O127"/>
      <c r="P127"/>
      <c r="Q127"/>
      <c r="R127"/>
    </row>
    <row r="128" spans="1:18">
      <c r="A128"/>
      <c r="B128"/>
      <c r="C128"/>
      <c r="D128"/>
      <c r="E128"/>
      <c r="F128"/>
      <c r="G128"/>
      <c r="H128"/>
      <c r="I128"/>
      <c r="J128"/>
      <c r="K128"/>
      <c r="L128"/>
      <c r="M128"/>
      <c r="N128"/>
      <c r="O128"/>
      <c r="P128"/>
      <c r="Q128"/>
      <c r="R128"/>
    </row>
    <row r="129" spans="1:18">
      <c r="A129"/>
      <c r="B129"/>
      <c r="C129"/>
      <c r="D129"/>
      <c r="E129"/>
      <c r="F129"/>
      <c r="G129"/>
      <c r="H129"/>
      <c r="I129"/>
      <c r="J129"/>
      <c r="K129"/>
      <c r="L129"/>
      <c r="M129"/>
      <c r="N129"/>
      <c r="O129"/>
      <c r="P129"/>
      <c r="Q129"/>
      <c r="R129"/>
    </row>
    <row r="130" spans="1:18">
      <c r="A130"/>
      <c r="B130"/>
      <c r="C130"/>
      <c r="D130"/>
      <c r="E130"/>
      <c r="F130"/>
      <c r="G130"/>
      <c r="H130"/>
      <c r="I130"/>
      <c r="J130"/>
      <c r="K130"/>
      <c r="L130"/>
      <c r="M130"/>
      <c r="N130"/>
      <c r="O130"/>
      <c r="P130"/>
      <c r="Q130"/>
      <c r="R130"/>
    </row>
    <row r="131" spans="1:18">
      <c r="A131"/>
      <c r="B131"/>
      <c r="C131"/>
      <c r="D131"/>
      <c r="E131"/>
      <c r="F131"/>
      <c r="G131"/>
      <c r="H131"/>
      <c r="I131"/>
      <c r="J131"/>
      <c r="K131"/>
      <c r="L131"/>
      <c r="M131"/>
      <c r="N131"/>
      <c r="O131"/>
      <c r="P131"/>
      <c r="Q131"/>
      <c r="R131"/>
    </row>
    <row r="132" spans="1:18">
      <c r="A132"/>
      <c r="B132"/>
      <c r="C132"/>
      <c r="D132"/>
      <c r="E132"/>
      <c r="F132"/>
      <c r="G132"/>
      <c r="H132"/>
      <c r="I132"/>
      <c r="J132"/>
      <c r="K132"/>
      <c r="L132"/>
      <c r="M132"/>
      <c r="N132"/>
      <c r="O132"/>
      <c r="P132"/>
      <c r="Q132"/>
      <c r="R132"/>
    </row>
    <row r="133" spans="1:18">
      <c r="A133"/>
      <c r="B133"/>
      <c r="C133"/>
      <c r="D133"/>
      <c r="E133"/>
      <c r="F133"/>
      <c r="G133"/>
      <c r="H133"/>
      <c r="I133"/>
      <c r="J133"/>
      <c r="K133"/>
      <c r="L133"/>
      <c r="M133"/>
      <c r="N133"/>
      <c r="O133"/>
      <c r="P133"/>
      <c r="Q133"/>
      <c r="R133"/>
    </row>
    <row r="134" spans="1:18">
      <c r="A134"/>
      <c r="B134"/>
      <c r="C134"/>
      <c r="D134"/>
      <c r="E134"/>
      <c r="F134"/>
      <c r="G134"/>
      <c r="H134"/>
      <c r="I134"/>
      <c r="J134"/>
      <c r="K134"/>
      <c r="L134"/>
      <c r="M134"/>
      <c r="N134"/>
      <c r="O134"/>
      <c r="P134"/>
      <c r="Q134"/>
      <c r="R134"/>
    </row>
    <row r="135" spans="1:18">
      <c r="A135"/>
      <c r="B135"/>
      <c r="C135"/>
      <c r="D135"/>
      <c r="E135"/>
      <c r="F135"/>
      <c r="G135"/>
      <c r="H135"/>
      <c r="I135"/>
      <c r="J135"/>
      <c r="K135"/>
      <c r="L135"/>
      <c r="M135"/>
      <c r="N135"/>
      <c r="O135"/>
      <c r="P135"/>
      <c r="Q135"/>
      <c r="R135"/>
    </row>
    <row r="136" spans="1:18">
      <c r="A136"/>
      <c r="B136"/>
      <c r="C136"/>
      <c r="D136"/>
      <c r="E136"/>
      <c r="F136"/>
      <c r="G136"/>
      <c r="H136"/>
      <c r="I136"/>
      <c r="J136"/>
      <c r="K136"/>
      <c r="L136"/>
      <c r="M136"/>
      <c r="N136"/>
      <c r="O136"/>
      <c r="P136"/>
      <c r="Q136"/>
      <c r="R136"/>
    </row>
  </sheetData>
  <sheetProtection formatColumns="0" formatRows="0" insertRows="0" deleteColumns="0" deleteRows="0"/>
  <mergeCells count="1">
    <mergeCell ref="J4:R4"/>
  </mergeCells>
  <phoneticPr fontId="20" type="noConversion"/>
  <conditionalFormatting sqref="D6:D67 F6:G67 J6:R67">
    <cfRule type="expression" dxfId="23" priority="34" stopIfTrue="1">
      <formula>ISERROR(D6)=TRUE</formula>
    </cfRule>
  </conditionalFormatting>
  <conditionalFormatting sqref="C6:C67">
    <cfRule type="expression" dxfId="22" priority="33" stopIfTrue="1">
      <formula>ISERROR(C6)=TRUE</formula>
    </cfRule>
  </conditionalFormatting>
  <conditionalFormatting sqref="E6:E67">
    <cfRule type="expression" dxfId="21" priority="32" stopIfTrue="1">
      <formula>ISERROR(E6)=TRUE</formula>
    </cfRule>
  </conditionalFormatting>
  <conditionalFormatting sqref="H6:I67">
    <cfRule type="expression" dxfId="20" priority="31" stopIfTrue="1">
      <formula>ISERROR(H6)=TRUE</formula>
    </cfRule>
  </conditionalFormatting>
  <conditionalFormatting sqref="B6:B67">
    <cfRule type="expression" dxfId="19" priority="30" stopIfTrue="1">
      <formula>ISERROR(B6)=TRUE</formula>
    </cfRule>
  </conditionalFormatting>
  <conditionalFormatting sqref="D94:D109">
    <cfRule type="expression" dxfId="18" priority="7" stopIfTrue="1">
      <formula>ISERROR(D94)=TRUE</formula>
    </cfRule>
  </conditionalFormatting>
  <conditionalFormatting sqref="F94:F109">
    <cfRule type="expression" dxfId="17" priority="6" stopIfTrue="1">
      <formula>ISERROR(F94)=TRUE</formula>
    </cfRule>
  </conditionalFormatting>
  <conditionalFormatting sqref="G94:G109">
    <cfRule type="expression" dxfId="16" priority="5" stopIfTrue="1">
      <formula>ISERROR(G94)=TRUE</formula>
    </cfRule>
  </conditionalFormatting>
  <conditionalFormatting sqref="J94:R109">
    <cfRule type="expression" dxfId="15" priority="4" stopIfTrue="1">
      <formula>ISERROR(J94)=TRUE</formula>
    </cfRule>
  </conditionalFormatting>
  <conditionalFormatting sqref="D68 F68:G68 J68:R68">
    <cfRule type="expression" dxfId="14" priority="24" stopIfTrue="1">
      <formula>ISERROR(D68)=TRUE</formula>
    </cfRule>
  </conditionalFormatting>
  <conditionalFormatting sqref="C68:C92">
    <cfRule type="expression" dxfId="13" priority="23" stopIfTrue="1">
      <formula>ISERROR(C68)=TRUE</formula>
    </cfRule>
  </conditionalFormatting>
  <conditionalFormatting sqref="E68:E92">
    <cfRule type="expression" dxfId="12" priority="22" stopIfTrue="1">
      <formula>ISERROR(E68)=TRUE</formula>
    </cfRule>
  </conditionalFormatting>
  <conditionalFormatting sqref="H68:I92">
    <cfRule type="expression" dxfId="11" priority="21" stopIfTrue="1">
      <formula>ISERROR(H68)=TRUE</formula>
    </cfRule>
  </conditionalFormatting>
  <conditionalFormatting sqref="B68:B92">
    <cfRule type="expression" dxfId="10" priority="20" stopIfTrue="1">
      <formula>ISERROR(B68)=TRUE</formula>
    </cfRule>
  </conditionalFormatting>
  <conditionalFormatting sqref="D69:D92">
    <cfRule type="expression" dxfId="9" priority="19" stopIfTrue="1">
      <formula>ISERROR(D69)=TRUE</formula>
    </cfRule>
  </conditionalFormatting>
  <conditionalFormatting sqref="F69:F92">
    <cfRule type="expression" dxfId="8" priority="18" stopIfTrue="1">
      <formula>ISERROR(F69)=TRUE</formula>
    </cfRule>
  </conditionalFormatting>
  <conditionalFormatting sqref="G69:G92">
    <cfRule type="expression" dxfId="7" priority="17" stopIfTrue="1">
      <formula>ISERROR(G69)=TRUE</formula>
    </cfRule>
  </conditionalFormatting>
  <conditionalFormatting sqref="J69:R92">
    <cfRule type="expression" dxfId="6" priority="16" stopIfTrue="1">
      <formula>ISERROR(J69)=TRUE</formula>
    </cfRule>
  </conditionalFormatting>
  <conditionalFormatting sqref="C94:C109">
    <cfRule type="expression" dxfId="5" priority="15" stopIfTrue="1">
      <formula>ISERROR(C94)=TRUE</formula>
    </cfRule>
  </conditionalFormatting>
  <conditionalFormatting sqref="E94:E109">
    <cfRule type="expression" dxfId="4" priority="14" stopIfTrue="1">
      <formula>ISERROR(E94)=TRUE</formula>
    </cfRule>
  </conditionalFormatting>
  <conditionalFormatting sqref="H94:I109">
    <cfRule type="expression" dxfId="3" priority="13" stopIfTrue="1">
      <formula>ISERROR(H94)=TRUE</formula>
    </cfRule>
  </conditionalFormatting>
  <conditionalFormatting sqref="B94:B109">
    <cfRule type="expression" dxfId="2" priority="12" stopIfTrue="1">
      <formula>ISERROR(B94)=TRUE</formula>
    </cfRule>
  </conditionalFormatting>
  <printOptions horizontalCentered="1"/>
  <pageMargins left="0.70866141732283472" right="0.70866141732283472" top="0.74803149606299213" bottom="0.74803149606299213" header="0.31496062992125984" footer="0.31496062992125984"/>
  <pageSetup paperSize="9" scale="68" orientation="landscape"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
    <tabColor theme="9" tint="0.59999389629810485"/>
  </sheetPr>
  <dimension ref="A1:O193"/>
  <sheetViews>
    <sheetView showGridLines="0" zoomScaleNormal="100" zoomScaleSheetLayoutView="70" zoomScalePageLayoutView="90" workbookViewId="0">
      <pane xSplit="2" ySplit="3" topLeftCell="C173" activePane="bottomRight" state="frozen"/>
      <selection activeCell="G126" sqref="G126"/>
      <selection pane="topRight" activeCell="G126" sqref="G126"/>
      <selection pane="bottomLeft" activeCell="G126" sqref="G126"/>
      <selection pane="bottomRight" activeCell="B176" sqref="B176"/>
    </sheetView>
  </sheetViews>
  <sheetFormatPr defaultColWidth="8.77734375" defaultRowHeight="15"/>
  <cols>
    <col min="1" max="1" width="5.21875" style="1008" customWidth="1"/>
    <col min="2" max="2" width="45.77734375" style="1008" customWidth="1"/>
    <col min="3" max="6" width="12.109375" style="1008" customWidth="1"/>
    <col min="7" max="7" width="13.77734375" style="1008" customWidth="1"/>
    <col min="8" max="8" width="14.88671875" style="1008" bestFit="1" customWidth="1"/>
    <col min="9" max="11" width="13.77734375" style="1008" customWidth="1"/>
    <col min="12" max="12" width="31.44140625" style="1052" customWidth="1"/>
    <col min="13" max="13" width="13.109375" style="1008" customWidth="1"/>
    <col min="14" max="14" width="13.33203125" style="1008" bestFit="1" customWidth="1"/>
    <col min="15" max="15" width="12.109375" style="1008" bestFit="1" customWidth="1"/>
    <col min="16" max="16384" width="8.77734375" style="1008"/>
  </cols>
  <sheetData>
    <row r="1" spans="1:15">
      <c r="A1" s="1002"/>
      <c r="B1" s="1003" t="s">
        <v>680</v>
      </c>
      <c r="C1" s="1004">
        <v>90.165453463600002</v>
      </c>
      <c r="D1" s="1004">
        <v>80.795113764299998</v>
      </c>
      <c r="E1" s="1004">
        <v>82.668500365100002</v>
      </c>
      <c r="F1" s="1005">
        <f>损益表!F18</f>
        <v>30.636240490199999</v>
      </c>
      <c r="G1" s="1005">
        <f ca="1">损益表!G18</f>
        <v>31.379227543914592</v>
      </c>
      <c r="H1" s="1005">
        <f ca="1">损益表!H18</f>
        <v>33.589492451987503</v>
      </c>
      <c r="I1" s="1005">
        <f ca="1">损益表!I18</f>
        <v>36.550563830357667</v>
      </c>
      <c r="J1" s="1005">
        <f ca="1">损益表!J18</f>
        <v>39.427679361125371</v>
      </c>
      <c r="K1" s="1005">
        <f ca="1">损益表!K18</f>
        <v>42.922562774736512</v>
      </c>
      <c r="L1" s="1006"/>
      <c r="M1" s="1007"/>
    </row>
    <row r="2" spans="1:15" ht="15" customHeight="1">
      <c r="A2" s="1009"/>
      <c r="B2" s="1010"/>
      <c r="C2" s="2494" t="s">
        <v>30</v>
      </c>
      <c r="D2" s="2494"/>
      <c r="E2" s="2494"/>
      <c r="F2" s="2494"/>
      <c r="G2" s="1011" t="s">
        <v>32</v>
      </c>
      <c r="H2" s="1011"/>
      <c r="I2" s="1011"/>
      <c r="J2" s="1011"/>
      <c r="K2" s="1011"/>
      <c r="L2" s="1012" t="s">
        <v>600</v>
      </c>
      <c r="M2" s="1007"/>
    </row>
    <row r="3" spans="1:15" s="1018" customFormat="1" ht="12" customHeight="1">
      <c r="A3" s="1013"/>
      <c r="B3" s="1014" t="s">
        <v>366</v>
      </c>
      <c r="C3" s="1015">
        <f>G3-4</f>
        <v>2014</v>
      </c>
      <c r="D3" s="1015">
        <f>G3-3</f>
        <v>2015</v>
      </c>
      <c r="E3" s="1015">
        <f>G3-2</f>
        <v>2016</v>
      </c>
      <c r="F3" s="1015">
        <f>G3-1</f>
        <v>2017</v>
      </c>
      <c r="G3" s="1016">
        <f>测算年份</f>
        <v>2018</v>
      </c>
      <c r="H3" s="1016">
        <f>测算年份+1</f>
        <v>2019</v>
      </c>
      <c r="I3" s="1016">
        <f>测算年份+2</f>
        <v>2020</v>
      </c>
      <c r="J3" s="1016">
        <f>测算年份+3</f>
        <v>2021</v>
      </c>
      <c r="K3" s="1016">
        <f>测算年份+4</f>
        <v>2022</v>
      </c>
      <c r="L3" s="1017" t="s">
        <v>599</v>
      </c>
      <c r="M3" s="1007"/>
    </row>
    <row r="4" spans="1:15" ht="16.2" thickBot="1">
      <c r="A4" s="1019" t="s">
        <v>367</v>
      </c>
      <c r="B4" s="1020"/>
      <c r="C4" s="1021"/>
      <c r="D4" s="1021"/>
      <c r="E4" s="1021"/>
      <c r="F4" s="1021"/>
      <c r="G4" s="1022">
        <f ca="1">G1-31</f>
        <v>0.37922754391459179</v>
      </c>
      <c r="H4" s="1915"/>
      <c r="I4" s="1915"/>
      <c r="J4" s="1915"/>
      <c r="K4" s="1915"/>
      <c r="L4" s="1023"/>
      <c r="M4" s="1007"/>
    </row>
    <row r="5" spans="1:15" ht="15.6">
      <c r="A5" s="1024"/>
      <c r="B5" s="1025" t="s">
        <v>373</v>
      </c>
      <c r="C5" s="1026"/>
      <c r="D5" s="1026"/>
      <c r="E5" s="1026"/>
      <c r="F5" s="1027"/>
      <c r="G5" s="1028"/>
      <c r="H5" s="1028"/>
      <c r="I5" s="1028"/>
      <c r="J5" s="1028"/>
      <c r="K5" s="1028"/>
      <c r="L5" s="1029"/>
      <c r="M5" s="1007"/>
    </row>
    <row r="6" spans="1:15">
      <c r="A6" s="1030" t="s">
        <v>1010</v>
      </c>
      <c r="B6" s="1031" t="s">
        <v>2020</v>
      </c>
      <c r="C6" s="1749">
        <v>925.41143520999981</v>
      </c>
      <c r="D6" s="1749">
        <v>1155.8841338400002</v>
      </c>
      <c r="E6" s="1749">
        <v>1238.45732843</v>
      </c>
      <c r="F6" s="1749">
        <v>1276.51654693</v>
      </c>
      <c r="G6" s="1624">
        <f>F6*(1+G7)</f>
        <v>1302.6880030127613</v>
      </c>
      <c r="H6" s="1624">
        <f t="shared" ref="H6:K6" si="0">G6*(1+H7)</f>
        <v>1341.7686431031443</v>
      </c>
      <c r="I6" s="1624">
        <f t="shared" si="0"/>
        <v>1375.3128591807229</v>
      </c>
      <c r="J6" s="1624">
        <f t="shared" si="0"/>
        <v>1405.5697420826989</v>
      </c>
      <c r="K6" s="1624">
        <f t="shared" si="0"/>
        <v>1436.4922764085184</v>
      </c>
      <c r="L6" s="1032" t="s">
        <v>1009</v>
      </c>
      <c r="M6" s="1007"/>
      <c r="N6" s="1033"/>
    </row>
    <row r="7" spans="1:15">
      <c r="A7" s="1030"/>
      <c r="B7" s="1305" t="s">
        <v>429</v>
      </c>
      <c r="C7" s="1035"/>
      <c r="D7" s="994">
        <f>D6/C6-1</f>
        <v>0.24904889853419654</v>
      </c>
      <c r="E7" s="994">
        <f>E6/D6-1</f>
        <v>7.1437259300100031E-2</v>
      </c>
      <c r="F7" s="994">
        <f>F6/E6-1</f>
        <v>3.0731150461395407E-2</v>
      </c>
      <c r="G7" s="995">
        <f>IF(动因指标对成果指标影响分析!D6=TRUE,动因指标对成果指标影响分析!E6+动因指标对成果指标影响分析!F6,IF(多维联动分析!$B$4="YES",多维联动分析!D38,G8))</f>
        <v>2.0502245854707724E-2</v>
      </c>
      <c r="H7" s="995">
        <f>H8</f>
        <v>0.03</v>
      </c>
      <c r="I7" s="995">
        <f t="shared" ref="I7:K7" si="1">I8</f>
        <v>2.5000000000000001E-2</v>
      </c>
      <c r="J7" s="995">
        <f t="shared" si="1"/>
        <v>2.1999999999999999E-2</v>
      </c>
      <c r="K7" s="995">
        <f t="shared" si="1"/>
        <v>2.1999999999999999E-2</v>
      </c>
      <c r="L7" s="1036"/>
      <c r="M7" s="1007"/>
      <c r="N7" s="1033"/>
    </row>
    <row r="8" spans="1:15">
      <c r="A8" s="1030"/>
      <c r="B8" s="1037" t="s">
        <v>1458</v>
      </c>
      <c r="C8" s="1035"/>
      <c r="D8" s="994">
        <f>D6/C6-1</f>
        <v>0.24904889853419654</v>
      </c>
      <c r="E8" s="994">
        <f t="shared" ref="E8:F8" si="2">E6/D6-1</f>
        <v>7.1437259300100031E-2</v>
      </c>
      <c r="F8" s="994">
        <f t="shared" si="2"/>
        <v>3.0731150461395407E-2</v>
      </c>
      <c r="G8" s="996">
        <f>关键业绩指标滚动预判!O14/假设!F6-1</f>
        <v>2.0502245854707724E-2</v>
      </c>
      <c r="H8" s="996">
        <v>0.03</v>
      </c>
      <c r="I8" s="996">
        <v>2.5000000000000001E-2</v>
      </c>
      <c r="J8" s="996">
        <v>2.1999999999999999E-2</v>
      </c>
      <c r="K8" s="996">
        <f t="shared" ref="J8:K9" si="3">J8</f>
        <v>2.1999999999999999E-2</v>
      </c>
      <c r="L8" s="1036" t="s">
        <v>601</v>
      </c>
      <c r="M8" s="1007"/>
      <c r="N8" s="1033"/>
    </row>
    <row r="9" spans="1:15">
      <c r="A9" s="1030" t="s">
        <v>1011</v>
      </c>
      <c r="B9" s="1997" t="s">
        <v>83</v>
      </c>
      <c r="C9" s="1616">
        <f>(C11-C6)/C11</f>
        <v>0.15646495366814267</v>
      </c>
      <c r="D9" s="1616">
        <f>(D11-D6)/D11</f>
        <v>5.3703313893101359E-2</v>
      </c>
      <c r="E9" s="1616">
        <f>(E11-E6)/E11</f>
        <v>0.10053857581401957</v>
      </c>
      <c r="F9" s="1616">
        <f>(F11-F6)/F11</f>
        <v>9.6569619854962735E-2</v>
      </c>
      <c r="G9" s="1994">
        <f>IF(多维联动分析!B4="YES",多维联动分析!D43,假设!G10)</f>
        <v>5.6599999999999998E-2</v>
      </c>
      <c r="H9" s="1994">
        <f>G10</f>
        <v>5.6599999999999998E-2</v>
      </c>
      <c r="I9" s="1994">
        <f>H9</f>
        <v>5.6599999999999998E-2</v>
      </c>
      <c r="J9" s="1994">
        <f t="shared" si="3"/>
        <v>5.6599999999999998E-2</v>
      </c>
      <c r="K9" s="1994">
        <f t="shared" si="3"/>
        <v>5.6599999999999998E-2</v>
      </c>
      <c r="L9" s="1036" t="s">
        <v>601</v>
      </c>
      <c r="M9" s="1007"/>
      <c r="N9" s="1033"/>
      <c r="O9" s="1039"/>
    </row>
    <row r="10" spans="1:15">
      <c r="B10" s="1038" t="s">
        <v>2248</v>
      </c>
      <c r="G10" s="1993">
        <v>5.6599999999999998E-2</v>
      </c>
    </row>
    <row r="11" spans="1:15">
      <c r="A11" s="1030"/>
      <c r="B11" s="1038" t="s">
        <v>2430</v>
      </c>
      <c r="C11" s="1750">
        <v>1097.0634109800001</v>
      </c>
      <c r="D11" s="1750">
        <v>1221.4817517699998</v>
      </c>
      <c r="E11" s="1750">
        <v>1376.8876520200001</v>
      </c>
      <c r="F11" s="1750">
        <v>1412.9661509999999</v>
      </c>
      <c r="G11" s="2100">
        <f>关键参数底稿!A128/(1-G9)+G13</f>
        <v>1431.1214755140977</v>
      </c>
      <c r="H11" s="1750">
        <f>G11*(1+H7)+H13</f>
        <v>1474.0551197795207</v>
      </c>
      <c r="I11" s="1750">
        <f t="shared" ref="I11:K11" si="4">H11*(1+I7)+I13</f>
        <v>1510.9064977740086</v>
      </c>
      <c r="J11" s="1750">
        <f t="shared" si="4"/>
        <v>1544.1464407250369</v>
      </c>
      <c r="K11" s="1750">
        <f t="shared" si="4"/>
        <v>1578.1176624209877</v>
      </c>
      <c r="L11" s="1036" t="s">
        <v>792</v>
      </c>
      <c r="M11" s="1007"/>
    </row>
    <row r="12" spans="1:15">
      <c r="A12" s="1030" t="s">
        <v>2205</v>
      </c>
      <c r="B12" s="1037" t="s">
        <v>593</v>
      </c>
      <c r="C12" s="1040"/>
      <c r="D12" s="1040"/>
      <c r="E12" s="1040"/>
      <c r="F12" s="1040"/>
      <c r="G12" s="997">
        <f>G11/F11-1</f>
        <v>1.2849086654516562E-2</v>
      </c>
      <c r="H12" s="997"/>
      <c r="I12" s="997"/>
      <c r="J12" s="997"/>
      <c r="K12" s="997"/>
      <c r="L12" s="1041" t="s">
        <v>2433</v>
      </c>
      <c r="M12" s="1007"/>
    </row>
    <row r="13" spans="1:15" s="1018" customFormat="1">
      <c r="A13" s="1030"/>
      <c r="B13" s="1034" t="s">
        <v>2431</v>
      </c>
      <c r="C13" s="1040"/>
      <c r="D13" s="1040"/>
      <c r="E13" s="1040"/>
      <c r="F13" s="1040"/>
      <c r="G13" s="2388">
        <f>动态展示!C5</f>
        <v>0</v>
      </c>
      <c r="H13" s="2388"/>
      <c r="I13" s="2388"/>
      <c r="J13" s="2388"/>
      <c r="K13" s="2388"/>
      <c r="L13" s="1041" t="s">
        <v>2432</v>
      </c>
      <c r="M13" s="1007"/>
    </row>
    <row r="14" spans="1:15">
      <c r="A14" s="1030"/>
      <c r="B14" s="1997" t="s">
        <v>368</v>
      </c>
      <c r="C14" s="2391">
        <v>668.05073728364425</v>
      </c>
      <c r="D14" s="2391">
        <v>657.25975294761315</v>
      </c>
      <c r="E14" s="2391">
        <v>634.72994240125468</v>
      </c>
      <c r="F14" s="2391">
        <v>627.36876949462135</v>
      </c>
      <c r="G14" s="1995">
        <f>(G18*G11+G20*G6)/G6+多维联动分析!H35+G16</f>
        <v>639.78462534290338</v>
      </c>
      <c r="H14" s="1995">
        <f>H15+H16</f>
        <v>639.78462534290338</v>
      </c>
      <c r="I14" s="1995">
        <f t="shared" ref="I14:K14" si="5">I15+I16</f>
        <v>639.78462534290338</v>
      </c>
      <c r="J14" s="1995">
        <f t="shared" si="5"/>
        <v>639.78462534290338</v>
      </c>
      <c r="K14" s="1995">
        <f t="shared" si="5"/>
        <v>639.78462534290338</v>
      </c>
      <c r="L14" s="1036" t="s">
        <v>793</v>
      </c>
      <c r="M14" s="1007"/>
    </row>
    <row r="15" spans="1:15" s="1018" customFormat="1">
      <c r="A15" s="1030"/>
      <c r="B15" s="1043" t="s">
        <v>368</v>
      </c>
      <c r="C15" s="2392"/>
      <c r="D15" s="2392"/>
      <c r="E15" s="2392"/>
      <c r="F15" s="2392"/>
      <c r="G15" s="2393">
        <v>639.78462534290338</v>
      </c>
      <c r="H15" s="2393">
        <v>639.78462534290338</v>
      </c>
      <c r="I15" s="2393">
        <v>639.78462534290338</v>
      </c>
      <c r="J15" s="2393">
        <v>639.78462534290338</v>
      </c>
      <c r="K15" s="2393">
        <v>639.78462534290338</v>
      </c>
      <c r="L15" s="1036" t="s">
        <v>2436</v>
      </c>
      <c r="M15" s="1007"/>
    </row>
    <row r="16" spans="1:15" s="1018" customFormat="1">
      <c r="A16" s="1030"/>
      <c r="B16" s="1043" t="s">
        <v>2437</v>
      </c>
      <c r="C16" s="2392"/>
      <c r="D16" s="2392"/>
      <c r="E16" s="2392"/>
      <c r="F16" s="2392"/>
      <c r="G16" s="2393">
        <f>动态展示!C4</f>
        <v>0</v>
      </c>
      <c r="H16" s="2393"/>
      <c r="I16" s="2393"/>
      <c r="J16" s="2393"/>
      <c r="K16" s="2393"/>
      <c r="L16" s="1036"/>
      <c r="M16" s="1007"/>
    </row>
    <row r="17" spans="1:13">
      <c r="A17" s="1030" t="s">
        <v>1011</v>
      </c>
      <c r="B17" s="1997" t="s">
        <v>369</v>
      </c>
      <c r="C17" s="2394">
        <v>412.98868085161951</v>
      </c>
      <c r="D17" s="2394">
        <v>403.1223159065533</v>
      </c>
      <c r="E17" s="2394">
        <v>380.11006131712764</v>
      </c>
      <c r="F17" s="2394">
        <v>382.2879038185668</v>
      </c>
      <c r="G17" s="2394">
        <f>IF(多维联动分析!B4="YES",多维联动分析!D36,假设!G18+G19)</f>
        <v>382.84</v>
      </c>
      <c r="H17" s="2394">
        <v>382.84</v>
      </c>
      <c r="I17" s="2394">
        <v>382.84</v>
      </c>
      <c r="J17" s="2394">
        <v>382.84</v>
      </c>
      <c r="K17" s="2394">
        <v>382.84</v>
      </c>
      <c r="L17" s="1042" t="s">
        <v>721</v>
      </c>
      <c r="M17" s="1007"/>
    </row>
    <row r="18" spans="1:13">
      <c r="A18" s="1030"/>
      <c r="B18" s="1038" t="s">
        <v>2249</v>
      </c>
      <c r="C18" s="1751"/>
      <c r="D18" s="1751"/>
      <c r="E18" s="1751"/>
      <c r="F18" s="1751"/>
      <c r="G18" s="1751">
        <v>382.84</v>
      </c>
      <c r="H18" s="1751">
        <v>382.84</v>
      </c>
      <c r="I18" s="1751">
        <v>382.84</v>
      </c>
      <c r="J18" s="1751">
        <v>382.84</v>
      </c>
      <c r="K18" s="1751">
        <v>382.84</v>
      </c>
      <c r="L18" s="1042"/>
      <c r="M18" s="1007"/>
    </row>
    <row r="19" spans="1:13" s="1018" customFormat="1">
      <c r="A19" s="1030"/>
      <c r="B19" s="1043" t="s">
        <v>2435</v>
      </c>
      <c r="C19" s="1751"/>
      <c r="D19" s="1751"/>
      <c r="E19" s="1751"/>
      <c r="F19" s="1751"/>
      <c r="G19" s="1751">
        <f>动态展示!C6</f>
        <v>0</v>
      </c>
      <c r="H19" s="1751"/>
      <c r="I19" s="1751"/>
      <c r="J19" s="1751"/>
      <c r="K19" s="1751"/>
      <c r="L19" s="1036" t="s">
        <v>2436</v>
      </c>
      <c r="M19" s="1007"/>
    </row>
    <row r="20" spans="1:13">
      <c r="A20" s="1030" t="s">
        <v>1011</v>
      </c>
      <c r="B20" s="1997" t="s">
        <v>370</v>
      </c>
      <c r="C20" s="2394">
        <v>210.222222222222</v>
      </c>
      <c r="D20" s="2394">
        <v>215.70940170940199</v>
      </c>
      <c r="E20" s="2394">
        <v>215.4</v>
      </c>
      <c r="F20" s="2394">
        <v>219.873211409421</v>
      </c>
      <c r="G20" s="2394">
        <f>IF(动因指标对成果指标影响分析!D7=TRUE,动因指标对成果指标影响分析!E7+动因指标对成果指标影响分析!F7,IF(OR(多维联动分析!$B$4="YES",投资能力规划!$C$74="YES"),多维联动分析!D37,IF(OR(投资能力规划!$C$26="YES",投资能力规划!$C$50="YES"),输配电价测算模型!$C$48,G21+G22)))</f>
        <v>219.2</v>
      </c>
      <c r="H20" s="2394">
        <f>H21</f>
        <v>219.2</v>
      </c>
      <c r="I20" s="2394">
        <f t="shared" ref="I20:K20" si="6">I21</f>
        <v>219.2</v>
      </c>
      <c r="J20" s="2394">
        <f t="shared" si="6"/>
        <v>219.2</v>
      </c>
      <c r="K20" s="2394">
        <f t="shared" si="6"/>
        <v>219.2</v>
      </c>
      <c r="L20" s="1042"/>
      <c r="M20" s="1007"/>
    </row>
    <row r="21" spans="1:13">
      <c r="A21" s="1030"/>
      <c r="B21" s="1997" t="s">
        <v>370</v>
      </c>
      <c r="C21" s="1751">
        <v>210.222222222222</v>
      </c>
      <c r="D21" s="1751">
        <v>215.70940170940199</v>
      </c>
      <c r="E21" s="1751">
        <v>215.4</v>
      </c>
      <c r="F21" s="1751">
        <v>219.873211409421</v>
      </c>
      <c r="G21" s="1996">
        <v>219.2</v>
      </c>
      <c r="H21" s="1996">
        <f>G21</f>
        <v>219.2</v>
      </c>
      <c r="I21" s="1996">
        <f t="shared" ref="I21:K21" si="7">H21</f>
        <v>219.2</v>
      </c>
      <c r="J21" s="1996">
        <f t="shared" si="7"/>
        <v>219.2</v>
      </c>
      <c r="K21" s="1996">
        <f t="shared" si="7"/>
        <v>219.2</v>
      </c>
      <c r="L21" s="1042" t="s">
        <v>721</v>
      </c>
      <c r="M21" s="1007"/>
    </row>
    <row r="22" spans="1:13" s="1018" customFormat="1">
      <c r="A22" s="1030"/>
      <c r="B22" s="1043" t="s">
        <v>2434</v>
      </c>
      <c r="C22" s="1049"/>
      <c r="D22" s="1050"/>
      <c r="E22" s="1050"/>
      <c r="F22" s="1051"/>
      <c r="G22" s="2395">
        <f>动态展示!C7</f>
        <v>0</v>
      </c>
      <c r="H22" s="2396"/>
      <c r="I22" s="2396"/>
      <c r="J22" s="2396"/>
      <c r="K22" s="2396"/>
      <c r="L22" s="1036" t="s">
        <v>2436</v>
      </c>
      <c r="M22" s="1007"/>
    </row>
    <row r="23" spans="1:13" hidden="1">
      <c r="A23" s="1030"/>
      <c r="B23" s="1038" t="s">
        <v>1201</v>
      </c>
      <c r="C23" s="1044"/>
      <c r="D23" s="1044"/>
      <c r="E23" s="1044"/>
      <c r="F23" s="1625">
        <v>0.40544999999999998</v>
      </c>
      <c r="G23" s="1045">
        <f>F23*(1+G7)</f>
        <v>0.41376263558179122</v>
      </c>
      <c r="H23" s="1045"/>
      <c r="I23" s="1045"/>
      <c r="J23" s="1045"/>
      <c r="K23" s="1045"/>
      <c r="L23" s="1046" t="s">
        <v>1202</v>
      </c>
      <c r="M23" s="1007"/>
    </row>
    <row r="24" spans="1:13" hidden="1">
      <c r="A24" s="1030"/>
      <c r="B24" s="1038" t="s">
        <v>584</v>
      </c>
      <c r="C24" s="1047">
        <f>VLOOKUP($B24,关键参数底稿!$B$1:$P$31,假设!C$3-2010,FALSE)</f>
        <v>2.7890999999999999</v>
      </c>
      <c r="D24" s="1047">
        <f>VLOOKUP($B24,关键参数底稿!$B$1:$P$31,假设!D$3-2010,FALSE)</f>
        <v>2.4489999999999998</v>
      </c>
      <c r="E24" s="1047">
        <f>VLOOKUP($B24,关键参数底稿!$B$1:$P$31,假设!E$3-2010,FALSE)</f>
        <v>3.056954588</v>
      </c>
      <c r="F24" s="1047">
        <f>VLOOKUP($B24,关键参数底稿!$B$1:$P$31,假设!F$3-2010,FALSE)</f>
        <v>3.8143012479</v>
      </c>
      <c r="G24" s="1048">
        <f>F24*(1+G25)</f>
        <v>3.8633115351606979</v>
      </c>
      <c r="H24" s="1048"/>
      <c r="I24" s="1048"/>
      <c r="J24" s="1048"/>
      <c r="K24" s="1048"/>
      <c r="L24" s="1042" t="s">
        <v>1200</v>
      </c>
      <c r="M24" s="1007"/>
    </row>
    <row r="25" spans="1:13" hidden="1">
      <c r="A25" s="1030" t="s">
        <v>1011</v>
      </c>
      <c r="B25" s="1037" t="s">
        <v>371</v>
      </c>
      <c r="C25" s="1049"/>
      <c r="D25" s="1050"/>
      <c r="E25" s="1050"/>
      <c r="F25" s="1051"/>
      <c r="G25" s="998">
        <f>G12</f>
        <v>1.2849086654516562E-2</v>
      </c>
      <c r="H25" s="998"/>
      <c r="I25" s="998"/>
      <c r="J25" s="998"/>
      <c r="K25" s="998"/>
      <c r="L25" s="1036" t="s">
        <v>802</v>
      </c>
      <c r="M25" s="1007"/>
    </row>
    <row r="26" spans="1:13" ht="15.6">
      <c r="A26" s="1030"/>
      <c r="B26" s="1752" t="s">
        <v>1978</v>
      </c>
      <c r="C26" s="1049"/>
      <c r="D26" s="1050"/>
      <c r="E26" s="1050"/>
      <c r="F26" s="1051"/>
      <c r="G26" s="1756">
        <f>G27*G28/1000</f>
        <v>16.268952000000002</v>
      </c>
      <c r="H26" s="1756">
        <f t="shared" ref="H26:K26" si="8">H27*H28/1000</f>
        <v>16.757020560000001</v>
      </c>
      <c r="I26" s="1756">
        <f t="shared" si="8"/>
        <v>17.175946073999999</v>
      </c>
      <c r="J26" s="1756">
        <f t="shared" si="8"/>
        <v>17.553816887627999</v>
      </c>
      <c r="K26" s="1756">
        <f t="shared" si="8"/>
        <v>17.94000085915582</v>
      </c>
      <c r="L26" s="1036"/>
      <c r="M26" s="1007"/>
    </row>
    <row r="27" spans="1:13">
      <c r="A27" s="1030"/>
      <c r="B27" s="1753" t="s">
        <v>1150</v>
      </c>
      <c r="G27" s="1754">
        <v>50.12</v>
      </c>
      <c r="H27" s="2012">
        <f>G27*(1+H7)</f>
        <v>51.623599999999996</v>
      </c>
      <c r="I27" s="2012">
        <f>H27*(1+I7)</f>
        <v>52.914189999999991</v>
      </c>
      <c r="J27" s="2012">
        <f>I27*(1+J7)</f>
        <v>54.078302179999994</v>
      </c>
      <c r="K27" s="2012">
        <f>J27*(1+K7)</f>
        <v>55.268024827959998</v>
      </c>
      <c r="M27" s="1007"/>
    </row>
    <row r="28" spans="1:13">
      <c r="A28" s="1030"/>
      <c r="B28" s="1753" t="s">
        <v>1979</v>
      </c>
      <c r="C28" s="1044"/>
      <c r="D28" s="1044"/>
      <c r="E28" s="1044"/>
      <c r="F28" s="1044"/>
      <c r="G28" s="1755">
        <v>324.60000000000002</v>
      </c>
      <c r="H28" s="1755">
        <f>G28</f>
        <v>324.60000000000002</v>
      </c>
      <c r="I28" s="1755">
        <f t="shared" ref="I28:K28" si="9">H28</f>
        <v>324.60000000000002</v>
      </c>
      <c r="J28" s="1755">
        <f t="shared" si="9"/>
        <v>324.60000000000002</v>
      </c>
      <c r="K28" s="1755">
        <f t="shared" si="9"/>
        <v>324.60000000000002</v>
      </c>
      <c r="L28" s="1036"/>
      <c r="M28" s="1007"/>
    </row>
    <row r="29" spans="1:13">
      <c r="A29" s="1030"/>
      <c r="B29" s="1038" t="s">
        <v>2194</v>
      </c>
      <c r="C29" s="1044"/>
      <c r="D29" s="1044"/>
      <c r="E29" s="1044"/>
      <c r="F29" s="1044"/>
      <c r="G29" s="1879">
        <v>1.9049759999999998</v>
      </c>
      <c r="H29" s="1879">
        <f>G29</f>
        <v>1.9049759999999998</v>
      </c>
      <c r="I29" s="1879">
        <f t="shared" ref="I29:K29" si="10">H29</f>
        <v>1.9049759999999998</v>
      </c>
      <c r="J29" s="1879">
        <f t="shared" si="10"/>
        <v>1.9049759999999998</v>
      </c>
      <c r="K29" s="1879">
        <f t="shared" si="10"/>
        <v>1.9049759999999998</v>
      </c>
      <c r="L29" s="1036"/>
      <c r="M29" s="1007"/>
    </row>
    <row r="30" spans="1:13">
      <c r="A30" s="1030"/>
      <c r="B30" s="1038" t="s">
        <v>2195</v>
      </c>
      <c r="C30" s="1044"/>
      <c r="D30" s="1044"/>
      <c r="E30" s="1044"/>
      <c r="F30" s="1044"/>
      <c r="G30" s="1879">
        <v>3.7</v>
      </c>
      <c r="H30" s="1879">
        <f t="shared" ref="H30:K37" si="11">G30</f>
        <v>3.7</v>
      </c>
      <c r="I30" s="1879">
        <f t="shared" si="11"/>
        <v>3.7</v>
      </c>
      <c r="J30" s="1879">
        <f t="shared" si="11"/>
        <v>3.7</v>
      </c>
      <c r="K30" s="1879">
        <f t="shared" si="11"/>
        <v>3.7</v>
      </c>
      <c r="L30" s="1036"/>
      <c r="M30" s="1007"/>
    </row>
    <row r="31" spans="1:13">
      <c r="A31" s="1030"/>
      <c r="B31" s="1038" t="s">
        <v>2196</v>
      </c>
      <c r="C31" s="1044"/>
      <c r="D31" s="1044"/>
      <c r="E31" s="1044"/>
      <c r="F31" s="1044"/>
      <c r="G31" s="1879">
        <v>0.17230000000000001</v>
      </c>
      <c r="H31" s="1879">
        <f t="shared" si="11"/>
        <v>0.17230000000000001</v>
      </c>
      <c r="I31" s="1879">
        <f t="shared" si="11"/>
        <v>0.17230000000000001</v>
      </c>
      <c r="J31" s="1879">
        <f t="shared" si="11"/>
        <v>0.17230000000000001</v>
      </c>
      <c r="K31" s="1879">
        <f t="shared" si="11"/>
        <v>0.17230000000000001</v>
      </c>
      <c r="L31" s="1036"/>
      <c r="M31" s="1007"/>
    </row>
    <row r="32" spans="1:13">
      <c r="A32" s="1030"/>
      <c r="B32" s="1038" t="s">
        <v>2197</v>
      </c>
      <c r="C32" s="1044"/>
      <c r="D32" s="1044"/>
      <c r="E32" s="1044"/>
      <c r="F32" s="1044"/>
      <c r="G32" s="1879">
        <v>1.6882599999999999</v>
      </c>
      <c r="H32" s="1879">
        <f t="shared" si="11"/>
        <v>1.6882599999999999</v>
      </c>
      <c r="I32" s="1879">
        <f t="shared" si="11"/>
        <v>1.6882599999999999</v>
      </c>
      <c r="J32" s="1879">
        <f t="shared" si="11"/>
        <v>1.6882599999999999</v>
      </c>
      <c r="K32" s="1879">
        <f t="shared" si="11"/>
        <v>1.6882599999999999</v>
      </c>
      <c r="L32" s="1036"/>
      <c r="M32" s="1007"/>
    </row>
    <row r="33" spans="1:13">
      <c r="A33" s="1030"/>
      <c r="B33" s="1038" t="s">
        <v>2198</v>
      </c>
      <c r="C33" s="1044"/>
      <c r="D33" s="1044"/>
      <c r="E33" s="1044"/>
      <c r="F33" s="1044"/>
      <c r="G33" s="1879">
        <v>1.236828</v>
      </c>
      <c r="H33" s="1879">
        <f t="shared" si="11"/>
        <v>1.236828</v>
      </c>
      <c r="I33" s="1879">
        <f t="shared" si="11"/>
        <v>1.236828</v>
      </c>
      <c r="J33" s="1879">
        <f t="shared" si="11"/>
        <v>1.236828</v>
      </c>
      <c r="K33" s="1879">
        <f t="shared" si="11"/>
        <v>1.236828</v>
      </c>
      <c r="L33" s="1036"/>
      <c r="M33" s="1007"/>
    </row>
    <row r="34" spans="1:13">
      <c r="A34" s="1030"/>
      <c r="B34" s="1038" t="s">
        <v>2199</v>
      </c>
      <c r="C34" s="1044"/>
      <c r="D34" s="1044"/>
      <c r="E34" s="1044"/>
      <c r="F34" s="1044"/>
      <c r="G34" s="1879">
        <v>0</v>
      </c>
      <c r="H34" s="1879">
        <f t="shared" si="11"/>
        <v>0</v>
      </c>
      <c r="I34" s="1879">
        <f t="shared" si="11"/>
        <v>0</v>
      </c>
      <c r="J34" s="1879">
        <f t="shared" si="11"/>
        <v>0</v>
      </c>
      <c r="K34" s="1879">
        <f t="shared" si="11"/>
        <v>0</v>
      </c>
      <c r="L34" s="1036"/>
      <c r="M34" s="1007"/>
    </row>
    <row r="35" spans="1:13">
      <c r="A35" s="1030"/>
      <c r="B35" s="1038" t="s">
        <v>2200</v>
      </c>
      <c r="C35" s="1044"/>
      <c r="D35" s="1044"/>
      <c r="E35" s="1044"/>
      <c r="F35" s="1044"/>
      <c r="G35" s="1879">
        <v>0.40544999999999998</v>
      </c>
      <c r="H35" s="1879">
        <f t="shared" si="11"/>
        <v>0.40544999999999998</v>
      </c>
      <c r="I35" s="1879">
        <f t="shared" si="11"/>
        <v>0.40544999999999998</v>
      </c>
      <c r="J35" s="1879">
        <f t="shared" si="11"/>
        <v>0.40544999999999998</v>
      </c>
      <c r="K35" s="1879">
        <f t="shared" si="11"/>
        <v>0.40544999999999998</v>
      </c>
      <c r="L35" s="1036"/>
      <c r="M35" s="1007"/>
    </row>
    <row r="36" spans="1:13">
      <c r="A36" s="1030"/>
      <c r="B36" s="1038" t="s">
        <v>2201</v>
      </c>
      <c r="C36" s="1044"/>
      <c r="D36" s="1044"/>
      <c r="E36" s="1044"/>
      <c r="F36" s="1044"/>
      <c r="G36" s="1879">
        <v>25.582100000000001</v>
      </c>
      <c r="H36" s="1879">
        <f t="shared" si="11"/>
        <v>25.582100000000001</v>
      </c>
      <c r="I36" s="1879">
        <f t="shared" si="11"/>
        <v>25.582100000000001</v>
      </c>
      <c r="J36" s="1879">
        <f t="shared" si="11"/>
        <v>25.582100000000001</v>
      </c>
      <c r="K36" s="1879">
        <f t="shared" si="11"/>
        <v>25.582100000000001</v>
      </c>
      <c r="L36" s="1036"/>
      <c r="M36" s="1007"/>
    </row>
    <row r="37" spans="1:13">
      <c r="A37" s="1030"/>
      <c r="B37" s="1038" t="s">
        <v>2202</v>
      </c>
      <c r="C37" s="1053">
        <f>VLOOKUP("其他业务收入",关键参数底稿!$B$3:$Q$62,实际收入!C$3-2010,FALSE)</f>
        <v>4.3324386722000003</v>
      </c>
      <c r="D37" s="1053">
        <f>VLOOKUP("其他业务收入",关键参数底稿!$B$3:$Q$62,实际收入!D$3-2010,FALSE)</f>
        <v>3.3312414867000002</v>
      </c>
      <c r="E37" s="1053">
        <f>VLOOKUP("其他业务收入",关键参数底稿!$B$3:$Q$62,实际收入!E$3-2010,FALSE)</f>
        <v>4.5917364144999997</v>
      </c>
      <c r="F37" s="1053">
        <f>VLOOKUP("其他业务收入",关键参数底稿!$B$3:$Q$62,实际收入!F$3-2010,FALSE)</f>
        <v>5.4147324453999994</v>
      </c>
      <c r="G37" s="1879">
        <v>5.8566219999999998</v>
      </c>
      <c r="H37" s="1879">
        <f t="shared" si="11"/>
        <v>5.8566219999999998</v>
      </c>
      <c r="I37" s="1879">
        <f t="shared" si="11"/>
        <v>5.8566219999999998</v>
      </c>
      <c r="J37" s="1879">
        <f t="shared" si="11"/>
        <v>5.8566219999999998</v>
      </c>
      <c r="K37" s="1879">
        <f t="shared" si="11"/>
        <v>5.8566219999999998</v>
      </c>
      <c r="L37" s="1036" t="s">
        <v>801</v>
      </c>
      <c r="M37" s="1007"/>
    </row>
    <row r="38" spans="1:13">
      <c r="A38" s="1030"/>
      <c r="B38" s="1054"/>
      <c r="C38" s="1055"/>
      <c r="D38" s="1055"/>
      <c r="E38" s="1055"/>
      <c r="F38" s="1056"/>
      <c r="G38" s="1057"/>
      <c r="H38" s="1057"/>
      <c r="I38" s="1057"/>
      <c r="J38" s="1057"/>
      <c r="K38" s="1057"/>
      <c r="L38" s="1058"/>
      <c r="M38" s="1007"/>
    </row>
    <row r="39" spans="1:13" ht="15.6">
      <c r="A39" s="1024"/>
      <c r="B39" s="1059" t="s">
        <v>374</v>
      </c>
      <c r="C39" s="1060"/>
      <c r="D39" s="1060"/>
      <c r="E39" s="1060"/>
      <c r="F39" s="1060"/>
      <c r="G39" s="1061"/>
      <c r="H39" s="1916"/>
      <c r="I39" s="1916"/>
      <c r="J39" s="1916"/>
      <c r="K39" s="1916"/>
      <c r="L39" s="1062"/>
      <c r="M39" s="1007"/>
    </row>
    <row r="40" spans="1:13" ht="15.6">
      <c r="A40" s="1024"/>
      <c r="B40" s="1063" t="s">
        <v>582</v>
      </c>
      <c r="C40" s="1055"/>
      <c r="D40" s="1055"/>
      <c r="E40" s="1055"/>
      <c r="F40" s="1056"/>
      <c r="G40" s="1064"/>
      <c r="H40" s="1064"/>
      <c r="I40" s="1064"/>
      <c r="J40" s="1064"/>
      <c r="K40" s="1064"/>
      <c r="L40" s="1058"/>
      <c r="M40" s="1007"/>
    </row>
    <row r="41" spans="1:13" s="1066" customFormat="1">
      <c r="A41" s="1065"/>
      <c r="B41" s="1997" t="s">
        <v>1028</v>
      </c>
      <c r="C41" s="999"/>
      <c r="D41" s="999"/>
      <c r="E41" s="999">
        <f>E42/D42-1</f>
        <v>7.4800052896666802E-2</v>
      </c>
      <c r="F41" s="999">
        <f>F42/E42-1</f>
        <v>0.24801513769640016</v>
      </c>
      <c r="G41" s="2001">
        <f>IF(多维联动分析!B4="YES",多维联动分析!D40,假设!G42)</f>
        <v>25.119</v>
      </c>
      <c r="H41" s="2000">
        <f>H42</f>
        <v>25.746974999999999</v>
      </c>
      <c r="I41" s="2000">
        <f t="shared" ref="I41:K41" si="12">I42</f>
        <v>26.390649374999995</v>
      </c>
      <c r="J41" s="2000">
        <f t="shared" si="12"/>
        <v>27.050415609374994</v>
      </c>
      <c r="K41" s="2000">
        <f t="shared" si="12"/>
        <v>27.726675999609366</v>
      </c>
      <c r="L41" s="1036"/>
      <c r="M41" s="1007"/>
    </row>
    <row r="42" spans="1:13" s="1066" customFormat="1">
      <c r="A42" s="1065"/>
      <c r="B42" s="1038" t="s">
        <v>1028</v>
      </c>
      <c r="C42" s="999"/>
      <c r="D42" s="2005">
        <v>18.2294412209</v>
      </c>
      <c r="E42" s="2005">
        <v>19.593004388499999</v>
      </c>
      <c r="F42" s="2005">
        <v>24.4523660698</v>
      </c>
      <c r="G42" s="2000">
        <f>关键业绩指标滚动预判!O19</f>
        <v>25.119</v>
      </c>
      <c r="H42" s="2064">
        <f>G42*(1+2.5%)</f>
        <v>25.746974999999999</v>
      </c>
      <c r="I42" s="2064">
        <f t="shared" ref="I42:K42" si="13">H42*(1+2.5%)</f>
        <v>26.390649374999995</v>
      </c>
      <c r="J42" s="2064">
        <f t="shared" si="13"/>
        <v>27.050415609374994</v>
      </c>
      <c r="K42" s="2064">
        <f t="shared" si="13"/>
        <v>27.726675999609366</v>
      </c>
      <c r="L42" s="1036" t="s">
        <v>601</v>
      </c>
      <c r="M42" s="1007"/>
    </row>
    <row r="43" spans="1:13" s="1066" customFormat="1">
      <c r="A43" s="1065"/>
      <c r="B43" s="1997" t="s">
        <v>585</v>
      </c>
      <c r="C43" s="999"/>
      <c r="D43" s="999"/>
      <c r="E43" s="999"/>
      <c r="F43" s="999"/>
      <c r="G43" s="1628">
        <f>关键业绩指标滚动预判!O20</f>
        <v>30.054272150000003</v>
      </c>
      <c r="H43" s="1628">
        <f>G43*(1+H44)</f>
        <v>31.411709940364826</v>
      </c>
      <c r="I43" s="1628">
        <f t="shared" ref="I43:K43" si="14">H43*(1+I44)</f>
        <v>32.830458061105112</v>
      </c>
      <c r="J43" s="1628">
        <f t="shared" si="14"/>
        <v>34.313285667932767</v>
      </c>
      <c r="K43" s="1628">
        <f t="shared" si="14"/>
        <v>35.863086988848657</v>
      </c>
      <c r="L43" s="1036"/>
      <c r="M43" s="1007"/>
    </row>
    <row r="44" spans="1:13" s="1066" customFormat="1">
      <c r="A44" s="1065"/>
      <c r="B44" s="1037" t="s">
        <v>2227</v>
      </c>
      <c r="C44" s="999"/>
      <c r="D44" s="999"/>
      <c r="E44" s="1804">
        <f>关键参数底稿!G38</f>
        <v>1.5687096265732059E-2</v>
      </c>
      <c r="F44" s="1804">
        <f>关键参数底稿!H38</f>
        <v>7.4645338576801334E-2</v>
      </c>
      <c r="G44" s="1882">
        <f>AVERAGE(E44:F44)</f>
        <v>4.5166217421266697E-2</v>
      </c>
      <c r="H44" s="1953">
        <f>G44</f>
        <v>4.5166217421266697E-2</v>
      </c>
      <c r="I44" s="1953">
        <f t="shared" ref="I44:K44" si="15">H44</f>
        <v>4.5166217421266697E-2</v>
      </c>
      <c r="J44" s="1953">
        <f t="shared" si="15"/>
        <v>4.5166217421266697E-2</v>
      </c>
      <c r="K44" s="1953">
        <f t="shared" si="15"/>
        <v>4.5166217421266697E-2</v>
      </c>
      <c r="L44" s="1036"/>
      <c r="M44" s="1007"/>
    </row>
    <row r="45" spans="1:13" s="1066" customFormat="1" hidden="1">
      <c r="A45" s="1065"/>
      <c r="B45" s="1858" t="s">
        <v>85</v>
      </c>
      <c r="C45" s="999" t="str">
        <f>VLOOKUP($B45,关键参数底稿!$B$26:$P$93,假设!C$3-2010,FALSE)</f>
        <v/>
      </c>
      <c r="D45" s="999" t="str">
        <f>VLOOKUP($B45,关键参数底稿!$B$26:$P$93,假设!D$3-2010,FALSE)</f>
        <v/>
      </c>
      <c r="E45" s="999">
        <f>VLOOKUP($B45,关键参数底稿!$B$26:$P$93,假设!E$3-2010,FALSE)</f>
        <v>1.3727828269735731E-2</v>
      </c>
      <c r="F45" s="999">
        <f>VLOOKUP($B45,关键参数底稿!$B$26:$P$93,假设!F$3-2010,FALSE)</f>
        <v>0.11987589303009716</v>
      </c>
      <c r="G45" s="1626"/>
      <c r="H45" s="1626"/>
      <c r="I45" s="1626"/>
      <c r="J45" s="1626"/>
      <c r="K45" s="1626"/>
      <c r="L45" s="1036" t="s">
        <v>718</v>
      </c>
      <c r="M45" s="1007"/>
    </row>
    <row r="46" spans="1:13" s="1066" customFormat="1" hidden="1">
      <c r="A46" s="1065"/>
      <c r="B46" s="1859" t="s">
        <v>586</v>
      </c>
      <c r="C46" s="999" t="str">
        <f>VLOOKUP($B46,关键参数底稿!$B$26:$P$93,假设!C$3-2010,FALSE)</f>
        <v/>
      </c>
      <c r="D46" s="999" t="str">
        <f>VLOOKUP($B46,关键参数底稿!$B$26:$P$93,假设!D$3-2010,FALSE)</f>
        <v/>
      </c>
      <c r="E46" s="999">
        <f>VLOOKUP($B46,关键参数底稿!$B$26:$P$93,假设!E$3-2010,FALSE)</f>
        <v>3.0994598925685901E-2</v>
      </c>
      <c r="F46" s="999">
        <f>VLOOKUP($B46,关键参数底稿!$B$26:$P$93,假设!F$3-2010,FALSE)</f>
        <v>7.6645298604727685E-2</v>
      </c>
      <c r="G46" s="1626"/>
      <c r="H46" s="1626"/>
      <c r="I46" s="1626"/>
      <c r="J46" s="1626"/>
      <c r="K46" s="1626"/>
      <c r="L46" s="1036" t="s">
        <v>1148</v>
      </c>
      <c r="M46" s="1007"/>
    </row>
    <row r="47" spans="1:13" s="1066" customFormat="1" hidden="1">
      <c r="A47" s="1065"/>
      <c r="B47" s="1858" t="s">
        <v>587</v>
      </c>
      <c r="C47" s="999" t="str">
        <f>VLOOKUP($B47,关键参数底稿!$B$26:$P$93,假设!C$3-2010,FALSE)</f>
        <v/>
      </c>
      <c r="D47" s="999" t="str">
        <f>VLOOKUP($B47,关键参数底稿!$B$26:$P$93,假设!D$3-2010,FALSE)</f>
        <v/>
      </c>
      <c r="E47" s="999" t="str">
        <f>VLOOKUP($B47,关键参数底稿!$B$26:$P$93,假设!E$3-2010,FALSE)</f>
        <v/>
      </c>
      <c r="F47" s="999" t="str">
        <f>VLOOKUP($B47,关键参数底稿!$B$26:$P$93,假设!F$3-2010,FALSE)</f>
        <v/>
      </c>
      <c r="G47" s="1626"/>
      <c r="H47" s="1626"/>
      <c r="I47" s="1626"/>
      <c r="J47" s="1626"/>
      <c r="K47" s="1626"/>
      <c r="L47" s="1036" t="s">
        <v>718</v>
      </c>
      <c r="M47" s="1007"/>
    </row>
    <row r="48" spans="1:13" s="1066" customFormat="1" hidden="1">
      <c r="A48" s="1065"/>
      <c r="B48" s="1858" t="s">
        <v>589</v>
      </c>
      <c r="C48" s="999" t="str">
        <f>VLOOKUP($B48,关键参数底稿!$B$26:$P$93,假设!C$3-2010,FALSE)</f>
        <v/>
      </c>
      <c r="D48" s="999" t="str">
        <f>VLOOKUP($B48,关键参数底稿!$B$26:$P$93,假设!D$3-2010,FALSE)</f>
        <v/>
      </c>
      <c r="E48" s="999" t="str">
        <f>VLOOKUP($B48,关键参数底稿!$B$26:$P$93,假设!E$3-2010,FALSE)</f>
        <v/>
      </c>
      <c r="F48" s="999" t="str">
        <f>VLOOKUP($B48,关键参数底稿!$B$26:$P$93,假设!F$3-2010,FALSE)</f>
        <v/>
      </c>
      <c r="G48" s="1626">
        <v>0</v>
      </c>
      <c r="H48" s="1626"/>
      <c r="I48" s="1626"/>
      <c r="J48" s="1626"/>
      <c r="K48" s="1626"/>
      <c r="L48" s="1036" t="s">
        <v>597</v>
      </c>
      <c r="M48" s="1007"/>
    </row>
    <row r="49" spans="1:13" s="1066" customFormat="1" hidden="1">
      <c r="A49" s="1065"/>
      <c r="B49" s="1858" t="s">
        <v>591</v>
      </c>
      <c r="C49" s="999" t="str">
        <f>VLOOKUP($B49,关键参数底稿!$B$26:$P$93,假设!C$3-2010,FALSE)</f>
        <v/>
      </c>
      <c r="D49" s="2006" t="str">
        <f>VLOOKUP($B49,关键参数底稿!$B$26:$P$93,假设!D$3-2010,FALSE)</f>
        <v/>
      </c>
      <c r="E49" s="2006">
        <f>VLOOKUP($B49,关键参数底稿!$B$26:$P$93,假设!E$3-2010,FALSE)</f>
        <v>1.8432992370963852E-2</v>
      </c>
      <c r="F49" s="2006">
        <f>VLOOKUP($B49,关键参数底稿!$B$26:$P$93,假设!F$3-2010,FALSE)</f>
        <v>-0.63105475702654357</v>
      </c>
      <c r="G49" s="1626">
        <v>0</v>
      </c>
      <c r="H49" s="1626"/>
      <c r="I49" s="1626"/>
      <c r="J49" s="1626"/>
      <c r="K49" s="1626"/>
      <c r="L49" s="1036" t="s">
        <v>598</v>
      </c>
      <c r="M49" s="1007"/>
    </row>
    <row r="50" spans="1:13" s="1066" customFormat="1">
      <c r="A50" s="1065"/>
      <c r="B50" s="1997" t="s">
        <v>2255</v>
      </c>
      <c r="C50" s="1067"/>
      <c r="D50" s="1067">
        <f>E51/D51-1</f>
        <v>8.4791739455133186E-2</v>
      </c>
      <c r="E50" s="1067">
        <f>F51/E51-1</f>
        <v>-3.4200937221485539E-2</v>
      </c>
      <c r="F50" s="1067">
        <f>G51/F51-1</f>
        <v>0.14848661483027992</v>
      </c>
      <c r="G50" s="2002">
        <f>IF(多维联动分析!B4="YES",多维联动分析!D47,假设!G51)</f>
        <v>63.982228000000006</v>
      </c>
      <c r="H50" s="2003">
        <f>H51</f>
        <v>65.600684121608083</v>
      </c>
      <c r="I50" s="2003">
        <f t="shared" ref="I50:K50" si="16">I51</f>
        <v>67.260079740002212</v>
      </c>
      <c r="J50" s="2003">
        <f t="shared" si="16"/>
        <v>68.961450436175127</v>
      </c>
      <c r="K50" s="2003">
        <f t="shared" si="16"/>
        <v>70.70585798655614</v>
      </c>
      <c r="L50" s="1036" t="s">
        <v>717</v>
      </c>
      <c r="M50" s="1007"/>
    </row>
    <row r="51" spans="1:13" s="1066" customFormat="1">
      <c r="A51" s="1065"/>
      <c r="B51" s="1997" t="s">
        <v>2255</v>
      </c>
      <c r="D51" s="2011">
        <f>实际收入!D35</f>
        <v>53.17411518589995</v>
      </c>
      <c r="E51" s="2011">
        <f>实际收入!E35</f>
        <v>57.682840906500019</v>
      </c>
      <c r="F51" s="2011">
        <f>实际收入!F35</f>
        <v>55.710033685899873</v>
      </c>
      <c r="G51" s="2003">
        <f>关键业绩指标滚动预判!O21</f>
        <v>63.982228000000006</v>
      </c>
      <c r="H51" s="2003">
        <f>G51*(1+AVERAGE($D$50:$E$50))</f>
        <v>65.600684121608083</v>
      </c>
      <c r="I51" s="2003">
        <f>H51*(1+AVERAGE($D$50:$E$50))</f>
        <v>67.260079740002212</v>
      </c>
      <c r="J51" s="2003">
        <f>I51*(1+AVERAGE($D$50:$E$50))</f>
        <v>68.961450436175127</v>
      </c>
      <c r="K51" s="2003">
        <f>J51*(1+AVERAGE($D$50:$E$50))</f>
        <v>70.70585798655614</v>
      </c>
      <c r="L51" s="1036"/>
      <c r="M51" s="1007"/>
    </row>
    <row r="52" spans="1:13" s="1066" customFormat="1">
      <c r="A52" s="1065"/>
      <c r="B52" s="1038" t="s">
        <v>433</v>
      </c>
      <c r="C52" s="1047">
        <f>VLOOKUP($B52,关键参数底稿!$B$12:$P$93,假设!C$3-2010,FALSE)</f>
        <v>0</v>
      </c>
      <c r="D52" s="1047">
        <f>VLOOKUP($B52,关键参数底稿!$B$12:$P$93,假设!D$3-2010,FALSE)</f>
        <v>5.8260384032000001</v>
      </c>
      <c r="E52" s="1047">
        <f>VLOOKUP($B52,关键参数底稿!$B$12:$P$93,假设!E$3-2010,FALSE)</f>
        <v>5.2013202939999994</v>
      </c>
      <c r="F52" s="1047">
        <f>VLOOKUP($B52,关键参数底稿!$B$12:$P$93,假设!F$3-2010,FALSE)</f>
        <v>5.6890505909</v>
      </c>
      <c r="G52" s="1861">
        <f>关键业绩指标滚动预判!O22</f>
        <v>5.8107963300000005</v>
      </c>
      <c r="H52" s="1861">
        <f>G52*(1+H53)</f>
        <v>5.8689042933000009</v>
      </c>
      <c r="I52" s="1861">
        <f t="shared" ref="I52:K52" si="17">H52*(1+I53)</f>
        <v>5.9275933362330013</v>
      </c>
      <c r="J52" s="1861">
        <f t="shared" si="17"/>
        <v>5.9868692695953314</v>
      </c>
      <c r="K52" s="1861">
        <f t="shared" si="17"/>
        <v>6.0467379622912851</v>
      </c>
      <c r="L52" s="1036"/>
      <c r="M52" s="1007"/>
    </row>
    <row r="53" spans="1:13" s="1066" customFormat="1">
      <c r="A53" s="1065"/>
      <c r="B53" s="1037" t="s">
        <v>1149</v>
      </c>
      <c r="C53" s="999" t="str">
        <f>IFERROR(C52/B52-1,"")</f>
        <v/>
      </c>
      <c r="D53" s="999" t="str">
        <f>IFERROR(D52/C52-1,"")</f>
        <v/>
      </c>
      <c r="E53" s="1804">
        <f>IFERROR(E52/D52-1,"")</f>
        <v>-0.10722862878090011</v>
      </c>
      <c r="F53" s="1804">
        <f>IFERROR(F52/E52-1,"")</f>
        <v>9.3770479288234565E-2</v>
      </c>
      <c r="G53" s="1804">
        <v>0.01</v>
      </c>
      <c r="H53" s="1882">
        <f>G53</f>
        <v>0.01</v>
      </c>
      <c r="I53" s="1882">
        <f t="shared" ref="I53:K53" si="18">H53</f>
        <v>0.01</v>
      </c>
      <c r="J53" s="1882">
        <f t="shared" si="18"/>
        <v>0.01</v>
      </c>
      <c r="K53" s="1882">
        <f t="shared" si="18"/>
        <v>0.01</v>
      </c>
      <c r="L53" s="1036" t="s">
        <v>595</v>
      </c>
      <c r="M53" s="1007"/>
    </row>
    <row r="54" spans="1:13" s="1066" customFormat="1">
      <c r="A54" s="1065"/>
      <c r="B54" s="1038" t="s">
        <v>2229</v>
      </c>
      <c r="C54" s="1036"/>
      <c r="D54" s="1036"/>
      <c r="E54" s="1036"/>
      <c r="F54" s="1036"/>
      <c r="G54" s="1861">
        <v>22.473800000000001</v>
      </c>
      <c r="H54" s="1861">
        <f>G54</f>
        <v>22.473800000000001</v>
      </c>
      <c r="I54" s="1861">
        <f t="shared" ref="I54:K54" si="19">H54</f>
        <v>22.473800000000001</v>
      </c>
      <c r="J54" s="1861">
        <f t="shared" si="19"/>
        <v>22.473800000000001</v>
      </c>
      <c r="K54" s="1861">
        <f t="shared" si="19"/>
        <v>22.473800000000001</v>
      </c>
      <c r="L54" s="1885"/>
      <c r="M54" s="1007"/>
    </row>
    <row r="55" spans="1:13" s="1066" customFormat="1">
      <c r="A55" s="1065"/>
      <c r="B55" s="1038" t="s">
        <v>2230</v>
      </c>
      <c r="C55" s="1036"/>
      <c r="D55" s="1036"/>
      <c r="E55" s="1036"/>
      <c r="F55" s="1036"/>
      <c r="G55" s="1861">
        <v>1.9468000000000001</v>
      </c>
      <c r="H55" s="1861">
        <f>G55</f>
        <v>1.9468000000000001</v>
      </c>
      <c r="I55" s="1861">
        <f t="shared" ref="I55:K55" si="20">H55</f>
        <v>1.9468000000000001</v>
      </c>
      <c r="J55" s="1861">
        <f t="shared" si="20"/>
        <v>1.9468000000000001</v>
      </c>
      <c r="K55" s="1861">
        <f t="shared" si="20"/>
        <v>1.9468000000000001</v>
      </c>
      <c r="L55" s="1885"/>
      <c r="M55" s="1007"/>
    </row>
    <row r="56" spans="1:13" s="1066" customFormat="1">
      <c r="A56" s="1065"/>
      <c r="B56" s="1038"/>
      <c r="C56" s="1036"/>
      <c r="D56" s="1036"/>
      <c r="E56" s="1036"/>
      <c r="F56" s="1036"/>
      <c r="G56" s="1036"/>
      <c r="H56" s="1036"/>
      <c r="I56" s="1036"/>
      <c r="J56" s="1036"/>
      <c r="K56" s="1036"/>
      <c r="L56" s="1036"/>
      <c r="M56" s="1007"/>
    </row>
    <row r="57" spans="1:13" s="1066" customFormat="1">
      <c r="A57" s="1065"/>
      <c r="B57" s="1068"/>
      <c r="C57" s="1000"/>
      <c r="D57" s="1000"/>
      <c r="E57" s="1000"/>
      <c r="F57" s="1000"/>
      <c r="G57" s="1001"/>
      <c r="H57" s="1001"/>
      <c r="I57" s="1001"/>
      <c r="J57" s="1001"/>
      <c r="K57" s="1001"/>
      <c r="L57" s="1058"/>
      <c r="M57" s="1007"/>
    </row>
    <row r="58" spans="1:13" s="1066" customFormat="1" ht="15.6">
      <c r="A58" s="1065"/>
      <c r="B58" s="1063" t="s">
        <v>375</v>
      </c>
      <c r="C58" s="1069"/>
      <c r="D58" s="1069"/>
      <c r="E58" s="1069"/>
      <c r="F58" s="1069"/>
      <c r="G58" s="1070"/>
      <c r="H58" s="1070"/>
      <c r="I58" s="1070"/>
      <c r="J58" s="1070"/>
      <c r="K58" s="1070"/>
      <c r="L58" s="1058"/>
      <c r="M58" s="1007"/>
    </row>
    <row r="59" spans="1:13" s="1066" customFormat="1">
      <c r="A59" s="1065"/>
      <c r="B59" s="1038" t="s">
        <v>86</v>
      </c>
      <c r="C59" s="1067">
        <f>VLOOKUP($B59,关键参数底稿!$B$12:$P$93,假设!C$3-2010,FALSE)</f>
        <v>4.5025467911852749E-3</v>
      </c>
      <c r="D59" s="1067">
        <f>VLOOKUP($B59,关键参数底稿!$B$12:$P$93,假设!D$3-2010,FALSE)</f>
        <v>4.0321097889190229E-3</v>
      </c>
      <c r="E59" s="1067">
        <f>VLOOKUP($B59,关键参数底稿!$B$12:$P$93,假设!E$3-2010,FALSE)</f>
        <v>4.3864043838944952E-3</v>
      </c>
      <c r="F59" s="1067">
        <f>VLOOKUP($B59,关键参数底稿!$B$12:$P$93,假设!F$3-2010,FALSE)</f>
        <v>6.9222492739602392E-3</v>
      </c>
      <c r="G59" s="1071">
        <f>F59</f>
        <v>6.9222492739602392E-3</v>
      </c>
      <c r="H59" s="1951">
        <f>G59</f>
        <v>6.9222492739602392E-3</v>
      </c>
      <c r="I59" s="1951">
        <f t="shared" ref="I59:K59" si="21">H59</f>
        <v>6.9222492739602392E-3</v>
      </c>
      <c r="J59" s="1951">
        <f t="shared" si="21"/>
        <v>6.9222492739602392E-3</v>
      </c>
      <c r="K59" s="1951">
        <f t="shared" si="21"/>
        <v>6.9222492739602392E-3</v>
      </c>
      <c r="L59" s="1041" t="s">
        <v>602</v>
      </c>
      <c r="M59" s="1007"/>
    </row>
    <row r="60" spans="1:13" s="1066" customFormat="1">
      <c r="A60" s="1065"/>
      <c r="B60" s="1038" t="s">
        <v>534</v>
      </c>
      <c r="C60" s="1067" t="str">
        <f>VLOOKUP($B60,关键参数底稿!$B$12:$P$93,假设!C$3-2010,FALSE)</f>
        <v/>
      </c>
      <c r="D60" s="2067"/>
      <c r="E60" s="1067">
        <f>VLOOKUP($B60,关键参数底稿!$B$12:$P$93,假设!E$3-2010,FALSE)</f>
        <v>0.66437944912543601</v>
      </c>
      <c r="F60" s="1067">
        <f>VLOOKUP($B60,关键参数底稿!$B$12:$P$93,假设!F$3-2010,FALSE)</f>
        <v>-0.30030293209250913</v>
      </c>
      <c r="G60" s="1757">
        <v>0.1</v>
      </c>
      <c r="H60" s="1072">
        <f>G60</f>
        <v>0.1</v>
      </c>
      <c r="I60" s="1072">
        <f t="shared" ref="I60:K60" si="22">H60</f>
        <v>0.1</v>
      </c>
      <c r="J60" s="1072">
        <f t="shared" si="22"/>
        <v>0.1</v>
      </c>
      <c r="K60" s="1072">
        <f t="shared" si="22"/>
        <v>0.1</v>
      </c>
      <c r="L60" s="1041" t="s">
        <v>594</v>
      </c>
      <c r="M60" s="1007"/>
    </row>
    <row r="61" spans="1:13" s="1066" customFormat="1">
      <c r="A61" s="1065"/>
      <c r="B61" s="1038" t="s">
        <v>537</v>
      </c>
      <c r="C61" s="1067" t="e">
        <f>VLOOKUP($B61,关键参数底稿!$B$12:$P$93,假设!C$3-2010,FALSE)</f>
        <v>#DIV/0!</v>
      </c>
      <c r="D61" s="1067">
        <f>VLOOKUP($B61,关键参数底稿!$B$12:$P$93,假设!D$3-2010,FALSE)</f>
        <v>-9.0282402017069718E-2</v>
      </c>
      <c r="E61" s="1067">
        <f>VLOOKUP($B61,关键参数底稿!$B$12:$P$93,假设!E$3-2010,FALSE)</f>
        <v>-7.2141510482298665E-3</v>
      </c>
      <c r="F61" s="1067">
        <f>VLOOKUP($B61,关键参数底稿!$B$12:$P$93,假设!F$3-2010,FALSE)</f>
        <v>0.21189139017995173</v>
      </c>
      <c r="G61" s="1757">
        <f>AVERAGE(D61:F61)</f>
        <v>3.8131612371550716E-2</v>
      </c>
      <c r="H61" s="1757">
        <f>G61</f>
        <v>3.8131612371550716E-2</v>
      </c>
      <c r="I61" s="1757">
        <f t="shared" ref="I61:K61" si="23">H61</f>
        <v>3.8131612371550716E-2</v>
      </c>
      <c r="J61" s="1757">
        <f t="shared" si="23"/>
        <v>3.8131612371550716E-2</v>
      </c>
      <c r="K61" s="1757">
        <f t="shared" si="23"/>
        <v>3.8131612371550716E-2</v>
      </c>
      <c r="L61" s="1041" t="s">
        <v>601</v>
      </c>
      <c r="M61" s="1007"/>
    </row>
    <row r="62" spans="1:13" s="1066" customFormat="1">
      <c r="A62" s="1065"/>
      <c r="B62" s="1038" t="s">
        <v>87</v>
      </c>
      <c r="C62" s="1067">
        <f>VLOOKUP($B62,关键参数底稿!$B$12:$P$181,假设!C$3-2010,FALSE)</f>
        <v>0.15297198862328543</v>
      </c>
      <c r="D62" s="1067">
        <f>VLOOKUP($B62,关键参数底稿!$B$12:$P$181,假设!D$3-2010,FALSE)</f>
        <v>0.14055262276256281</v>
      </c>
      <c r="E62" s="1067">
        <f>VLOOKUP($B62,关键参数底稿!$B$12:$P$181,假设!E$3-2010,FALSE)</f>
        <v>0.11317081553298332</v>
      </c>
      <c r="F62" s="1067">
        <f>VLOOKUP($B62,关键参数底稿!$B$12:$P$181,假设!F$3-2010,FALSE)</f>
        <v>4.03129851526157E-2</v>
      </c>
      <c r="G62" s="1766">
        <f>F62</f>
        <v>4.03129851526157E-2</v>
      </c>
      <c r="H62" s="1766">
        <f>G62</f>
        <v>4.03129851526157E-2</v>
      </c>
      <c r="I62" s="1766">
        <f t="shared" ref="I62:K62" si="24">H62</f>
        <v>4.03129851526157E-2</v>
      </c>
      <c r="J62" s="1766">
        <f t="shared" si="24"/>
        <v>4.03129851526157E-2</v>
      </c>
      <c r="K62" s="1766">
        <f t="shared" si="24"/>
        <v>4.03129851526157E-2</v>
      </c>
      <c r="L62" s="1041" t="s">
        <v>602</v>
      </c>
      <c r="M62" s="1007"/>
    </row>
    <row r="63" spans="1:13" s="1066" customFormat="1">
      <c r="A63" s="1065"/>
      <c r="B63" s="1038"/>
      <c r="C63" s="1073"/>
      <c r="D63" s="1073"/>
      <c r="E63" s="1073"/>
      <c r="F63" s="1073"/>
      <c r="G63" s="1071"/>
      <c r="H63" s="1071"/>
      <c r="I63" s="1071"/>
      <c r="J63" s="1071"/>
      <c r="K63" s="1071"/>
      <c r="L63" s="1041"/>
      <c r="M63" s="1007"/>
    </row>
    <row r="64" spans="1:13" s="1066" customFormat="1">
      <c r="A64" s="1065"/>
      <c r="B64" s="1038" t="s">
        <v>345</v>
      </c>
      <c r="C64" s="1074">
        <f>VLOOKUP($B64,历史利润表!$B$3:$P$48,假设!C$3-2010,FALSE)</f>
        <v>-1.9001354194</v>
      </c>
      <c r="D64" s="1074">
        <f>VLOOKUP($B64,历史利润表!$B$3:$P$48,假设!D$3-2010,FALSE)</f>
        <v>6.9797013499999991E-2</v>
      </c>
      <c r="E64" s="1074">
        <f>VLOOKUP($B64,历史利润表!$B$3:$P$48,假设!E$3-2010,FALSE)</f>
        <v>-0.1781665472</v>
      </c>
      <c r="F64" s="2117">
        <f>VLOOKUP($B64,历史利润表!$B$3:$P$48,假设!F$3-2010,FALSE)</f>
        <v>2.8576727400000002E-2</v>
      </c>
      <c r="G64" s="1887">
        <f>F64</f>
        <v>2.8576727400000002E-2</v>
      </c>
      <c r="H64" s="1887">
        <f t="shared" ref="H64:K64" si="25">G64</f>
        <v>2.8576727400000002E-2</v>
      </c>
      <c r="I64" s="1887">
        <f t="shared" si="25"/>
        <v>2.8576727400000002E-2</v>
      </c>
      <c r="J64" s="1887">
        <f t="shared" si="25"/>
        <v>2.8576727400000002E-2</v>
      </c>
      <c r="K64" s="1887">
        <f t="shared" si="25"/>
        <v>2.8576727400000002E-2</v>
      </c>
      <c r="L64" s="1041" t="s">
        <v>596</v>
      </c>
      <c r="M64" s="1007"/>
    </row>
    <row r="65" spans="1:13" s="1066" customFormat="1">
      <c r="A65" s="1065"/>
      <c r="B65" s="1038" t="s">
        <v>347</v>
      </c>
      <c r="C65" s="1074">
        <f>VLOOKUP($B65,历史利润表!$B$3:$P$48,假设!C$3-2010,FALSE)</f>
        <v>0</v>
      </c>
      <c r="D65" s="1074">
        <f>VLOOKUP($B65,历史利润表!$B$3:$P$48,假设!D$3-2010,FALSE)</f>
        <v>0</v>
      </c>
      <c r="E65" s="1074">
        <f>VLOOKUP($B65,历史利润表!$B$3:$P$48,假设!E$3-2010,FALSE)</f>
        <v>0</v>
      </c>
      <c r="F65" s="1074">
        <f>VLOOKUP($B65,历史利润表!$B$3:$P$48,假设!F$3-2010,FALSE)</f>
        <v>0</v>
      </c>
      <c r="G65" s="1075">
        <f>F65</f>
        <v>0</v>
      </c>
      <c r="H65" s="1075">
        <f>G65</f>
        <v>0</v>
      </c>
      <c r="I65" s="1075">
        <f t="shared" ref="I65:K65" si="26">H65</f>
        <v>0</v>
      </c>
      <c r="J65" s="1075">
        <f t="shared" si="26"/>
        <v>0</v>
      </c>
      <c r="K65" s="1075">
        <f t="shared" si="26"/>
        <v>0</v>
      </c>
      <c r="L65" s="1041" t="s">
        <v>602</v>
      </c>
      <c r="M65" s="1007"/>
    </row>
    <row r="66" spans="1:13" s="1066" customFormat="1">
      <c r="A66" s="1065"/>
      <c r="B66" s="1043" t="s">
        <v>2209</v>
      </c>
      <c r="C66" s="1074"/>
      <c r="D66" s="1074"/>
      <c r="E66" s="1074"/>
      <c r="F66" s="1074"/>
      <c r="G66" s="1886">
        <f>G94</f>
        <v>2</v>
      </c>
      <c r="H66" s="1886">
        <f t="shared" ref="H66:K66" si="27">H94</f>
        <v>4</v>
      </c>
      <c r="I66" s="1886">
        <f t="shared" si="27"/>
        <v>6</v>
      </c>
      <c r="J66" s="1886">
        <f t="shared" si="27"/>
        <v>8</v>
      </c>
      <c r="K66" s="1886">
        <f t="shared" si="27"/>
        <v>10</v>
      </c>
      <c r="L66" s="2115" t="s">
        <v>2427</v>
      </c>
      <c r="M66" s="1007"/>
    </row>
    <row r="67" spans="1:13" s="1066" customFormat="1">
      <c r="A67" s="1065"/>
      <c r="B67" s="1038" t="s">
        <v>88</v>
      </c>
      <c r="C67" s="1074">
        <f>VLOOKUP($B67,历史利润表!$B$3:$P$48,假设!C$3-2010,FALSE)</f>
        <v>2.1129386902</v>
      </c>
      <c r="D67" s="1074">
        <f>VLOOKUP($B67,历史利润表!$B$3:$P$48,假设!D$3-2010,FALSE)</f>
        <v>1.1393394945999999</v>
      </c>
      <c r="E67" s="1074">
        <f>VLOOKUP($B67,历史利润表!$B$3:$P$48,假设!E$3-2010,FALSE)</f>
        <v>2.5897836813999997</v>
      </c>
      <c r="F67" s="1074">
        <f>VLOOKUP($B67,历史利润表!$B$3:$P$48,假设!F$3-2010,FALSE)</f>
        <v>1.1406059123000001</v>
      </c>
      <c r="G67" s="1881">
        <v>1.1835</v>
      </c>
      <c r="H67" s="1886">
        <f t="shared" ref="H67:K70" si="28">G67</f>
        <v>1.1835</v>
      </c>
      <c r="I67" s="1886">
        <f t="shared" si="28"/>
        <v>1.1835</v>
      </c>
      <c r="J67" s="1886">
        <f t="shared" si="28"/>
        <v>1.1835</v>
      </c>
      <c r="K67" s="1886">
        <f t="shared" si="28"/>
        <v>1.1835</v>
      </c>
      <c r="L67" s="1041" t="s">
        <v>594</v>
      </c>
      <c r="M67" s="1007"/>
    </row>
    <row r="68" spans="1:13">
      <c r="A68" s="1024"/>
      <c r="B68" s="1038" t="s">
        <v>89</v>
      </c>
      <c r="C68" s="1074">
        <f>VLOOKUP($B68,历史利润表!$B$3:$P$48,假设!C$3-2010,FALSE)</f>
        <v>1.1237603653000001</v>
      </c>
      <c r="D68" s="1074">
        <f>VLOOKUP($B68,历史利润表!$B$3:$P$48,假设!D$3-2010,FALSE)</f>
        <v>2.4446557372999997</v>
      </c>
      <c r="E68" s="1074">
        <f>VLOOKUP($B68,历史利润表!$B$3:$P$48,假设!E$3-2010,FALSE)</f>
        <v>4.4894937922000002</v>
      </c>
      <c r="F68" s="1074">
        <f>VLOOKUP($B68,历史利润表!$B$3:$P$48,假设!F$3-2010,FALSE)</f>
        <v>3.3925745897000001</v>
      </c>
      <c r="G68" s="1881">
        <v>3.3327</v>
      </c>
      <c r="H68" s="1886">
        <f t="shared" si="28"/>
        <v>3.3327</v>
      </c>
      <c r="I68" s="1886">
        <f t="shared" si="28"/>
        <v>3.3327</v>
      </c>
      <c r="J68" s="1886">
        <f t="shared" si="28"/>
        <v>3.3327</v>
      </c>
      <c r="K68" s="1886">
        <f t="shared" si="28"/>
        <v>3.3327</v>
      </c>
      <c r="L68" s="1041" t="s">
        <v>594</v>
      </c>
      <c r="M68" s="1007"/>
    </row>
    <row r="69" spans="1:13">
      <c r="A69" s="1024"/>
      <c r="B69" s="1038" t="s">
        <v>90</v>
      </c>
      <c r="C69" s="1067">
        <f>VLOOKUP($B69,关键参数底稿!$B$12:$P$93,假设!C$3-2010,FALSE)</f>
        <v>0.24810544549218091</v>
      </c>
      <c r="D69" s="1067">
        <f>VLOOKUP($B69,关键参数底稿!$B$12:$P$93,假设!D$3-2010,FALSE)</f>
        <v>0.24247784999405453</v>
      </c>
      <c r="E69" s="1067">
        <f>VLOOKUP($B69,关键参数底稿!$B$12:$P$93,假设!E$3-2010,FALSE)</f>
        <v>0.22954796704789129</v>
      </c>
      <c r="F69" s="1067">
        <f>VLOOKUP($B69,关键参数底稿!$B$12:$P$93,假设!F$3-2010,FALSE)</f>
        <v>0.24747182763907419</v>
      </c>
      <c r="G69" s="1882">
        <v>0.25</v>
      </c>
      <c r="H69" s="1950">
        <f t="shared" si="28"/>
        <v>0.25</v>
      </c>
      <c r="I69" s="1950">
        <f t="shared" si="28"/>
        <v>0.25</v>
      </c>
      <c r="J69" s="1950">
        <f t="shared" si="28"/>
        <v>0.25</v>
      </c>
      <c r="K69" s="1950">
        <f t="shared" si="28"/>
        <v>0.25</v>
      </c>
      <c r="L69" s="1036" t="s">
        <v>595</v>
      </c>
      <c r="M69" s="1007"/>
    </row>
    <row r="70" spans="1:13">
      <c r="A70" s="1024"/>
      <c r="B70" s="1038" t="s">
        <v>549</v>
      </c>
      <c r="C70" s="1067">
        <f>VLOOKUP($B70,关键参数底稿!$B$12:$P$187,假设!C$3-2010,FALSE)</f>
        <v>-1.5706080070028857E-3</v>
      </c>
      <c r="D70" s="1067">
        <f>VLOOKUP($B70,关键参数底稿!$B$12:$P$187,假设!D$3-2010,FALSE)</f>
        <v>1.0753067508589189E-3</v>
      </c>
      <c r="E70" s="1067">
        <f>VLOOKUP($B70,关键参数底稿!$B$12:$P$187,假设!E$3-2010,FALSE)</f>
        <v>5.3909653752751445E-4</v>
      </c>
      <c r="F70" s="1067">
        <f>VLOOKUP($B70,关键参数底稿!$B$12:$P$187,假设!F$3-2010,FALSE)</f>
        <v>4.7353128094103104E-4</v>
      </c>
      <c r="G70" s="1071">
        <f>AVERAGE(E70:F70)</f>
        <v>5.0631390923427271E-4</v>
      </c>
      <c r="H70" s="1071">
        <f>G70</f>
        <v>5.0631390923427271E-4</v>
      </c>
      <c r="I70" s="1071">
        <f t="shared" si="28"/>
        <v>5.0631390923427271E-4</v>
      </c>
      <c r="J70" s="1071">
        <f t="shared" si="28"/>
        <v>5.0631390923427271E-4</v>
      </c>
      <c r="K70" s="1071">
        <f t="shared" si="28"/>
        <v>5.0631390923427271E-4</v>
      </c>
      <c r="L70" s="1036" t="s">
        <v>594</v>
      </c>
      <c r="M70" s="1007"/>
    </row>
    <row r="71" spans="1:13" ht="15.6">
      <c r="A71" s="1024"/>
      <c r="B71" s="1076" t="s">
        <v>1691</v>
      </c>
      <c r="C71" s="1627">
        <v>3.6</v>
      </c>
      <c r="D71" s="1627">
        <v>3.48</v>
      </c>
      <c r="E71" s="1627">
        <v>3.76</v>
      </c>
      <c r="F71" s="1627">
        <v>3.58</v>
      </c>
      <c r="G71" s="1628">
        <v>3.59</v>
      </c>
      <c r="H71" s="1628">
        <f>G71</f>
        <v>3.59</v>
      </c>
      <c r="I71" s="1628">
        <f t="shared" ref="I71:K71" si="29">H71</f>
        <v>3.59</v>
      </c>
      <c r="J71" s="1628">
        <f t="shared" si="29"/>
        <v>3.59</v>
      </c>
      <c r="K71" s="1628">
        <f t="shared" si="29"/>
        <v>3.59</v>
      </c>
      <c r="L71" s="1077"/>
      <c r="M71" s="1007"/>
    </row>
    <row r="72" spans="1:13" ht="15.6">
      <c r="A72" s="1024"/>
      <c r="B72" s="1059" t="s">
        <v>372</v>
      </c>
      <c r="C72" s="1060"/>
      <c r="D72" s="1060"/>
      <c r="E72" s="1060"/>
      <c r="F72" s="1060"/>
      <c r="G72" s="1078"/>
      <c r="H72" s="1917"/>
      <c r="I72" s="1917"/>
      <c r="J72" s="1917"/>
      <c r="K72" s="1917"/>
      <c r="L72" s="1078"/>
      <c r="M72" s="1007"/>
    </row>
    <row r="73" spans="1:13" ht="15.6">
      <c r="A73" s="1024"/>
      <c r="B73" s="1080" t="s">
        <v>394</v>
      </c>
      <c r="C73" s="1055"/>
      <c r="D73" s="1055"/>
      <c r="E73" s="1055"/>
      <c r="F73" s="1055"/>
      <c r="G73" s="1064"/>
      <c r="H73" s="1064"/>
      <c r="I73" s="1064"/>
      <c r="J73" s="1064"/>
      <c r="K73" s="1064"/>
      <c r="L73" s="1081"/>
      <c r="M73" s="1007"/>
    </row>
    <row r="74" spans="1:13">
      <c r="A74" s="1082"/>
      <c r="B74" s="1998" t="s">
        <v>177</v>
      </c>
      <c r="C74" s="1083">
        <f>VLOOKUP($B74,关键参数底稿!$B$12:$P$187,假设!C$3-2010,FALSE)</f>
        <v>6.7730988442994871E-3</v>
      </c>
      <c r="D74" s="1083">
        <f>VLOOKUP($B74,关键参数底稿!$B$12:$P$187,假设!D$3-2010,FALSE)</f>
        <v>4.3017033418043093E-3</v>
      </c>
      <c r="E74" s="1083">
        <f>VLOOKUP($B74,关键参数底稿!$B$12:$P$187,假设!E$3-2010,FALSE)</f>
        <v>4.9294787031176441E-3</v>
      </c>
      <c r="F74" s="1083">
        <f>VLOOKUP($B74,关键参数底稿!$B$12:$P$187,假设!F$3-2010,FALSE)</f>
        <v>5.3653166271017752E-3</v>
      </c>
      <c r="G74" s="1952">
        <f>IF(多维联动分析!B4="YES",多维联动分析!D46,IF(动因指标对成果指标影响分析!D11=TRUE,F74+动因指标对成果指标影响分析!F11,G75))</f>
        <v>5.3653166271017752E-3</v>
      </c>
      <c r="H74" s="1084">
        <f>H75</f>
        <v>5.3653166271017752E-3</v>
      </c>
      <c r="I74" s="1084">
        <f t="shared" ref="I74:K74" si="30">I75</f>
        <v>5.3653166271017752E-3</v>
      </c>
      <c r="J74" s="1084">
        <f t="shared" si="30"/>
        <v>5.3653166271017752E-3</v>
      </c>
      <c r="K74" s="1084">
        <f t="shared" si="30"/>
        <v>5.3653166271017752E-3</v>
      </c>
      <c r="L74" s="1085" t="s">
        <v>594</v>
      </c>
      <c r="M74" s="1007"/>
    </row>
    <row r="75" spans="1:13">
      <c r="A75" s="1082"/>
      <c r="B75" s="1998" t="s">
        <v>2251</v>
      </c>
      <c r="C75" s="1083"/>
      <c r="D75" s="1083"/>
      <c r="E75" s="1083"/>
      <c r="F75" s="1083"/>
      <c r="G75" s="1084">
        <v>5.3653166271017752E-3</v>
      </c>
      <c r="H75" s="1084">
        <f t="shared" ref="H75:K75" si="31">G74</f>
        <v>5.3653166271017752E-3</v>
      </c>
      <c r="I75" s="1084">
        <f t="shared" si="31"/>
        <v>5.3653166271017752E-3</v>
      </c>
      <c r="J75" s="1084">
        <f t="shared" si="31"/>
        <v>5.3653166271017752E-3</v>
      </c>
      <c r="K75" s="1084">
        <f t="shared" si="31"/>
        <v>5.3653166271017752E-3</v>
      </c>
      <c r="L75" s="1085"/>
      <c r="M75" s="1007"/>
    </row>
    <row r="76" spans="1:13">
      <c r="A76" s="1082"/>
      <c r="B76" s="1043" t="s">
        <v>1943</v>
      </c>
      <c r="C76" s="1629" t="e">
        <f>VLOOKUP($B76,关键参数底稿!$B$12:$H$120,假设!C$3-2010,FALSE)</f>
        <v>#DIV/0!</v>
      </c>
      <c r="D76" s="1629">
        <f>VLOOKUP($B76,关键参数底稿!$B$12:$H$120,假设!D$3-2010,FALSE)</f>
        <v>0.31051792904842845</v>
      </c>
      <c r="E76" s="1629">
        <f>VLOOKUP($B76,关键参数底稿!$B$12:$H$120,假设!E$3-2010,FALSE)</f>
        <v>0.24010501629241038</v>
      </c>
      <c r="F76" s="1629">
        <f>VLOOKUP($B76,关键参数底稿!$B$12:$H$120,假设!F$3-2010,FALSE)</f>
        <v>0.17081820340688464</v>
      </c>
      <c r="G76" s="1952">
        <f>IF(多维联动分析!B4="YES",多维联动分析!D45,IF(动因指标对成果指标影响分析!D12=TRUE,AVERAGE(E76:F76)+动因指标对成果指标影响分析!F12,G77))</f>
        <v>0.17081820340688464</v>
      </c>
      <c r="H76" s="1630">
        <f>H77</f>
        <v>0.17081820340688464</v>
      </c>
      <c r="I76" s="1630">
        <f t="shared" ref="I76:K76" si="32">I77</f>
        <v>0.17081820340688464</v>
      </c>
      <c r="J76" s="1630">
        <f t="shared" si="32"/>
        <v>0.17081820340688464</v>
      </c>
      <c r="K76" s="1630">
        <f t="shared" si="32"/>
        <v>0.17081820340688464</v>
      </c>
      <c r="L76" s="1036" t="s">
        <v>594</v>
      </c>
      <c r="M76" s="1007"/>
    </row>
    <row r="77" spans="1:13">
      <c r="A77" s="1082"/>
      <c r="B77" s="1997" t="s">
        <v>2252</v>
      </c>
      <c r="C77" s="1629"/>
      <c r="D77" s="1629"/>
      <c r="E77" s="1629"/>
      <c r="F77" s="1629"/>
      <c r="G77" s="1999">
        <f>F76</f>
        <v>0.17081820340688464</v>
      </c>
      <c r="H77" s="1999">
        <f t="shared" ref="H77:K77" si="33">G76</f>
        <v>0.17081820340688464</v>
      </c>
      <c r="I77" s="1999">
        <f t="shared" si="33"/>
        <v>0.17081820340688464</v>
      </c>
      <c r="J77" s="1999">
        <f t="shared" si="33"/>
        <v>0.17081820340688464</v>
      </c>
      <c r="K77" s="1999">
        <f t="shared" si="33"/>
        <v>0.17081820340688464</v>
      </c>
      <c r="L77" s="1036"/>
      <c r="M77" s="1007"/>
    </row>
    <row r="78" spans="1:13">
      <c r="A78" s="1082"/>
      <c r="B78" s="1038" t="s">
        <v>556</v>
      </c>
      <c r="C78" s="1067">
        <f>VLOOKUP($B78,关键参数底稿!$B$12:$P$187,假设!C$3-2010,FALSE)</f>
        <v>1.8839060456235734E-2</v>
      </c>
      <c r="D78" s="1067">
        <f>VLOOKUP($B78,关键参数底稿!$B$12:$P$187,假设!D$3-2010,FALSE)</f>
        <v>4.9529710542349829E-2</v>
      </c>
      <c r="E78" s="1067">
        <f>VLOOKUP($B78,关键参数底稿!$B$12:$P$187,假设!E$3-2010,FALSE)</f>
        <v>4.6912782829743503E-2</v>
      </c>
      <c r="F78" s="1067">
        <f>VLOOKUP($B78,关键参数底稿!$B$12:$P$187,假设!F$3-2010,FALSE)</f>
        <v>2.1923242272860386E-2</v>
      </c>
      <c r="G78" s="1071">
        <v>1.7999999999999999E-2</v>
      </c>
      <c r="H78" s="1071">
        <f t="shared" ref="H78:K78" si="34">G78</f>
        <v>1.7999999999999999E-2</v>
      </c>
      <c r="I78" s="1071">
        <f t="shared" si="34"/>
        <v>1.7999999999999999E-2</v>
      </c>
      <c r="J78" s="1071">
        <f t="shared" si="34"/>
        <v>1.7999999999999999E-2</v>
      </c>
      <c r="K78" s="1071">
        <f t="shared" si="34"/>
        <v>1.7999999999999999E-2</v>
      </c>
      <c r="L78" s="1036" t="s">
        <v>602</v>
      </c>
      <c r="M78" s="1007"/>
    </row>
    <row r="79" spans="1:13">
      <c r="A79" s="1082"/>
      <c r="B79" s="1038"/>
      <c r="C79" s="1067"/>
      <c r="D79" s="1067"/>
      <c r="E79" s="1067"/>
      <c r="F79" s="1067"/>
      <c r="G79" s="1071"/>
      <c r="H79" s="1071"/>
      <c r="I79" s="1071"/>
      <c r="J79" s="1071"/>
      <c r="K79" s="1071"/>
      <c r="L79" s="1036"/>
      <c r="M79" s="1007"/>
    </row>
    <row r="80" spans="1:13">
      <c r="A80" s="1082"/>
      <c r="B80" s="1038" t="s">
        <v>395</v>
      </c>
      <c r="C80" s="1074">
        <f>VLOOKUP($B80,历史资产负债表!$B$3:$P$147,C$3-2010,FALSE)</f>
        <v>32.228979067099999</v>
      </c>
      <c r="D80" s="1074">
        <f>VLOOKUP($B80,历史资产负债表!$B$3:$P$147,D$3-2010,FALSE)</f>
        <v>36.706841884299998</v>
      </c>
      <c r="E80" s="1074">
        <f>VLOOKUP($B80,历史资产负债表!$B$3:$P$147,E$3-2010,FALSE)</f>
        <v>56.0319517549</v>
      </c>
      <c r="F80" s="1074">
        <f>VLOOKUP($B80,历史资产负债表!$B$3:$P$147,F$3-2010,FALSE)</f>
        <v>30.355245955800001</v>
      </c>
      <c r="G80" s="1086">
        <v>24.709700000000002</v>
      </c>
      <c r="H80" s="1086">
        <f t="shared" ref="H80:K80" si="35">AVERAGE(F80,G80)</f>
        <v>27.532472977899999</v>
      </c>
      <c r="I80" s="1086">
        <f t="shared" si="35"/>
        <v>26.121086488949999</v>
      </c>
      <c r="J80" s="1086">
        <f t="shared" si="35"/>
        <v>26.826779733424999</v>
      </c>
      <c r="K80" s="1086">
        <f t="shared" si="35"/>
        <v>26.473933111187499</v>
      </c>
      <c r="L80" s="1036" t="s">
        <v>715</v>
      </c>
      <c r="M80" s="1007"/>
    </row>
    <row r="81" spans="1:13">
      <c r="A81" s="1082"/>
      <c r="B81" s="1038" t="s">
        <v>277</v>
      </c>
      <c r="C81" s="1074">
        <f>VLOOKUP($B81,历史资产负债表!$B$3:$P$147,C$3-2010,FALSE)</f>
        <v>0</v>
      </c>
      <c r="D81" s="1074">
        <f>VLOOKUP($B81,历史资产负债表!$B$3:$P$147,D$3-2010,FALSE)</f>
        <v>0</v>
      </c>
      <c r="E81" s="1074">
        <f>VLOOKUP($B81,历史资产负债表!$B$3:$P$147,E$3-2010,FALSE)</f>
        <v>0.36885559070000001</v>
      </c>
      <c r="F81" s="1074">
        <f>VLOOKUP($B81,历史资产负债表!$B$3:$P$147,F$3-2010,FALSE)</f>
        <v>0.34329129609999998</v>
      </c>
      <c r="G81" s="1086">
        <f>F81</f>
        <v>0.34329129609999998</v>
      </c>
      <c r="H81" s="1086">
        <f t="shared" ref="H81:K81" si="36">G81</f>
        <v>0.34329129609999998</v>
      </c>
      <c r="I81" s="1086">
        <f t="shared" si="36"/>
        <v>0.34329129609999998</v>
      </c>
      <c r="J81" s="1086">
        <f t="shared" si="36"/>
        <v>0.34329129609999998</v>
      </c>
      <c r="K81" s="1086">
        <f t="shared" si="36"/>
        <v>0.34329129609999998</v>
      </c>
      <c r="L81" s="1036" t="s">
        <v>602</v>
      </c>
      <c r="M81" s="1007"/>
    </row>
    <row r="82" spans="1:13">
      <c r="A82" s="1082"/>
      <c r="B82" s="1038" t="s">
        <v>132</v>
      </c>
      <c r="C82" s="1074">
        <f>VLOOKUP($B82,历史资产负债表!$B$3:$P$147,C$3-2010,FALSE)</f>
        <v>5.7030332894000004</v>
      </c>
      <c r="D82" s="1074">
        <f>VLOOKUP($B82,历史资产负债表!$B$3:$P$147,D$3-2010,FALSE)</f>
        <v>5.9390722779999994</v>
      </c>
      <c r="E82" s="1074">
        <f>VLOOKUP($B82,历史资产负债表!$B$3:$P$147,E$3-2010,FALSE)</f>
        <v>6.8351227810999999</v>
      </c>
      <c r="F82" s="1074">
        <f>VLOOKUP($B82,历史资产负债表!$B$3:$P$147,F$3-2010,FALSE)</f>
        <v>7.0235327811000001</v>
      </c>
      <c r="G82" s="1087">
        <f>F82*(1+G62)</f>
        <v>7.3066723538233935</v>
      </c>
      <c r="H82" s="1087">
        <f t="shared" ref="H82:K82" si="37">G82*(1+H62)</f>
        <v>7.6012261279381033</v>
      </c>
      <c r="I82" s="1087">
        <f t="shared" si="37"/>
        <v>7.9076542439753457</v>
      </c>
      <c r="J82" s="1087">
        <f t="shared" si="37"/>
        <v>8.226435392104742</v>
      </c>
      <c r="K82" s="1087">
        <f t="shared" si="37"/>
        <v>8.5580675599256129</v>
      </c>
      <c r="L82" s="1036" t="s">
        <v>605</v>
      </c>
      <c r="M82" s="1007"/>
    </row>
    <row r="83" spans="1:13">
      <c r="A83" s="1082"/>
      <c r="B83" s="1038" t="s">
        <v>27</v>
      </c>
      <c r="C83" s="1074">
        <f>VLOOKUP($B83,历史资产负债表!$B$3:$P$147,C$3-2010,FALSE)</f>
        <v>40</v>
      </c>
      <c r="D83" s="1074">
        <f>VLOOKUP($B83,历史资产负债表!$B$3:$P$147,D$3-2010,FALSE)</f>
        <v>38</v>
      </c>
      <c r="E83" s="1074">
        <f>VLOOKUP($B83,历史资产负债表!$B$3:$P$147,E$3-2010,FALSE)</f>
        <v>29</v>
      </c>
      <c r="F83" s="1074">
        <f>VLOOKUP($B83,历史资产负债表!$B$3:$P$147,F$3-2010,FALSE)</f>
        <v>2</v>
      </c>
      <c r="G83" s="1088">
        <f>F83*(1+G7)</f>
        <v>2.0410044917094154</v>
      </c>
      <c r="H83" s="1088">
        <f>G83*(1+H7)</f>
        <v>2.1022346264606981</v>
      </c>
      <c r="I83" s="1088">
        <f>H83*(1+I7)</f>
        <v>2.1547904921222156</v>
      </c>
      <c r="J83" s="1088">
        <f>I83*(1+J7)</f>
        <v>2.2021958829489043</v>
      </c>
      <c r="K83" s="1088">
        <f>J83*(1+K7)</f>
        <v>2.2506441923737803</v>
      </c>
      <c r="L83" s="1036" t="s">
        <v>602</v>
      </c>
      <c r="M83" s="1007"/>
    </row>
    <row r="84" spans="1:13">
      <c r="A84" s="1082"/>
      <c r="B84" s="1089" t="s">
        <v>92</v>
      </c>
      <c r="C84" s="1090">
        <f>VLOOKUP($B84,历史资产负债表!$B$3:$P$147,C$3-2010,FALSE)</f>
        <v>0</v>
      </c>
      <c r="D84" s="1090">
        <f>VLOOKUP($B84,历史资产负债表!$B$3:$P$147,D$3-2010,FALSE)</f>
        <v>0</v>
      </c>
      <c r="E84" s="1090">
        <f>VLOOKUP($B84,历史资产负债表!$B$3:$P$147,E$3-2010,FALSE)</f>
        <v>0</v>
      </c>
      <c r="F84" s="1090">
        <f>VLOOKUP($B84,历史资产负债表!$B$3:$P$147,F$3-2010,FALSE)</f>
        <v>0</v>
      </c>
      <c r="G84" s="1091">
        <f t="shared" ref="G84" si="38">F84</f>
        <v>0</v>
      </c>
      <c r="H84" s="1091">
        <f t="shared" ref="H84" si="39">G84</f>
        <v>0</v>
      </c>
      <c r="I84" s="1091">
        <f t="shared" ref="I84" si="40">H84</f>
        <v>0</v>
      </c>
      <c r="J84" s="1091">
        <f t="shared" ref="J84" si="41">I84</f>
        <v>0</v>
      </c>
      <c r="K84" s="1091">
        <f t="shared" ref="K84" si="42">J84</f>
        <v>0</v>
      </c>
      <c r="L84" s="1092" t="s">
        <v>602</v>
      </c>
      <c r="M84" s="1007"/>
    </row>
    <row r="85" spans="1:13" ht="15.6">
      <c r="A85" s="1082"/>
      <c r="B85" s="1080" t="s">
        <v>398</v>
      </c>
      <c r="C85" s="1055"/>
      <c r="D85" s="1093"/>
      <c r="E85" s="1093"/>
      <c r="F85" s="1093"/>
      <c r="G85" s="1064"/>
      <c r="H85" s="1064"/>
      <c r="I85" s="1064"/>
      <c r="J85" s="1064"/>
      <c r="K85" s="1064"/>
      <c r="L85" s="1081"/>
      <c r="M85" s="1007"/>
    </row>
    <row r="86" spans="1:13">
      <c r="A86" s="1082"/>
      <c r="B86" s="1094" t="s">
        <v>560</v>
      </c>
      <c r="C86" s="1083">
        <f>VLOOKUP($B86,关键参数底稿!$B$12:$P$187,假设!C$3-2010,FALSE)</f>
        <v>0.10366333343098585</v>
      </c>
      <c r="D86" s="1083">
        <f>VLOOKUP($B86,关键参数底稿!$B$12:$P$187,假设!D$3-2010,FALSE)</f>
        <v>0.11978913150342289</v>
      </c>
      <c r="E86" s="1083">
        <f>VLOOKUP($B86,关键参数底稿!$B$12:$P$187,假设!E$3-2010,FALSE)</f>
        <v>0.11439436958766379</v>
      </c>
      <c r="F86" s="1083">
        <f>VLOOKUP($B86,关键参数底稿!$B$12:$P$187,假设!F$3-2010,FALSE)</f>
        <v>9.4369054315628836E-2</v>
      </c>
      <c r="G86" s="1084">
        <v>9.6000000000000002E-2</v>
      </c>
      <c r="H86" s="1084">
        <f t="shared" ref="H86:K86" si="43">G86</f>
        <v>9.6000000000000002E-2</v>
      </c>
      <c r="I86" s="1084">
        <f t="shared" si="43"/>
        <v>9.6000000000000002E-2</v>
      </c>
      <c r="J86" s="1084">
        <f t="shared" si="43"/>
        <v>9.6000000000000002E-2</v>
      </c>
      <c r="K86" s="1084">
        <f t="shared" si="43"/>
        <v>9.6000000000000002E-2</v>
      </c>
      <c r="L86" s="1085" t="s">
        <v>602</v>
      </c>
      <c r="M86" s="1007"/>
    </row>
    <row r="87" spans="1:13">
      <c r="A87" s="1082"/>
      <c r="B87" s="1038" t="s">
        <v>567</v>
      </c>
      <c r="C87" s="1067">
        <f>VLOOKUP($B87,关键参数底稿!$B$12:$P$187,假设!C$3-2010,FALSE)</f>
        <v>3.7410412560007433E-2</v>
      </c>
      <c r="D87" s="1067">
        <f>VLOOKUP($B87,关键参数底稿!$B$12:$P$187,假设!D$3-2010,FALSE)</f>
        <v>4.2846254470233582E-2</v>
      </c>
      <c r="E87" s="1067">
        <f>VLOOKUP($B87,关键参数底稿!$B$12:$P$187,假设!E$3-2010,FALSE)</f>
        <v>5.8858092862495229E-2</v>
      </c>
      <c r="F87" s="1067">
        <f>VLOOKUP($B87,关键参数底稿!$B$12:$P$187,假设!F$3-2010,FALSE)</f>
        <v>6.00412775287111E-2</v>
      </c>
      <c r="G87" s="1071">
        <v>6.2E-2</v>
      </c>
      <c r="H87" s="1071">
        <f t="shared" ref="H87:K87" si="44">G87</f>
        <v>6.2E-2</v>
      </c>
      <c r="I87" s="1071">
        <f t="shared" si="44"/>
        <v>6.2E-2</v>
      </c>
      <c r="J87" s="1071">
        <f t="shared" si="44"/>
        <v>6.2E-2</v>
      </c>
      <c r="K87" s="1071">
        <f t="shared" si="44"/>
        <v>6.2E-2</v>
      </c>
      <c r="L87" s="1036" t="s">
        <v>602</v>
      </c>
      <c r="M87" s="1007"/>
    </row>
    <row r="88" spans="1:13">
      <c r="A88" s="1082"/>
      <c r="B88" s="1038" t="s">
        <v>572</v>
      </c>
      <c r="C88" s="1067">
        <f>VLOOKUP($B88,关键参数底稿!$B$12:$P$187,假设!C$3-2010,FALSE)</f>
        <v>-4.8520727490429438E-3</v>
      </c>
      <c r="D88" s="1067">
        <f>VLOOKUP($B88,关键参数底稿!$B$12:$P$187,假设!D$3-2010,FALSE)</f>
        <v>-3.2474476362610451E-2</v>
      </c>
      <c r="E88" s="1067">
        <f>VLOOKUP($B88,关键参数底稿!$B$12:$P$187,假设!E$3-2010,FALSE)</f>
        <v>-7.7624904743783849E-2</v>
      </c>
      <c r="F88" s="1067">
        <f>VLOOKUP($B88,关键参数底稿!$B$12:$P$187,假设!F$3-2010,FALSE)</f>
        <v>-7.6542647319799706E-2</v>
      </c>
      <c r="G88" s="1071">
        <f>AVERAGE(E88:F88)</f>
        <v>-7.7083776031791784E-2</v>
      </c>
      <c r="H88" s="1071">
        <f t="shared" ref="H88:K88" si="45">AVERAGE(F88:G88)</f>
        <v>-7.6813211675795745E-2</v>
      </c>
      <c r="I88" s="1071">
        <f t="shared" si="45"/>
        <v>-7.6948493853793765E-2</v>
      </c>
      <c r="J88" s="1071">
        <f t="shared" si="45"/>
        <v>-7.6880852764794755E-2</v>
      </c>
      <c r="K88" s="1071">
        <f t="shared" si="45"/>
        <v>-7.691467330929426E-2</v>
      </c>
      <c r="L88" s="1036" t="s">
        <v>594</v>
      </c>
      <c r="M88" s="1007"/>
    </row>
    <row r="89" spans="1:13" s="1066" customFormat="1">
      <c r="A89" s="1095"/>
      <c r="B89" s="1038" t="s">
        <v>91</v>
      </c>
      <c r="C89" s="1067">
        <f>VLOOKUP($B89,关键参数底稿!$B$12:$P$187,假设!C$3-2010,FALSE)</f>
        <v>0.43724136788091694</v>
      </c>
      <c r="D89" s="1067">
        <f>VLOOKUP($B89,关键参数底稿!$B$12:$P$187,假设!D$3-2010,FALSE)</f>
        <v>0.31570318820941484</v>
      </c>
      <c r="E89" s="1067">
        <f>VLOOKUP($B89,关键参数底稿!$B$12:$P$187,假设!E$3-2010,FALSE)</f>
        <v>0.4081422885294424</v>
      </c>
      <c r="F89" s="1067">
        <f>VLOOKUP($B89,关键参数底稿!$B$12:$P$187,假设!F$3-2010,FALSE)</f>
        <v>0.73099114986879132</v>
      </c>
      <c r="G89" s="1071">
        <f>F89</f>
        <v>0.73099114986879132</v>
      </c>
      <c r="H89" s="1071">
        <f t="shared" ref="H89:K89" si="46">G89</f>
        <v>0.73099114986879132</v>
      </c>
      <c r="I89" s="1071">
        <f t="shared" si="46"/>
        <v>0.73099114986879132</v>
      </c>
      <c r="J89" s="1071">
        <f t="shared" si="46"/>
        <v>0.73099114986879132</v>
      </c>
      <c r="K89" s="1071">
        <f t="shared" si="46"/>
        <v>0.73099114986879132</v>
      </c>
      <c r="L89" s="1036" t="s">
        <v>594</v>
      </c>
      <c r="M89" s="1007"/>
    </row>
    <row r="90" spans="1:13" s="1066" customFormat="1">
      <c r="A90" s="1095"/>
      <c r="B90" s="1043" t="s">
        <v>2408</v>
      </c>
      <c r="C90" s="1067"/>
      <c r="D90" s="2370">
        <v>7.4003232039999993</v>
      </c>
      <c r="E90" s="2370">
        <v>14.907801611400002</v>
      </c>
      <c r="F90" s="2370">
        <v>35.356419853200002</v>
      </c>
      <c r="G90" s="2371">
        <f>F90+G91</f>
        <v>43.356419853200002</v>
      </c>
      <c r="H90" s="2371">
        <f t="shared" ref="H90:K90" si="47">G90+H91</f>
        <v>51.356419853200002</v>
      </c>
      <c r="I90" s="2371">
        <f t="shared" si="47"/>
        <v>59.356419853200002</v>
      </c>
      <c r="J90" s="2371">
        <f t="shared" si="47"/>
        <v>67.356419853200009</v>
      </c>
      <c r="K90" s="2371">
        <f t="shared" si="47"/>
        <v>75.356419853200009</v>
      </c>
      <c r="L90" s="1036"/>
      <c r="M90" s="1007"/>
    </row>
    <row r="91" spans="1:13" s="1066" customFormat="1">
      <c r="A91" s="1095"/>
      <c r="B91" s="1043" t="s">
        <v>2413</v>
      </c>
      <c r="C91" s="1067"/>
      <c r="D91" s="2370"/>
      <c r="E91" s="2370"/>
      <c r="F91" s="2370"/>
      <c r="G91" s="2371">
        <f>G92-G93</f>
        <v>8</v>
      </c>
      <c r="H91" s="2371">
        <f t="shared" ref="H91:K91" si="48">H92-H93</f>
        <v>8</v>
      </c>
      <c r="I91" s="2371">
        <f t="shared" si="48"/>
        <v>8</v>
      </c>
      <c r="J91" s="2371">
        <f t="shared" si="48"/>
        <v>8</v>
      </c>
      <c r="K91" s="2371">
        <f t="shared" si="48"/>
        <v>8</v>
      </c>
      <c r="L91" s="1036"/>
      <c r="M91" s="1007"/>
    </row>
    <row r="92" spans="1:13" s="1066" customFormat="1">
      <c r="A92" s="1095"/>
      <c r="B92" s="1043" t="s">
        <v>2414</v>
      </c>
      <c r="C92" s="1067"/>
      <c r="D92" s="2370"/>
      <c r="E92" s="2370"/>
      <c r="F92" s="2370"/>
      <c r="G92" s="2374">
        <v>10</v>
      </c>
      <c r="H92" s="2374">
        <v>10</v>
      </c>
      <c r="I92" s="2374">
        <v>10</v>
      </c>
      <c r="J92" s="2374">
        <v>10</v>
      </c>
      <c r="K92" s="2374">
        <v>10</v>
      </c>
      <c r="L92" s="1036" t="s">
        <v>2410</v>
      </c>
      <c r="M92" s="1007"/>
    </row>
    <row r="93" spans="1:13" s="1066" customFormat="1">
      <c r="A93" s="1095"/>
      <c r="B93" s="1043" t="s">
        <v>2411</v>
      </c>
      <c r="C93" s="1067"/>
      <c r="D93" s="2370"/>
      <c r="E93" s="2370"/>
      <c r="F93" s="2370"/>
      <c r="G93" s="2374">
        <v>2</v>
      </c>
      <c r="H93" s="2374">
        <v>2</v>
      </c>
      <c r="I93" s="2374">
        <v>2</v>
      </c>
      <c r="J93" s="2374">
        <v>2</v>
      </c>
      <c r="K93" s="2374">
        <v>2</v>
      </c>
      <c r="L93" s="1036" t="s">
        <v>2416</v>
      </c>
      <c r="M93" s="1007"/>
    </row>
    <row r="94" spans="1:13" s="1066" customFormat="1">
      <c r="A94" s="1095"/>
      <c r="B94" s="1043" t="s">
        <v>2415</v>
      </c>
      <c r="C94" s="1067"/>
      <c r="D94" s="2370"/>
      <c r="E94" s="2370"/>
      <c r="F94" s="2370"/>
      <c r="G94" s="2371">
        <f>G93</f>
        <v>2</v>
      </c>
      <c r="H94" s="2371">
        <f>G94+H93</f>
        <v>4</v>
      </c>
      <c r="I94" s="2371">
        <f t="shared" ref="I94:K94" si="49">H94+I93</f>
        <v>6</v>
      </c>
      <c r="J94" s="2371">
        <f t="shared" si="49"/>
        <v>8</v>
      </c>
      <c r="K94" s="2371">
        <f t="shared" si="49"/>
        <v>10</v>
      </c>
      <c r="L94" s="1036"/>
      <c r="M94" s="1007"/>
    </row>
    <row r="95" spans="1:13" s="1066" customFormat="1">
      <c r="A95" s="1095"/>
      <c r="B95" s="1043" t="s">
        <v>2412</v>
      </c>
      <c r="C95" s="1067"/>
      <c r="D95" s="2370"/>
      <c r="E95" s="2370"/>
      <c r="F95" s="2370"/>
      <c r="G95" s="2371">
        <f>G92-G93</f>
        <v>8</v>
      </c>
      <c r="H95" s="2371">
        <f>H92+G95-H94</f>
        <v>14</v>
      </c>
      <c r="I95" s="2371">
        <f t="shared" ref="I95:K95" si="50">I92+H95-I94</f>
        <v>18</v>
      </c>
      <c r="J95" s="2371">
        <f t="shared" si="50"/>
        <v>20</v>
      </c>
      <c r="K95" s="2371">
        <f t="shared" si="50"/>
        <v>20</v>
      </c>
      <c r="L95" s="1036"/>
      <c r="M95" s="1007"/>
    </row>
    <row r="96" spans="1:13">
      <c r="A96" s="1024"/>
      <c r="B96" s="1038" t="s">
        <v>93</v>
      </c>
      <c r="C96" s="1096">
        <f>VLOOKUP($B96,历史资产负债表!$B$3:$P$147,C$3-2010,FALSE)</f>
        <v>1.5038346653000001</v>
      </c>
      <c r="D96" s="1096">
        <f>VLOOKUP($B96,历史资产负债表!$B$3:$P$147,D$3-2010,FALSE)</f>
        <v>1.5185370650999999</v>
      </c>
      <c r="E96" s="1096">
        <f>VLOOKUP($B96,历史资产负债表!$B$3:$P$147,E$3-2010,FALSE)</f>
        <v>0.86527297910000001</v>
      </c>
      <c r="F96" s="1096">
        <f>VLOOKUP($B96,历史资产负债表!$B$3:$P$147,F$3-2010,FALSE)</f>
        <v>1.0857833706</v>
      </c>
      <c r="G96" s="1097">
        <v>1.1655</v>
      </c>
      <c r="H96" s="1097">
        <f t="shared" ref="H96:H101" si="51">G96</f>
        <v>1.1655</v>
      </c>
      <c r="I96" s="1097">
        <f t="shared" ref="I96:I101" si="52">H96</f>
        <v>1.1655</v>
      </c>
      <c r="J96" s="1097">
        <f t="shared" ref="J96:J101" si="53">I96</f>
        <v>1.1655</v>
      </c>
      <c r="K96" s="1097">
        <f t="shared" ref="K96:K101" si="54">J96</f>
        <v>1.1655</v>
      </c>
      <c r="L96" s="1036" t="s">
        <v>602</v>
      </c>
      <c r="M96" s="1007"/>
    </row>
    <row r="97" spans="1:13">
      <c r="A97" s="1024"/>
      <c r="B97" s="1038" t="s">
        <v>28</v>
      </c>
      <c r="C97" s="1096">
        <f>VLOOKUP($B97,历史资产负债表!$B$3:$P$147,C$3-2010,FALSE)</f>
        <v>266.76762009070001</v>
      </c>
      <c r="D97" s="1096">
        <f>VLOOKUP($B97,历史资产负债表!$B$3:$P$147,D$3-2010,FALSE)</f>
        <v>316.42235483280001</v>
      </c>
      <c r="E97" s="1096">
        <f>VLOOKUP($B97,历史资产负债表!$B$3:$P$147,E$3-2010,FALSE)</f>
        <v>343.82479675349998</v>
      </c>
      <c r="F97" s="1096">
        <f>VLOOKUP($B97,历史资产负债表!$B$3:$P$147,F$3-2010,FALSE)</f>
        <v>335.59874685</v>
      </c>
      <c r="G97" s="1097">
        <v>371.36110000000002</v>
      </c>
      <c r="H97" s="1097">
        <f t="shared" si="51"/>
        <v>371.36110000000002</v>
      </c>
      <c r="I97" s="1097">
        <f t="shared" si="52"/>
        <v>371.36110000000002</v>
      </c>
      <c r="J97" s="1097">
        <f t="shared" si="53"/>
        <v>371.36110000000002</v>
      </c>
      <c r="K97" s="1097">
        <f t="shared" si="54"/>
        <v>371.36110000000002</v>
      </c>
      <c r="L97" s="1036" t="s">
        <v>602</v>
      </c>
      <c r="M97" s="1007"/>
    </row>
    <row r="98" spans="1:13">
      <c r="A98" s="1024"/>
      <c r="B98" s="1038" t="s">
        <v>94</v>
      </c>
      <c r="C98" s="1096">
        <f>VLOOKUP($B98,历史资产负债表!$B$3:$P$147,C$3-2010,FALSE)</f>
        <v>0</v>
      </c>
      <c r="D98" s="1096">
        <f>VLOOKUP($B98,历史资产负债表!$B$3:$P$147,D$3-2010,FALSE)</f>
        <v>0</v>
      </c>
      <c r="E98" s="1096">
        <f>VLOOKUP($B98,历史资产负债表!$B$3:$P$147,E$3-2010,FALSE)</f>
        <v>0</v>
      </c>
      <c r="F98" s="1096">
        <f>VLOOKUP($B98,历史资产负债表!$B$3:$P$147,F$3-2010,FALSE)</f>
        <v>0</v>
      </c>
      <c r="G98" s="1097">
        <f t="shared" ref="G98:G101" si="55">F98</f>
        <v>0</v>
      </c>
      <c r="H98" s="1097">
        <f t="shared" si="51"/>
        <v>0</v>
      </c>
      <c r="I98" s="1097">
        <f t="shared" si="52"/>
        <v>0</v>
      </c>
      <c r="J98" s="1097">
        <f t="shared" si="53"/>
        <v>0</v>
      </c>
      <c r="K98" s="1097">
        <f t="shared" si="54"/>
        <v>0</v>
      </c>
      <c r="L98" s="1036" t="s">
        <v>602</v>
      </c>
      <c r="M98" s="1007"/>
    </row>
    <row r="99" spans="1:13">
      <c r="A99" s="1024"/>
      <c r="B99" s="1038" t="s">
        <v>399</v>
      </c>
      <c r="C99" s="1096">
        <f>VLOOKUP($B99,历史资产负债表!$B$3:$P$147,C$3-2010,FALSE)</f>
        <v>0</v>
      </c>
      <c r="D99" s="1096">
        <f>VLOOKUP($B99,历史资产负债表!$B$3:$P$147,D$3-2010,FALSE)</f>
        <v>1.6298227299999999E-2</v>
      </c>
      <c r="E99" s="1096">
        <f>VLOOKUP($B99,历史资产负债表!$B$3:$P$147,E$3-2010,FALSE)</f>
        <v>0</v>
      </c>
      <c r="F99" s="1096">
        <f>VLOOKUP($B99,历史资产负债表!$B$3:$P$147,F$3-2010,FALSE)</f>
        <v>0</v>
      </c>
      <c r="G99" s="1097">
        <f t="shared" si="55"/>
        <v>0</v>
      </c>
      <c r="H99" s="1097">
        <f t="shared" si="51"/>
        <v>0</v>
      </c>
      <c r="I99" s="1097">
        <f t="shared" si="52"/>
        <v>0</v>
      </c>
      <c r="J99" s="1097">
        <f t="shared" si="53"/>
        <v>0</v>
      </c>
      <c r="K99" s="1097">
        <f t="shared" si="54"/>
        <v>0</v>
      </c>
      <c r="L99" s="1036" t="s">
        <v>602</v>
      </c>
      <c r="M99" s="1007"/>
    </row>
    <row r="100" spans="1:13">
      <c r="A100" s="1024"/>
      <c r="B100" s="1038" t="s">
        <v>95</v>
      </c>
      <c r="C100" s="1096">
        <f>VLOOKUP($B100,历史资产负债表!$B$3:$P$147,C$3-2010,FALSE)</f>
        <v>1.1353581699999999</v>
      </c>
      <c r="D100" s="1096">
        <f>VLOOKUP($B100,历史资产负债表!$B$3:$P$147,D$3-2010,FALSE)</f>
        <v>1.1864594739000001</v>
      </c>
      <c r="E100" s="1096">
        <f>VLOOKUP($B100,历史资产负债表!$B$3:$P$147,E$3-2010,FALSE)</f>
        <v>1.1866191329</v>
      </c>
      <c r="F100" s="1096">
        <f>VLOOKUP($B100,历史资产负债表!$B$3:$P$147,F$3-2010,FALSE)</f>
        <v>0.93630807220000001</v>
      </c>
      <c r="G100" s="1097">
        <f t="shared" si="55"/>
        <v>0.93630807220000001</v>
      </c>
      <c r="H100" s="1097">
        <f t="shared" si="51"/>
        <v>0.93630807220000001</v>
      </c>
      <c r="I100" s="1097">
        <f t="shared" si="52"/>
        <v>0.93630807220000001</v>
      </c>
      <c r="J100" s="1097">
        <f t="shared" si="53"/>
        <v>0.93630807220000001</v>
      </c>
      <c r="K100" s="1097">
        <f t="shared" si="54"/>
        <v>0.93630807220000001</v>
      </c>
      <c r="L100" s="1036" t="s">
        <v>602</v>
      </c>
      <c r="M100" s="1007"/>
    </row>
    <row r="101" spans="1:13">
      <c r="A101" s="1024"/>
      <c r="B101" s="1089" t="s">
        <v>342</v>
      </c>
      <c r="C101" s="1098">
        <f>VLOOKUP($B101,历史资产负债表!$B$3:$P$147,C$3-2010,FALSE)</f>
        <v>7.5880956523999998</v>
      </c>
      <c r="D101" s="1098">
        <f>VLOOKUP($B101,历史资产负债表!$B$3:$P$147,D$3-2010,FALSE)</f>
        <v>0</v>
      </c>
      <c r="E101" s="1098">
        <f>VLOOKUP($B101,历史资产负债表!$B$3:$P$147,E$3-2010,FALSE)</f>
        <v>0</v>
      </c>
      <c r="F101" s="1098">
        <f>VLOOKUP($B101,历史资产负债表!$B$3:$P$147,F$3-2010,FALSE)</f>
        <v>0</v>
      </c>
      <c r="G101" s="1091">
        <f t="shared" si="55"/>
        <v>0</v>
      </c>
      <c r="H101" s="1091">
        <f t="shared" si="51"/>
        <v>0</v>
      </c>
      <c r="I101" s="1091">
        <f t="shared" si="52"/>
        <v>0</v>
      </c>
      <c r="J101" s="1091">
        <f t="shared" si="53"/>
        <v>0</v>
      </c>
      <c r="K101" s="1091">
        <f t="shared" si="54"/>
        <v>0</v>
      </c>
      <c r="L101" s="1092" t="s">
        <v>602</v>
      </c>
      <c r="M101" s="1007"/>
    </row>
    <row r="102" spans="1:13" ht="15.6">
      <c r="A102" s="1024"/>
      <c r="B102" s="1080" t="s">
        <v>397</v>
      </c>
      <c r="C102" s="1099"/>
      <c r="D102" s="1099"/>
      <c r="E102" s="1099"/>
      <c r="F102" s="1099"/>
      <c r="G102" s="1100"/>
      <c r="H102" s="1100"/>
      <c r="I102" s="1100"/>
      <c r="J102" s="1100"/>
      <c r="K102" s="1100"/>
      <c r="L102" s="1081"/>
      <c r="M102" s="1007"/>
    </row>
    <row r="103" spans="1:13">
      <c r="A103" s="1024"/>
      <c r="B103" s="1094" t="s">
        <v>97</v>
      </c>
      <c r="C103" s="1758">
        <v>0.1</v>
      </c>
      <c r="D103" s="1758">
        <v>0.1</v>
      </c>
      <c r="E103" s="1758">
        <v>0.1</v>
      </c>
      <c r="F103" s="1758">
        <v>0.1</v>
      </c>
      <c r="G103" s="1758">
        <v>0.1</v>
      </c>
      <c r="H103" s="1758">
        <v>0.1</v>
      </c>
      <c r="I103" s="1758">
        <v>0.1</v>
      </c>
      <c r="J103" s="1758">
        <v>0.1</v>
      </c>
      <c r="K103" s="1758">
        <v>0.1</v>
      </c>
      <c r="L103" s="1085" t="s">
        <v>601</v>
      </c>
      <c r="M103" s="1007"/>
    </row>
    <row r="104" spans="1:13">
      <c r="A104" s="1030" t="s">
        <v>1011</v>
      </c>
      <c r="B104" s="1038" t="s">
        <v>98</v>
      </c>
      <c r="C104" s="1882">
        <v>0</v>
      </c>
      <c r="D104" s="1882">
        <v>0</v>
      </c>
      <c r="E104" s="1882">
        <v>0.33493435798911297</v>
      </c>
      <c r="F104" s="1882">
        <v>0.33493435798911297</v>
      </c>
      <c r="G104" s="1623">
        <f>F104</f>
        <v>0.33493435798911297</v>
      </c>
      <c r="H104" s="1623">
        <f t="shared" ref="H104:K104" si="56">G104</f>
        <v>0.33493435798911297</v>
      </c>
      <c r="I104" s="1623">
        <f t="shared" si="56"/>
        <v>0.33493435798911297</v>
      </c>
      <c r="J104" s="1623">
        <f t="shared" si="56"/>
        <v>0.33493435798911297</v>
      </c>
      <c r="K104" s="1623">
        <f t="shared" si="56"/>
        <v>0.33493435798911297</v>
      </c>
      <c r="L104" s="1036" t="s">
        <v>601</v>
      </c>
      <c r="M104" s="1007"/>
    </row>
    <row r="105" spans="1:13">
      <c r="A105" s="1030" t="s">
        <v>1011</v>
      </c>
      <c r="B105" s="1038" t="s">
        <v>319</v>
      </c>
      <c r="C105" s="1074">
        <f>VLOOKUP($B105,历史资产负债表!$B$3:$P$147,C$3-2010,FALSE)</f>
        <v>57.634912300000003</v>
      </c>
      <c r="D105" s="1074">
        <f>VLOOKUP($B105,历史资产负债表!$B$3:$P$147,D$3-2010,FALSE)</f>
        <v>1091.7142063088002</v>
      </c>
      <c r="E105" s="1074">
        <f>VLOOKUP($B105,历史资产负债表!$B$3:$P$147,E$3-2010,FALSE)</f>
        <v>1251.331770815</v>
      </c>
      <c r="F105" s="1074">
        <f>VLOOKUP($B105,历史资产负债表!$B$3:$P$147,F$3-2010,FALSE)</f>
        <v>1289.246215744</v>
      </c>
      <c r="G105" s="1101">
        <f>F105</f>
        <v>1289.246215744</v>
      </c>
      <c r="H105" s="1101">
        <f>G105</f>
        <v>1289.246215744</v>
      </c>
      <c r="I105" s="1101">
        <f t="shared" ref="I105:K105" si="57">H105</f>
        <v>1289.246215744</v>
      </c>
      <c r="J105" s="1101">
        <f t="shared" si="57"/>
        <v>1289.246215744</v>
      </c>
      <c r="K105" s="1101">
        <f t="shared" si="57"/>
        <v>1289.246215744</v>
      </c>
      <c r="L105" s="1036" t="s">
        <v>601</v>
      </c>
      <c r="M105" s="1007"/>
    </row>
    <row r="106" spans="1:13">
      <c r="A106" s="1024"/>
      <c r="B106" s="1038" t="s">
        <v>406</v>
      </c>
      <c r="C106" s="1074">
        <f>VLOOKUP($B106,历史资产负债表!$B$3:$P$147,C$3-2010,FALSE)</f>
        <v>0</v>
      </c>
      <c r="D106" s="1074">
        <f>VLOOKUP($B106,历史资产负债表!$B$3:$P$147,D$3-2010,FALSE)</f>
        <v>0</v>
      </c>
      <c r="E106" s="1074">
        <f>VLOOKUP($B106,历史资产负债表!$B$3:$P$147,E$3-2010,FALSE)</f>
        <v>0</v>
      </c>
      <c r="F106" s="1074">
        <f>VLOOKUP($B106,历史资产负债表!$B$3:$P$147,F$3-2010,FALSE)</f>
        <v>0</v>
      </c>
      <c r="G106" s="1102">
        <f>F106</f>
        <v>0</v>
      </c>
      <c r="H106" s="1102"/>
      <c r="I106" s="1102"/>
      <c r="J106" s="1102"/>
      <c r="K106" s="1102"/>
      <c r="L106" s="1036" t="s">
        <v>602</v>
      </c>
      <c r="M106" s="1007"/>
    </row>
    <row r="107" spans="1:13">
      <c r="A107" s="1024"/>
      <c r="B107" s="1054"/>
      <c r="C107" s="1055"/>
      <c r="D107" s="1055"/>
      <c r="E107" s="1055"/>
      <c r="F107" s="1055"/>
      <c r="G107" s="1103"/>
      <c r="H107" s="1103"/>
      <c r="I107" s="1103"/>
      <c r="J107" s="1103"/>
      <c r="K107" s="1103"/>
      <c r="L107" s="1058"/>
      <c r="M107" s="1007"/>
    </row>
    <row r="108" spans="1:13" ht="15.6">
      <c r="A108" s="1024"/>
      <c r="B108" s="1059" t="s">
        <v>255</v>
      </c>
      <c r="C108" s="1060"/>
      <c r="D108" s="1060"/>
      <c r="E108" s="1060"/>
      <c r="F108" s="1060"/>
      <c r="G108" s="1104"/>
      <c r="H108" s="1918"/>
      <c r="I108" s="1918"/>
      <c r="J108" s="1918"/>
      <c r="K108" s="1918"/>
      <c r="L108" s="1062"/>
      <c r="M108" s="1007"/>
    </row>
    <row r="109" spans="1:13">
      <c r="A109" s="1030" t="s">
        <v>1011</v>
      </c>
      <c r="B109" s="1031" t="s">
        <v>100</v>
      </c>
      <c r="C109" s="1074">
        <f>VLOOKUP("其他收益",历史利润表!$B$3:$P$48,假设!C$3-2010,FALSE)</f>
        <v>0</v>
      </c>
      <c r="D109" s="1313">
        <v>0</v>
      </c>
      <c r="E109" s="1313">
        <v>0</v>
      </c>
      <c r="F109" s="1313">
        <v>0</v>
      </c>
      <c r="G109" s="1313">
        <v>0</v>
      </c>
      <c r="H109" s="1313">
        <v>0</v>
      </c>
      <c r="I109" s="1313">
        <v>0</v>
      </c>
      <c r="J109" s="1313">
        <v>0</v>
      </c>
      <c r="K109" s="1313">
        <v>0</v>
      </c>
      <c r="L109" s="1105" t="s">
        <v>1183</v>
      </c>
      <c r="M109" s="1007"/>
    </row>
    <row r="110" spans="1:13">
      <c r="A110" s="1030" t="s">
        <v>1011</v>
      </c>
      <c r="B110" s="1038" t="s">
        <v>101</v>
      </c>
      <c r="C110" s="1074">
        <f>VLOOKUP("货币资金",历史资产负债表!$B$3:$P$147,C$3-2010,FALSE)</f>
        <v>89.522596727199996</v>
      </c>
      <c r="D110" s="1074">
        <f>VLOOKUP("货币资金",历史资产负债表!$B$3:$P$147,D$3-2010,FALSE)</f>
        <v>107.65935087850001</v>
      </c>
      <c r="E110" s="1074">
        <f>VLOOKUP("货币资金",历史资产负债表!$B$3:$P$147,E$3-2010,FALSE)</f>
        <v>126.23381364069999</v>
      </c>
      <c r="F110" s="1074">
        <f>VLOOKUP("货币资金",历史资产负债表!$B$3:$P$147,F$3-2010,FALSE)</f>
        <v>162.28785960479999</v>
      </c>
      <c r="G110" s="1860">
        <f>AVERAGE(C110:F110)</f>
        <v>121.42590521279999</v>
      </c>
      <c r="H110" s="1860">
        <f>G110</f>
        <v>121.42590521279999</v>
      </c>
      <c r="I110" s="1860">
        <f t="shared" ref="I110:K110" si="58">H110</f>
        <v>121.42590521279999</v>
      </c>
      <c r="J110" s="1860">
        <f t="shared" si="58"/>
        <v>121.42590521279999</v>
      </c>
      <c r="K110" s="1860">
        <f t="shared" si="58"/>
        <v>121.42590521279999</v>
      </c>
      <c r="L110" s="1041" t="s">
        <v>1199</v>
      </c>
      <c r="M110" s="1007"/>
    </row>
    <row r="111" spans="1:13">
      <c r="A111" s="1024"/>
      <c r="B111" s="1054"/>
      <c r="C111" s="1055"/>
      <c r="D111" s="1055"/>
      <c r="E111" s="1055"/>
      <c r="F111" s="1055"/>
      <c r="G111" s="1106"/>
      <c r="H111" s="1106"/>
      <c r="I111" s="1106"/>
      <c r="J111" s="1106"/>
      <c r="K111" s="1106"/>
      <c r="L111" s="1058"/>
      <c r="M111" s="1007"/>
    </row>
    <row r="112" spans="1:13" ht="16.2" thickBot="1">
      <c r="A112" s="1019" t="s">
        <v>256</v>
      </c>
      <c r="B112" s="1107"/>
      <c r="C112" s="1021"/>
      <c r="D112" s="1021"/>
      <c r="E112" s="1021"/>
      <c r="F112" s="1021"/>
      <c r="G112" s="1108"/>
      <c r="H112" s="1919"/>
      <c r="I112" s="1919"/>
      <c r="J112" s="1919"/>
      <c r="K112" s="1919"/>
      <c r="L112" s="1023"/>
      <c r="M112" s="1007"/>
    </row>
    <row r="113" spans="1:13" ht="15.6" customHeight="1">
      <c r="A113" s="1109"/>
      <c r="B113" s="1110" t="s">
        <v>310</v>
      </c>
      <c r="C113" s="1027"/>
      <c r="D113" s="1027"/>
      <c r="E113" s="1027"/>
      <c r="F113" s="1027"/>
      <c r="G113" s="1111"/>
      <c r="H113" s="1111"/>
      <c r="I113" s="1111"/>
      <c r="J113" s="1111"/>
      <c r="K113" s="1111"/>
      <c r="L113" s="1112"/>
      <c r="M113" s="1007"/>
    </row>
    <row r="114" spans="1:13" ht="15.6" customHeight="1">
      <c r="A114" s="1109"/>
      <c r="B114" s="1080" t="s">
        <v>434</v>
      </c>
      <c r="C114" s="1056"/>
      <c r="D114" s="1056"/>
      <c r="E114" s="1056"/>
      <c r="F114" s="1056"/>
      <c r="G114" s="1064"/>
      <c r="H114" s="1064"/>
      <c r="I114" s="1064"/>
      <c r="J114" s="1064"/>
      <c r="K114" s="1064"/>
      <c r="L114" s="1058"/>
      <c r="M114" s="1007"/>
    </row>
    <row r="115" spans="1:13" s="1018" customFormat="1" ht="15.6" customHeight="1">
      <c r="A115" s="1109"/>
      <c r="B115" s="1043" t="s">
        <v>2420</v>
      </c>
      <c r="C115" s="1056"/>
      <c r="D115" s="1056"/>
      <c r="E115" s="1056"/>
      <c r="F115" s="1056"/>
      <c r="G115" s="2376">
        <v>0.06</v>
      </c>
      <c r="H115" s="2376">
        <v>0.06</v>
      </c>
      <c r="I115" s="2376">
        <v>0.06</v>
      </c>
      <c r="J115" s="2376">
        <v>0.06</v>
      </c>
      <c r="K115" s="2376">
        <v>0.06</v>
      </c>
      <c r="L115" s="1036" t="s">
        <v>601</v>
      </c>
      <c r="M115" s="1007"/>
    </row>
    <row r="116" spans="1:13">
      <c r="A116" s="1030"/>
      <c r="B116" s="1038" t="s">
        <v>306</v>
      </c>
      <c r="C116" s="1759">
        <v>5.4782485982381637E-3</v>
      </c>
      <c r="D116" s="1759">
        <v>5.4782485982381637E-3</v>
      </c>
      <c r="E116" s="1759">
        <v>3.8806997515546809E-3</v>
      </c>
      <c r="F116" s="1759">
        <v>4.7446896035286262E-3</v>
      </c>
      <c r="G116" s="1759">
        <v>5.0000000000000001E-3</v>
      </c>
      <c r="H116" s="1759">
        <v>5.0000000000000001E-3</v>
      </c>
      <c r="I116" s="1759">
        <v>5.0000000000000001E-3</v>
      </c>
      <c r="J116" s="1759">
        <v>5.0000000000000001E-3</v>
      </c>
      <c r="K116" s="1759">
        <v>5.0000000000000001E-3</v>
      </c>
      <c r="L116" s="1036" t="s">
        <v>1167</v>
      </c>
      <c r="M116" s="1007"/>
    </row>
    <row r="117" spans="1:13">
      <c r="A117" s="1030"/>
      <c r="B117" s="1038" t="s">
        <v>307</v>
      </c>
      <c r="C117" s="1759">
        <v>0.85</v>
      </c>
      <c r="D117" s="1759">
        <v>0.85</v>
      </c>
      <c r="E117" s="1759">
        <v>0.85</v>
      </c>
      <c r="F117" s="1759">
        <v>0.85</v>
      </c>
      <c r="G117" s="1759">
        <v>0.85000020007843069</v>
      </c>
      <c r="H117" s="1759">
        <v>0.85000020007843069</v>
      </c>
      <c r="I117" s="1759">
        <v>0.85000020007843069</v>
      </c>
      <c r="J117" s="1759">
        <v>0.85000020007843069</v>
      </c>
      <c r="K117" s="1759">
        <v>0.85000020007843069</v>
      </c>
      <c r="L117" s="1036" t="s">
        <v>1260</v>
      </c>
      <c r="M117" s="1007"/>
    </row>
    <row r="118" spans="1:13">
      <c r="A118" s="1030" t="s">
        <v>1010</v>
      </c>
      <c r="B118" s="1997" t="s">
        <v>308</v>
      </c>
      <c r="C118" s="1113">
        <v>47.84</v>
      </c>
      <c r="D118" s="1113">
        <v>104.51</v>
      </c>
      <c r="E118" s="1113">
        <v>70.37</v>
      </c>
      <c r="F118" s="1188">
        <v>22</v>
      </c>
      <c r="G118" s="1114">
        <f>IF(动因指标对成果指标影响分析!D8=TRUE,(动因指标对成果指标影响分析!E8+动因指标对成果指标影响分析!F8),IF(多维联动分析!$B$4="YES",多维联动分析!D41,G119))</f>
        <v>0</v>
      </c>
      <c r="H118" s="1188">
        <f>H119</f>
        <v>0</v>
      </c>
      <c r="I118" s="1188">
        <f t="shared" ref="I118:K118" si="59">I119</f>
        <v>0</v>
      </c>
      <c r="J118" s="1188">
        <f t="shared" si="59"/>
        <v>0</v>
      </c>
      <c r="K118" s="1188">
        <f t="shared" si="59"/>
        <v>0</v>
      </c>
      <c r="L118" s="1036" t="s">
        <v>601</v>
      </c>
      <c r="M118" s="1007"/>
    </row>
    <row r="119" spans="1:13">
      <c r="A119" s="1030"/>
      <c r="B119" s="1038" t="s">
        <v>308</v>
      </c>
      <c r="C119" s="1113"/>
      <c r="D119" s="1113"/>
      <c r="E119" s="1113"/>
      <c r="F119" s="1188"/>
      <c r="G119" s="1188"/>
      <c r="H119" s="1188">
        <f>G118</f>
        <v>0</v>
      </c>
      <c r="I119" s="1188">
        <f t="shared" ref="I119:K119" si="60">H118</f>
        <v>0</v>
      </c>
      <c r="J119" s="1188">
        <f t="shared" si="60"/>
        <v>0</v>
      </c>
      <c r="K119" s="1188">
        <f t="shared" si="60"/>
        <v>0</v>
      </c>
      <c r="L119" s="1036"/>
      <c r="M119" s="1007"/>
    </row>
    <row r="120" spans="1:13">
      <c r="A120" s="1024"/>
      <c r="B120" s="1038" t="s">
        <v>23</v>
      </c>
      <c r="C120" s="1074">
        <f>VLOOKUP("减：固定资产减值准备",历史资产负债表!$B$3:$P$147,C$3-2010,FALSE)</f>
        <v>0.13129785250000001</v>
      </c>
      <c r="D120" s="1074">
        <f>VLOOKUP("减：固定资产减值准备",历史资产负债表!$B$3:$P$147,D$3-2010,FALSE)</f>
        <v>0.13129785250000001</v>
      </c>
      <c r="E120" s="1074">
        <f>VLOOKUP("减：固定资产减值准备",历史资产负债表!$B$3:$P$147,E$3-2010,FALSE)</f>
        <v>0.13129785250000001</v>
      </c>
      <c r="F120" s="1074">
        <f>VLOOKUP("减：固定资产减值准备",历史资产负债表!$B$3:$P$147,F$3-2010,FALSE)</f>
        <v>0.13129785250000001</v>
      </c>
      <c r="G120" s="1857">
        <f>F120</f>
        <v>0.13129785250000001</v>
      </c>
      <c r="H120" s="1857">
        <f t="shared" ref="H120:K120" si="61">G120</f>
        <v>0.13129785250000001</v>
      </c>
      <c r="I120" s="1857">
        <f t="shared" si="61"/>
        <v>0.13129785250000001</v>
      </c>
      <c r="J120" s="1857">
        <f t="shared" si="61"/>
        <v>0.13129785250000001</v>
      </c>
      <c r="K120" s="1857">
        <f t="shared" si="61"/>
        <v>0.13129785250000001</v>
      </c>
      <c r="L120" s="1036" t="s">
        <v>601</v>
      </c>
      <c r="M120" s="1007"/>
    </row>
    <row r="121" spans="1:13">
      <c r="A121" s="1024"/>
      <c r="B121" s="1038" t="s">
        <v>102</v>
      </c>
      <c r="C121" s="1760">
        <v>0.05</v>
      </c>
      <c r="D121" s="1760">
        <v>0.05</v>
      </c>
      <c r="E121" s="1760">
        <v>0.05</v>
      </c>
      <c r="F121" s="1760">
        <v>0.05</v>
      </c>
      <c r="G121" s="1760">
        <v>0.05</v>
      </c>
      <c r="H121" s="1760">
        <v>0.05</v>
      </c>
      <c r="I121" s="1760">
        <v>0.05</v>
      </c>
      <c r="J121" s="1760">
        <v>0.05</v>
      </c>
      <c r="K121" s="1760">
        <v>0.05</v>
      </c>
      <c r="L121" s="1036" t="s">
        <v>601</v>
      </c>
      <c r="M121" s="1007"/>
    </row>
    <row r="122" spans="1:13" ht="15.6">
      <c r="A122" s="1024"/>
      <c r="B122" s="1115" t="s">
        <v>408</v>
      </c>
      <c r="C122" s="1116"/>
      <c r="D122" s="1116"/>
      <c r="E122" s="1116"/>
      <c r="F122" s="1117"/>
      <c r="G122" s="1118"/>
      <c r="H122" s="1118"/>
      <c r="I122" s="1118"/>
      <c r="J122" s="1118"/>
      <c r="K122" s="1118"/>
      <c r="L122" s="1081"/>
      <c r="M122" s="1007"/>
    </row>
    <row r="123" spans="1:13">
      <c r="A123" s="1030"/>
      <c r="B123" s="1038" t="s">
        <v>1073</v>
      </c>
      <c r="C123" s="1187"/>
      <c r="D123" s="1187"/>
      <c r="E123" s="1187"/>
      <c r="F123" s="1761">
        <v>502.79307698819997</v>
      </c>
      <c r="G123" s="1119"/>
      <c r="H123" s="1119"/>
      <c r="I123" s="1119"/>
      <c r="J123" s="1119"/>
      <c r="K123" s="1119"/>
      <c r="L123" s="1036" t="s">
        <v>601</v>
      </c>
      <c r="M123" s="1007"/>
    </row>
    <row r="124" spans="1:13" ht="15.6">
      <c r="A124" s="1024"/>
      <c r="B124" s="1120"/>
      <c r="C124" s="1121" t="s">
        <v>178</v>
      </c>
      <c r="D124" s="1121" t="s">
        <v>135</v>
      </c>
      <c r="E124" s="1056"/>
      <c r="F124" s="1056"/>
      <c r="G124" s="1064"/>
      <c r="H124" s="1064"/>
      <c r="I124" s="1064"/>
      <c r="J124" s="1064"/>
      <c r="K124" s="1064"/>
      <c r="L124" s="1081"/>
      <c r="M124" s="1007"/>
    </row>
    <row r="125" spans="1:13">
      <c r="A125" s="1024"/>
      <c r="B125" s="1122" t="s">
        <v>313</v>
      </c>
      <c r="C125" s="1991">
        <f>1-D125</f>
        <v>0.19999999999999996</v>
      </c>
      <c r="D125" s="1991">
        <f>C126</f>
        <v>0.8</v>
      </c>
      <c r="E125" s="1056"/>
      <c r="F125" s="1056"/>
      <c r="G125" s="1064"/>
      <c r="H125" s="1064"/>
      <c r="I125" s="1064"/>
      <c r="J125" s="1064"/>
      <c r="K125" s="1064"/>
      <c r="L125" s="1081"/>
      <c r="M125" s="1007"/>
    </row>
    <row r="126" spans="1:13">
      <c r="A126" s="1024"/>
      <c r="B126" s="1123" t="s">
        <v>136</v>
      </c>
      <c r="C126" s="1992">
        <f>IF(多维联动分析!B4="YES",多维联动分析!D44,C127)</f>
        <v>0.8</v>
      </c>
      <c r="D126" s="1992">
        <f>1-C126</f>
        <v>0.19999999999999996</v>
      </c>
      <c r="E126" s="1056"/>
      <c r="F126" s="1056"/>
      <c r="G126" s="1064"/>
      <c r="H126" s="1064"/>
      <c r="I126" s="1064"/>
      <c r="J126" s="1064"/>
      <c r="K126" s="1064"/>
      <c r="L126" s="1081"/>
      <c r="M126" s="1007"/>
    </row>
    <row r="127" spans="1:13">
      <c r="A127" s="1024"/>
      <c r="B127" s="1123" t="s">
        <v>136</v>
      </c>
      <c r="C127" s="1990">
        <v>0.8</v>
      </c>
      <c r="D127" s="1124"/>
      <c r="E127" s="1056"/>
      <c r="F127" s="1056"/>
      <c r="G127" s="1064"/>
      <c r="H127" s="1064"/>
      <c r="I127" s="1064"/>
      <c r="J127" s="1064"/>
      <c r="K127" s="1064"/>
      <c r="L127" s="1081"/>
      <c r="M127" s="1007"/>
    </row>
    <row r="128" spans="1:13" ht="15.6">
      <c r="A128" s="1024"/>
      <c r="B128" s="1125" t="s">
        <v>309</v>
      </c>
      <c r="C128" s="1060"/>
      <c r="D128" s="1060"/>
      <c r="E128" s="1060"/>
      <c r="F128" s="1060"/>
      <c r="G128" s="1078"/>
      <c r="H128" s="1917"/>
      <c r="I128" s="1917"/>
      <c r="J128" s="1917"/>
      <c r="K128" s="1917"/>
      <c r="L128" s="1079"/>
      <c r="M128" s="1007"/>
    </row>
    <row r="129" spans="1:13" s="1066" customFormat="1">
      <c r="A129" s="1030" t="s">
        <v>1011</v>
      </c>
      <c r="B129" s="1126" t="s">
        <v>37</v>
      </c>
      <c r="C129" s="1762">
        <v>0.17171462600000023</v>
      </c>
      <c r="D129" s="1762">
        <v>0.59330411649999981</v>
      </c>
      <c r="E129" s="1762">
        <v>0.92434756669999962</v>
      </c>
      <c r="F129" s="1762">
        <v>0.79619667630000113</v>
      </c>
      <c r="G129" s="1762">
        <f>F129</f>
        <v>0.79619667630000113</v>
      </c>
      <c r="H129" s="1762">
        <f>G129</f>
        <v>0.79619667630000113</v>
      </c>
      <c r="I129" s="1762">
        <f t="shared" ref="I129:K129" si="62">H129</f>
        <v>0.79619667630000113</v>
      </c>
      <c r="J129" s="1762">
        <f t="shared" si="62"/>
        <v>0.79619667630000113</v>
      </c>
      <c r="K129" s="1762">
        <f t="shared" si="62"/>
        <v>0.79619667630000113</v>
      </c>
      <c r="L129" s="1081" t="s">
        <v>1008</v>
      </c>
      <c r="M129" s="1007"/>
    </row>
    <row r="130" spans="1:13" s="1066" customFormat="1">
      <c r="A130" s="1065"/>
      <c r="B130" s="1126"/>
      <c r="C130" s="1127"/>
      <c r="D130" s="1127"/>
      <c r="E130" s="1127"/>
      <c r="F130" s="1127"/>
      <c r="G130" s="1128"/>
      <c r="H130" s="1128"/>
      <c r="I130" s="1128"/>
      <c r="J130" s="1128"/>
      <c r="K130" s="1128"/>
      <c r="L130" s="1081"/>
      <c r="M130" s="1007"/>
    </row>
    <row r="131" spans="1:13" s="1066" customFormat="1">
      <c r="A131" s="1065"/>
      <c r="B131" s="1129" t="s">
        <v>311</v>
      </c>
      <c r="C131" s="1763">
        <v>10</v>
      </c>
      <c r="D131" s="1127"/>
      <c r="E131" s="1127"/>
      <c r="F131" s="1127"/>
      <c r="G131" s="1128"/>
      <c r="H131" s="1128"/>
      <c r="I131" s="1128"/>
      <c r="J131" s="1128"/>
      <c r="K131" s="1128"/>
      <c r="L131" s="1081" t="s">
        <v>719</v>
      </c>
      <c r="M131" s="1007"/>
    </row>
    <row r="132" spans="1:13" s="1066" customFormat="1">
      <c r="A132" s="1065"/>
      <c r="B132" s="1130" t="s">
        <v>312</v>
      </c>
      <c r="C132" s="1764">
        <v>15</v>
      </c>
      <c r="D132" s="1127"/>
      <c r="E132" s="1127"/>
      <c r="F132" s="1127"/>
      <c r="G132" s="1128"/>
      <c r="H132" s="1128"/>
      <c r="I132" s="1128"/>
      <c r="J132" s="1128"/>
      <c r="K132" s="1128"/>
      <c r="L132" s="1081" t="s">
        <v>720</v>
      </c>
      <c r="M132" s="1007"/>
    </row>
    <row r="133" spans="1:13" s="1066" customFormat="1">
      <c r="A133" s="1065"/>
      <c r="B133" s="1065"/>
      <c r="C133" s="1127"/>
      <c r="D133" s="1127"/>
      <c r="E133" s="1127"/>
      <c r="F133" s="1127"/>
      <c r="G133" s="1128"/>
      <c r="H133" s="1128"/>
      <c r="I133" s="1128"/>
      <c r="J133" s="1128"/>
      <c r="K133" s="1128"/>
      <c r="L133" s="1081"/>
      <c r="M133" s="1007"/>
    </row>
    <row r="134" spans="1:13" s="1066" customFormat="1">
      <c r="A134" s="1065"/>
      <c r="B134" s="1065"/>
      <c r="C134" s="1127"/>
      <c r="D134" s="1127"/>
      <c r="E134" s="1127"/>
      <c r="F134" s="1127"/>
      <c r="G134" s="1131"/>
      <c r="H134" s="1131"/>
      <c r="I134" s="1131"/>
      <c r="J134" s="1131"/>
      <c r="K134" s="1131"/>
      <c r="L134" s="1081"/>
      <c r="M134" s="1007"/>
    </row>
    <row r="135" spans="1:13" s="1066" customFormat="1" ht="16.2" thickBot="1">
      <c r="A135" s="1065"/>
      <c r="B135" s="1132" t="s">
        <v>278</v>
      </c>
      <c r="C135" s="1133"/>
      <c r="D135" s="1133"/>
      <c r="E135" s="1133"/>
      <c r="F135" s="1133"/>
      <c r="G135" s="1134"/>
      <c r="H135" s="1920"/>
      <c r="I135" s="1920"/>
      <c r="J135" s="1920"/>
      <c r="K135" s="1920"/>
      <c r="L135" s="1135"/>
      <c r="M135" s="1007"/>
    </row>
    <row r="136" spans="1:13" s="1066" customFormat="1" ht="15.6">
      <c r="A136" s="1065"/>
      <c r="B136" s="1136" t="s">
        <v>279</v>
      </c>
      <c r="C136" s="1137"/>
      <c r="D136" s="1137"/>
      <c r="E136" s="1137"/>
      <c r="F136" s="1137"/>
      <c r="G136" s="1138"/>
      <c r="H136" s="1921"/>
      <c r="I136" s="1921"/>
      <c r="J136" s="1921"/>
      <c r="K136" s="1921"/>
      <c r="L136" s="1079"/>
      <c r="M136" s="1007"/>
    </row>
    <row r="137" spans="1:13" s="1066" customFormat="1">
      <c r="A137" s="1030" t="s">
        <v>1011</v>
      </c>
      <c r="B137" s="1139" t="s">
        <v>104</v>
      </c>
      <c r="C137" s="1765">
        <v>0.06</v>
      </c>
      <c r="D137" s="1765">
        <v>5.6000000000000001E-2</v>
      </c>
      <c r="E137" s="1765">
        <v>4.3499999999999997E-2</v>
      </c>
      <c r="F137" s="1765">
        <v>4.3499999999999997E-2</v>
      </c>
      <c r="G137" s="1765">
        <v>4.3499999999999997E-2</v>
      </c>
      <c r="H137" s="1765">
        <v>4.3499999999999997E-2</v>
      </c>
      <c r="I137" s="1765">
        <v>4.3499999999999997E-2</v>
      </c>
      <c r="J137" s="1765">
        <v>4.3499999999999997E-2</v>
      </c>
      <c r="K137" s="1765">
        <v>4.3499999999999997E-2</v>
      </c>
      <c r="L137" s="1140" t="s">
        <v>718</v>
      </c>
      <c r="M137" s="1007"/>
    </row>
    <row r="138" spans="1:13" s="1066" customFormat="1">
      <c r="A138" s="1030" t="s">
        <v>1011</v>
      </c>
      <c r="B138" s="1141" t="s">
        <v>105</v>
      </c>
      <c r="C138" s="1186"/>
      <c r="D138" s="1186"/>
      <c r="E138" s="1186"/>
      <c r="F138" s="1186"/>
      <c r="G138" s="1186"/>
      <c r="H138" s="1186"/>
      <c r="I138" s="1186"/>
      <c r="J138" s="1186"/>
      <c r="K138" s="1186"/>
      <c r="L138" s="1140" t="s">
        <v>601</v>
      </c>
      <c r="M138" s="1007"/>
    </row>
    <row r="139" spans="1:13" s="1066" customFormat="1">
      <c r="A139" s="1030" t="s">
        <v>1011</v>
      </c>
      <c r="B139" s="1141" t="s">
        <v>106</v>
      </c>
      <c r="C139" s="1766">
        <v>6.5500000000000003E-2</v>
      </c>
      <c r="D139" s="1766">
        <v>6.1499999999999999E-2</v>
      </c>
      <c r="E139" s="1766">
        <v>4.9000000000000002E-2</v>
      </c>
      <c r="F139" s="1766">
        <v>4.9000000000000002E-2</v>
      </c>
      <c r="G139" s="1766">
        <v>4.9000000000000002E-2</v>
      </c>
      <c r="H139" s="1766">
        <v>4.9000000000000002E-2</v>
      </c>
      <c r="I139" s="1766">
        <v>4.9000000000000002E-2</v>
      </c>
      <c r="J139" s="1766">
        <v>4.9000000000000002E-2</v>
      </c>
      <c r="K139" s="1766">
        <v>4.9000000000000002E-2</v>
      </c>
      <c r="L139" s="1140" t="s">
        <v>601</v>
      </c>
      <c r="M139" s="1007"/>
    </row>
    <row r="140" spans="1:13" s="1066" customFormat="1">
      <c r="A140" s="1030" t="s">
        <v>1011</v>
      </c>
      <c r="B140" s="1141" t="s">
        <v>105</v>
      </c>
      <c r="C140" s="1186"/>
      <c r="D140" s="1186"/>
      <c r="E140" s="1186"/>
      <c r="F140" s="1186"/>
      <c r="G140" s="1186"/>
      <c r="H140" s="1186"/>
      <c r="I140" s="1186"/>
      <c r="J140" s="1186"/>
      <c r="K140" s="1186"/>
      <c r="L140" s="1140" t="s">
        <v>601</v>
      </c>
      <c r="M140" s="1007"/>
    </row>
    <row r="141" spans="1:13" s="1066" customFormat="1">
      <c r="A141" s="1030" t="s">
        <v>1011</v>
      </c>
      <c r="B141" s="1141" t="s">
        <v>107</v>
      </c>
      <c r="C141" s="1766">
        <v>3.5799999999999998E-2</v>
      </c>
      <c r="D141" s="1766">
        <v>3.5799999999999998E-2</v>
      </c>
      <c r="E141" s="1766">
        <v>3.5799999999999998E-2</v>
      </c>
      <c r="F141" s="1766">
        <v>3.5799999999999998E-2</v>
      </c>
      <c r="G141" s="1766">
        <v>3.5799999999999998E-2</v>
      </c>
      <c r="H141" s="1766">
        <v>3.5799999999999998E-2</v>
      </c>
      <c r="I141" s="1766">
        <v>3.5799999999999998E-2</v>
      </c>
      <c r="J141" s="1766">
        <v>3.5799999999999998E-2</v>
      </c>
      <c r="K141" s="1766">
        <v>3.5799999999999998E-2</v>
      </c>
      <c r="L141" s="1140" t="s">
        <v>601</v>
      </c>
      <c r="M141" s="1007"/>
    </row>
    <row r="142" spans="1:13" s="1066" customFormat="1">
      <c r="A142" s="1030" t="s">
        <v>1011</v>
      </c>
      <c r="B142" s="1141" t="s">
        <v>108</v>
      </c>
      <c r="C142" s="1878"/>
      <c r="D142" s="1878"/>
      <c r="E142" s="1878"/>
      <c r="F142" s="1878"/>
      <c r="G142" s="1878">
        <v>5.0000000000000001E-3</v>
      </c>
      <c r="H142" s="1923">
        <f>G142</f>
        <v>5.0000000000000001E-3</v>
      </c>
      <c r="I142" s="1923">
        <f t="shared" ref="I142:K142" si="63">H142</f>
        <v>5.0000000000000001E-3</v>
      </c>
      <c r="J142" s="1923">
        <f t="shared" si="63"/>
        <v>5.0000000000000001E-3</v>
      </c>
      <c r="K142" s="1923">
        <f t="shared" si="63"/>
        <v>5.0000000000000001E-3</v>
      </c>
      <c r="L142" s="1140" t="s">
        <v>601</v>
      </c>
      <c r="M142" s="1007"/>
    </row>
    <row r="143" spans="1:13" s="1066" customFormat="1">
      <c r="A143" s="1065"/>
      <c r="B143" s="1082"/>
      <c r="C143" s="1142"/>
      <c r="D143" s="1142"/>
      <c r="E143" s="1142"/>
      <c r="F143" s="1142"/>
      <c r="G143" s="1143"/>
      <c r="H143" s="1143"/>
      <c r="I143" s="1143"/>
      <c r="J143" s="1143"/>
      <c r="K143" s="1143"/>
      <c r="L143" s="1081"/>
      <c r="M143" s="1007"/>
    </row>
    <row r="144" spans="1:13" s="1066" customFormat="1" ht="15.6">
      <c r="A144" s="1030" t="s">
        <v>1011</v>
      </c>
      <c r="B144" s="1144" t="s">
        <v>280</v>
      </c>
      <c r="C144" s="1855">
        <v>0.10390000000000001</v>
      </c>
      <c r="D144" s="1855">
        <v>0</v>
      </c>
      <c r="E144" s="1855">
        <v>3.6200000000000003E-2</v>
      </c>
      <c r="F144" s="1856">
        <v>0.1295</v>
      </c>
      <c r="G144" s="1855">
        <v>0.12</v>
      </c>
      <c r="H144" s="1855">
        <f>G144</f>
        <v>0.12</v>
      </c>
      <c r="I144" s="1855">
        <f t="shared" ref="I144:K144" si="64">H144</f>
        <v>0.12</v>
      </c>
      <c r="J144" s="1855">
        <f t="shared" si="64"/>
        <v>0.12</v>
      </c>
      <c r="K144" s="1855">
        <f t="shared" si="64"/>
        <v>0.12</v>
      </c>
      <c r="L144" s="1036" t="s">
        <v>716</v>
      </c>
      <c r="M144" s="1007"/>
    </row>
    <row r="145" spans="1:13" s="1066" customFormat="1">
      <c r="A145" s="1065"/>
      <c r="B145" s="1082"/>
      <c r="C145" s="1142"/>
      <c r="D145" s="1142"/>
      <c r="E145" s="1142"/>
      <c r="F145" s="1142"/>
      <c r="G145" s="1145"/>
      <c r="H145" s="1145"/>
      <c r="I145" s="1145"/>
      <c r="J145" s="1145"/>
      <c r="K145" s="1145"/>
      <c r="L145" s="1081"/>
      <c r="M145" s="1007"/>
    </row>
    <row r="146" spans="1:13" s="1066" customFormat="1">
      <c r="A146" s="1065"/>
      <c r="B146" s="1082"/>
      <c r="C146" s="1146"/>
      <c r="D146" s="1146"/>
      <c r="E146" s="1146"/>
      <c r="F146" s="1146"/>
      <c r="G146" s="1147"/>
      <c r="H146" s="1147"/>
      <c r="I146" s="1147"/>
      <c r="J146" s="1147"/>
      <c r="K146" s="1147"/>
      <c r="L146" s="1148"/>
      <c r="M146" s="1007"/>
    </row>
    <row r="147" spans="1:13" s="1066" customFormat="1" ht="15.6">
      <c r="A147" s="1065"/>
      <c r="B147" s="1136" t="s">
        <v>281</v>
      </c>
      <c r="C147" s="1149"/>
      <c r="D147" s="1149"/>
      <c r="E147" s="1149"/>
      <c r="F147" s="1149"/>
      <c r="G147" s="1150"/>
      <c r="H147" s="1924"/>
      <c r="I147" s="1924"/>
      <c r="J147" s="1924"/>
      <c r="K147" s="1924"/>
      <c r="L147" s="1079"/>
      <c r="M147" s="1007"/>
    </row>
    <row r="148" spans="1:13" s="1066" customFormat="1">
      <c r="A148" s="1030" t="s">
        <v>1011</v>
      </c>
      <c r="B148" s="1139" t="s">
        <v>109</v>
      </c>
      <c r="C148" s="1765">
        <v>0.15974153649662637</v>
      </c>
      <c r="D148" s="1765">
        <v>0.15974153649662637</v>
      </c>
      <c r="E148" s="1765">
        <v>0.15974153649662637</v>
      </c>
      <c r="F148" s="1765">
        <v>0.15974153649662637</v>
      </c>
      <c r="G148" s="1765">
        <v>0.15974153649662637</v>
      </c>
      <c r="H148" s="1922">
        <f>G148</f>
        <v>0.15974153649662637</v>
      </c>
      <c r="I148" s="1922">
        <f t="shared" ref="I148:K148" si="65">H148</f>
        <v>0.15974153649662637</v>
      </c>
      <c r="J148" s="1922">
        <f t="shared" si="65"/>
        <v>0.15974153649662637</v>
      </c>
      <c r="K148" s="1922">
        <f t="shared" si="65"/>
        <v>0.15974153649662637</v>
      </c>
      <c r="L148" s="1151" t="s">
        <v>716</v>
      </c>
      <c r="M148" s="1007"/>
    </row>
    <row r="149" spans="1:13" s="1066" customFormat="1">
      <c r="A149" s="1030" t="s">
        <v>1011</v>
      </c>
      <c r="B149" s="1141" t="s">
        <v>110</v>
      </c>
      <c r="C149" s="1766">
        <v>0</v>
      </c>
      <c r="D149" s="1766">
        <v>0</v>
      </c>
      <c r="E149" s="1766">
        <v>0</v>
      </c>
      <c r="F149" s="1766">
        <v>0</v>
      </c>
      <c r="G149" s="1766">
        <v>0</v>
      </c>
      <c r="H149" s="1922">
        <f t="shared" ref="H149:K150" si="66">G149</f>
        <v>0</v>
      </c>
      <c r="I149" s="1922">
        <f t="shared" si="66"/>
        <v>0</v>
      </c>
      <c r="J149" s="1922">
        <f t="shared" si="66"/>
        <v>0</v>
      </c>
      <c r="K149" s="1922">
        <f t="shared" si="66"/>
        <v>0</v>
      </c>
      <c r="L149" s="1152" t="s">
        <v>716</v>
      </c>
      <c r="M149" s="1007"/>
    </row>
    <row r="150" spans="1:13" s="1066" customFormat="1">
      <c r="A150" s="1030" t="s">
        <v>1011</v>
      </c>
      <c r="B150" s="1141" t="s">
        <v>111</v>
      </c>
      <c r="C150" s="1766">
        <v>0.84025846350337363</v>
      </c>
      <c r="D150" s="1766">
        <v>0.84025846350337363</v>
      </c>
      <c r="E150" s="1766">
        <v>0.84025846350337363</v>
      </c>
      <c r="F150" s="1766">
        <v>0.84025846350337363</v>
      </c>
      <c r="G150" s="1766">
        <v>0.84025846350337363</v>
      </c>
      <c r="H150" s="1922">
        <f t="shared" si="66"/>
        <v>0.84025846350337363</v>
      </c>
      <c r="I150" s="1922">
        <f t="shared" si="66"/>
        <v>0.84025846350337363</v>
      </c>
      <c r="J150" s="1922">
        <f t="shared" si="66"/>
        <v>0.84025846350337363</v>
      </c>
      <c r="K150" s="1922">
        <f t="shared" si="66"/>
        <v>0.84025846350337363</v>
      </c>
      <c r="L150" s="1152" t="s">
        <v>716</v>
      </c>
      <c r="M150" s="1007"/>
    </row>
    <row r="151" spans="1:13" s="1066" customFormat="1">
      <c r="A151" s="1065"/>
      <c r="B151" s="1122"/>
      <c r="C151" s="1153"/>
      <c r="D151" s="1154"/>
      <c r="E151" s="1154"/>
      <c r="F151" s="1154"/>
      <c r="G151" s="1155"/>
      <c r="H151" s="1155"/>
      <c r="I151" s="1155"/>
      <c r="J151" s="1155"/>
      <c r="K151" s="1155"/>
      <c r="L151" s="1156"/>
      <c r="M151" s="1007"/>
    </row>
    <row r="152" spans="1:13" s="1066" customFormat="1" ht="15.6">
      <c r="A152" s="1065"/>
      <c r="B152" s="1926" t="s">
        <v>407</v>
      </c>
      <c r="C152" s="1927"/>
      <c r="D152" s="1928"/>
      <c r="E152" s="1928"/>
      <c r="F152" s="1928"/>
      <c r="G152" s="1925"/>
      <c r="H152" s="1925"/>
      <c r="I152" s="1925"/>
      <c r="J152" s="1925"/>
      <c r="K152" s="1925"/>
      <c r="L152" s="1929"/>
      <c r="M152" s="1007"/>
    </row>
    <row r="153" spans="1:13" s="1066" customFormat="1">
      <c r="A153" s="1030" t="s">
        <v>1011</v>
      </c>
      <c r="B153" s="1122" t="s">
        <v>362</v>
      </c>
      <c r="C153" s="1157">
        <v>0</v>
      </c>
      <c r="D153" s="1157">
        <v>0</v>
      </c>
      <c r="E153" s="1157">
        <v>0</v>
      </c>
      <c r="F153" s="1157">
        <v>0</v>
      </c>
      <c r="G153" s="1158">
        <v>0</v>
      </c>
      <c r="H153" s="1158">
        <v>0</v>
      </c>
      <c r="I153" s="1158">
        <v>0</v>
      </c>
      <c r="J153" s="1158">
        <v>0</v>
      </c>
      <c r="K153" s="1158">
        <v>0</v>
      </c>
    </row>
    <row r="154" spans="1:13" s="1066" customFormat="1">
      <c r="A154" s="1030" t="s">
        <v>1011</v>
      </c>
      <c r="B154" s="1122" t="s">
        <v>378</v>
      </c>
      <c r="C154" s="1157">
        <v>0</v>
      </c>
      <c r="D154" s="1157">
        <v>0</v>
      </c>
      <c r="E154" s="1157">
        <v>0</v>
      </c>
      <c r="F154" s="1157">
        <v>0</v>
      </c>
      <c r="G154" s="1158">
        <v>0</v>
      </c>
      <c r="H154" s="1158">
        <v>0</v>
      </c>
      <c r="I154" s="1158">
        <v>0</v>
      </c>
      <c r="J154" s="1158">
        <v>0</v>
      </c>
      <c r="K154" s="1158">
        <v>0</v>
      </c>
    </row>
    <row r="155" spans="1:13" s="1066" customFormat="1">
      <c r="A155" s="1030" t="s">
        <v>1011</v>
      </c>
      <c r="B155" s="1122" t="s">
        <v>381</v>
      </c>
      <c r="C155" s="1157">
        <v>0</v>
      </c>
      <c r="D155" s="1157">
        <v>0</v>
      </c>
      <c r="E155" s="1157">
        <v>0</v>
      </c>
      <c r="F155" s="1157">
        <v>0</v>
      </c>
      <c r="G155" s="1158">
        <v>0</v>
      </c>
      <c r="H155" s="1158">
        <v>0</v>
      </c>
      <c r="I155" s="1158">
        <v>0</v>
      </c>
      <c r="J155" s="1158">
        <v>0</v>
      </c>
      <c r="K155" s="1158">
        <v>0</v>
      </c>
    </row>
    <row r="156" spans="1:13" s="1066" customFormat="1">
      <c r="A156" s="1030" t="s">
        <v>1011</v>
      </c>
      <c r="B156" s="1122" t="s">
        <v>652</v>
      </c>
      <c r="C156" s="1157">
        <v>0</v>
      </c>
      <c r="D156" s="1157">
        <v>0</v>
      </c>
      <c r="E156" s="1157">
        <v>0</v>
      </c>
      <c r="F156" s="1157">
        <v>0</v>
      </c>
      <c r="G156" s="1158">
        <v>0</v>
      </c>
      <c r="H156" s="1158">
        <v>0</v>
      </c>
      <c r="I156" s="1158">
        <v>0</v>
      </c>
      <c r="J156" s="1158">
        <v>0</v>
      </c>
      <c r="K156" s="1158">
        <v>0</v>
      </c>
    </row>
    <row r="157" spans="1:13" s="1066" customFormat="1">
      <c r="A157" s="1065"/>
      <c r="B157" s="1930"/>
      <c r="C157" s="1931"/>
      <c r="D157" s="1931"/>
      <c r="E157" s="1931"/>
      <c r="F157" s="1931"/>
      <c r="G157" s="1932"/>
      <c r="H157" s="1932"/>
      <c r="I157" s="1932"/>
      <c r="J157" s="1932"/>
      <c r="K157" s="1932"/>
      <c r="L157" s="1933"/>
    </row>
    <row r="160" spans="1:13">
      <c r="C160" s="1159"/>
      <c r="D160" s="1159"/>
      <c r="E160" s="1160" t="s">
        <v>1627</v>
      </c>
      <c r="F160" s="1161" t="s">
        <v>1633</v>
      </c>
      <c r="K160" s="1052"/>
      <c r="L160" s="1008"/>
    </row>
    <row r="161" spans="1:15">
      <c r="C161" s="1159" t="s">
        <v>1634</v>
      </c>
      <c r="D161" s="1162"/>
      <c r="E161" s="1163">
        <f>动因指标和成果指标内部影响分析!F6</f>
        <v>0.01</v>
      </c>
      <c r="F161" s="1164">
        <f ca="1">主要评级指标表!G9</f>
        <v>0.43497096790000001</v>
      </c>
      <c r="K161" s="1052"/>
      <c r="L161" s="1008"/>
    </row>
    <row r="162" spans="1:15">
      <c r="C162" s="1165">
        <f>动因指标和成果指标内部影响分析!E6</f>
        <v>2.0185330343061469E-2</v>
      </c>
      <c r="D162" s="1166">
        <v>2.0185330343061469E-2</v>
      </c>
      <c r="E162" s="1163">
        <f>D162*(1+E161)</f>
        <v>2.0387183646492085E-2</v>
      </c>
      <c r="F162" s="1164">
        <f t="dataTable" ref="F162" dt2D="0" dtr="0" r1="G7" ca="1"/>
        <v>0.43497096790000001</v>
      </c>
      <c r="K162" s="1052"/>
      <c r="L162" s="1008"/>
    </row>
    <row r="163" spans="1:15">
      <c r="K163" s="1052"/>
      <c r="L163" s="1008"/>
    </row>
    <row r="164" spans="1:15">
      <c r="K164" s="1052"/>
      <c r="L164" s="1008"/>
    </row>
    <row r="165" spans="1:15">
      <c r="C165" s="1159"/>
      <c r="D165" s="1159"/>
      <c r="E165" s="1160" t="s">
        <v>1627</v>
      </c>
      <c r="F165" s="1161" t="s">
        <v>1633</v>
      </c>
      <c r="K165" s="1052"/>
      <c r="L165" s="1008"/>
    </row>
    <row r="166" spans="1:15">
      <c r="C166" s="1159" t="s">
        <v>1635</v>
      </c>
      <c r="E166" s="1167">
        <f>动因指标和成果指标内部影响分析!F7</f>
        <v>10</v>
      </c>
      <c r="F166" s="1164">
        <f ca="1">主要评级指标表!G9</f>
        <v>0.43497096790000001</v>
      </c>
    </row>
    <row r="167" spans="1:15">
      <c r="C167" s="1168">
        <f>动因指标和成果指标内部影响分析!E7</f>
        <v>222.12630157857413</v>
      </c>
      <c r="D167" s="1169">
        <v>222.12599209052513</v>
      </c>
      <c r="E167" s="1170">
        <f>D167+E166</f>
        <v>232.12599209052513</v>
      </c>
      <c r="F167" s="1164">
        <f t="dataTable" ref="F167" dt2D="0" dtr="0" r1="G20" ca="1"/>
        <v>0.43497096790000001</v>
      </c>
    </row>
    <row r="169" spans="1:15">
      <c r="A169" s="1171"/>
      <c r="B169" s="1159"/>
      <c r="C169" s="1159"/>
      <c r="D169" s="1160" t="s">
        <v>1627</v>
      </c>
      <c r="E169" s="1161" t="s">
        <v>1731</v>
      </c>
      <c r="F169" s="1161" t="s">
        <v>1748</v>
      </c>
      <c r="G169" s="1161" t="s">
        <v>1732</v>
      </c>
      <c r="H169" s="1161" t="s">
        <v>1733</v>
      </c>
      <c r="I169" s="1161" t="s">
        <v>1734</v>
      </c>
      <c r="J169" s="1161" t="s">
        <v>1747</v>
      </c>
      <c r="K169" s="1161" t="s">
        <v>1741</v>
      </c>
      <c r="L169" s="1161" t="s">
        <v>1742</v>
      </c>
      <c r="M169" s="1161" t="s">
        <v>1745</v>
      </c>
      <c r="N169" s="1161" t="s">
        <v>1743</v>
      </c>
      <c r="O169" s="1161" t="s">
        <v>1737</v>
      </c>
    </row>
    <row r="170" spans="1:15">
      <c r="A170" s="1171"/>
      <c r="B170" s="1159" t="s">
        <v>1746</v>
      </c>
      <c r="C170" s="1159"/>
      <c r="D170" s="1172">
        <f>变动统计!C14</f>
        <v>1.4999999999999999E-2</v>
      </c>
      <c r="E170" s="1173">
        <f ca="1">现金缺口测算!$G$17</f>
        <v>0</v>
      </c>
      <c r="F170" s="1174">
        <f ca="1">主要评级指标表!$G$9</f>
        <v>0.43497096790000001</v>
      </c>
      <c r="G170" s="1174">
        <f ca="1">债务!$G$34</f>
        <v>-0.93587504064049842</v>
      </c>
      <c r="H170" s="1173">
        <f ca="1">国资委考核指标!$G$63</f>
        <v>0.30675767255741659</v>
      </c>
      <c r="I170" s="1174">
        <f ca="1">损益表!$G$20</f>
        <v>23.534420657935943</v>
      </c>
      <c r="J170" s="1175">
        <f>实际收入!$G$7</f>
        <v>833.43975594621452</v>
      </c>
      <c r="K170" s="1173">
        <f ca="1">资产负债表!$G$65</f>
        <v>1342.6284026274172</v>
      </c>
      <c r="L170" s="1173">
        <f ca="1">资产负债表!$G$31</f>
        <v>1928.3288084030385</v>
      </c>
      <c r="M170" s="1173">
        <f ca="1">损益表!$G$18</f>
        <v>31.379227543914592</v>
      </c>
      <c r="N170" s="1163">
        <f ca="1">资产负债表!$G$70</f>
        <v>0.30373616747300303</v>
      </c>
      <c r="O170" s="1173">
        <f ca="1">国资委考核指标!$G$23</f>
        <v>-24.199425139865632</v>
      </c>
    </row>
    <row r="171" spans="1:15">
      <c r="A171" s="1171"/>
      <c r="B171" s="1176">
        <f>G7</f>
        <v>2.0502245854707724E-2</v>
      </c>
      <c r="C171" s="1177">
        <v>2.0185330343061469E-2</v>
      </c>
      <c r="D171" s="1163">
        <f>C171+D170</f>
        <v>3.5185330343061469E-2</v>
      </c>
      <c r="E171" s="1178">
        <f t="dataTable" ref="E171:O171" dt2D="0" dtr="0" r1="G7" ca="1"/>
        <v>0</v>
      </c>
      <c r="F171" s="1173">
        <v>0.43497096790000001</v>
      </c>
      <c r="G171" s="1173">
        <v>-0.95155381569343234</v>
      </c>
      <c r="H171" s="1173">
        <v>0.30675920730295497</v>
      </c>
      <c r="I171" s="1173">
        <v>26.60623165783376</v>
      </c>
      <c r="J171" s="1173">
        <v>837.548265454025</v>
      </c>
      <c r="K171" s="1173">
        <v>1345.7002136273275</v>
      </c>
      <c r="L171" s="1173">
        <v>1934.6517361837632</v>
      </c>
      <c r="M171" s="1173">
        <v>35.474975543778349</v>
      </c>
      <c r="N171" s="1173">
        <v>0.30442394756885682</v>
      </c>
      <c r="O171" s="1173">
        <v>-21.20435872023797</v>
      </c>
    </row>
    <row r="172" spans="1:15">
      <c r="C172" s="1179"/>
      <c r="D172" s="1180" t="s">
        <v>1739</v>
      </c>
      <c r="E172" s="1178">
        <f ca="1">E170-E171</f>
        <v>0</v>
      </c>
      <c r="F172" s="1178">
        <f t="shared" ref="F172:N172" ca="1" si="67">F171-F170</f>
        <v>0</v>
      </c>
      <c r="G172" s="1178">
        <f t="shared" ca="1" si="67"/>
        <v>-1.5678775052933913E-2</v>
      </c>
      <c r="H172" s="1178">
        <f t="shared" ca="1" si="67"/>
        <v>1.5347455383785125E-6</v>
      </c>
      <c r="I172" s="1178">
        <f t="shared" ca="1" si="67"/>
        <v>3.0718109998978171</v>
      </c>
      <c r="J172" s="1178">
        <f t="shared" si="67"/>
        <v>4.1085095078104814</v>
      </c>
      <c r="K172" s="1178">
        <f t="shared" ca="1" si="67"/>
        <v>3.0718109999102126</v>
      </c>
      <c r="L172" s="1178">
        <f t="shared" ca="1" si="67"/>
        <v>6.3229277807247399</v>
      </c>
      <c r="M172" s="1178">
        <f t="shared" ca="1" si="67"/>
        <v>4.0957479998637574</v>
      </c>
      <c r="N172" s="1178">
        <f t="shared" ca="1" si="67"/>
        <v>6.8778009585379607E-4</v>
      </c>
      <c r="O172" s="1178">
        <f ca="1">O171-O170</f>
        <v>2.995066419627662</v>
      </c>
    </row>
    <row r="174" spans="1:15">
      <c r="A174" s="1171"/>
      <c r="B174" s="1159"/>
      <c r="C174" s="1159"/>
      <c r="D174" s="1160" t="s">
        <v>1627</v>
      </c>
      <c r="E174" s="1161" t="s">
        <v>1735</v>
      </c>
      <c r="F174" s="1161" t="s">
        <v>1744</v>
      </c>
      <c r="G174" s="1161" t="s">
        <v>1740</v>
      </c>
      <c r="H174" s="1161" t="s">
        <v>1750</v>
      </c>
      <c r="I174" s="1161" t="s">
        <v>1741</v>
      </c>
      <c r="J174" s="1161" t="s">
        <v>1742</v>
      </c>
      <c r="K174" s="1161" t="s">
        <v>1745</v>
      </c>
      <c r="L174" s="1161" t="s">
        <v>1743</v>
      </c>
      <c r="M174" s="1161" t="s">
        <v>1737</v>
      </c>
    </row>
    <row r="175" spans="1:15">
      <c r="A175" s="1171"/>
      <c r="B175" s="1159" t="s">
        <v>1602</v>
      </c>
      <c r="C175" s="1159"/>
      <c r="D175" s="1172">
        <f>变动统计!C28</f>
        <v>100</v>
      </c>
      <c r="E175" s="1175">
        <f ca="1">固定资产!$G$8</f>
        <v>215.70955017972992</v>
      </c>
      <c r="F175" s="1173">
        <f ca="1">固定资产!$G$16</f>
        <v>154.85442231883817</v>
      </c>
      <c r="G175" s="1173">
        <f>实际收入!$G$21</f>
        <v>25.119</v>
      </c>
      <c r="H175" s="1173">
        <f>资产负债表!$G$59</f>
        <v>4.0612393104233941</v>
      </c>
      <c r="I175" s="1173">
        <f ca="1">资产负债表!$G$65</f>
        <v>1342.6284026274172</v>
      </c>
      <c r="J175" s="1173">
        <f ca="1">资产负债表!$G$31</f>
        <v>1928.3288084030385</v>
      </c>
      <c r="K175" s="1173">
        <f ca="1">损益表!$G$18</f>
        <v>31.379227543914592</v>
      </c>
      <c r="L175" s="1163">
        <f ca="1">资产负债表!$G$70</f>
        <v>0.30373616747300303</v>
      </c>
      <c r="M175" s="1173">
        <f ca="1">国资委考核指标!$G$23</f>
        <v>-24.199425139865632</v>
      </c>
    </row>
    <row r="176" spans="1:15">
      <c r="A176" s="1171"/>
      <c r="B176" s="1181">
        <f>G118</f>
        <v>0</v>
      </c>
      <c r="C176" s="1182">
        <v>22</v>
      </c>
      <c r="D176" s="1173">
        <v>418</v>
      </c>
      <c r="E176" s="1173">
        <f t="dataTable" ref="E176:M176" dt2D="0" dtr="0" r1="G118" ca="1"/>
        <v>633.70955017972994</v>
      </c>
      <c r="F176" s="1173">
        <v>165.55444716599095</v>
      </c>
      <c r="G176" s="1173">
        <v>25.119</v>
      </c>
      <c r="H176" s="1173">
        <v>422.06123931042339</v>
      </c>
      <c r="I176" s="1173">
        <v>1752.5956318273838</v>
      </c>
      <c r="J176" s="1173">
        <v>2331.4942564437833</v>
      </c>
      <c r="K176" s="1173">
        <v>20.668866477271102</v>
      </c>
      <c r="L176" s="1173">
        <v>0.2482963099917872</v>
      </c>
      <c r="M176" s="1173">
        <v>-42.475624488654873</v>
      </c>
    </row>
    <row r="177" spans="1:15">
      <c r="C177" s="1179"/>
      <c r="D177" s="1180" t="s">
        <v>1739</v>
      </c>
      <c r="E177" s="1183">
        <f ca="1">E176-E175</f>
        <v>418</v>
      </c>
      <c r="F177" s="1183">
        <f ca="1">F176-F175</f>
        <v>10.700024847152775</v>
      </c>
      <c r="G177" s="1183">
        <f>G176-G175</f>
        <v>0</v>
      </c>
      <c r="H177" s="1183">
        <f t="shared" ref="H177:L177" si="68">H176-H175</f>
        <v>418</v>
      </c>
      <c r="I177" s="1183">
        <f t="shared" ca="1" si="68"/>
        <v>409.9672291999666</v>
      </c>
      <c r="J177" s="1183">
        <f t="shared" ca="1" si="68"/>
        <v>403.16544804074488</v>
      </c>
      <c r="K177" s="1183">
        <f t="shared" ca="1" si="68"/>
        <v>-10.71036106664349</v>
      </c>
      <c r="L177" s="1183">
        <f t="shared" ca="1" si="68"/>
        <v>-5.5439857481215826E-2</v>
      </c>
      <c r="M177" s="1183">
        <f ca="1">M176-M175</f>
        <v>-18.276199348789241</v>
      </c>
    </row>
    <row r="179" spans="1:15">
      <c r="A179" s="1171"/>
      <c r="B179" s="1159"/>
      <c r="C179" s="1159"/>
      <c r="D179" s="1160" t="s">
        <v>1627</v>
      </c>
      <c r="E179" s="1161" t="s">
        <v>1752</v>
      </c>
      <c r="F179" s="1161" t="s">
        <v>1731</v>
      </c>
      <c r="G179" s="1161" t="s">
        <v>1748</v>
      </c>
      <c r="H179" s="1161" t="s">
        <v>1732</v>
      </c>
      <c r="I179" s="1161" t="s">
        <v>1741</v>
      </c>
      <c r="J179" s="1161" t="s">
        <v>1742</v>
      </c>
      <c r="K179" s="1161" t="s">
        <v>1745</v>
      </c>
      <c r="L179" s="1161" t="s">
        <v>1743</v>
      </c>
      <c r="M179" s="1161" t="s">
        <v>1737</v>
      </c>
    </row>
    <row r="180" spans="1:15">
      <c r="A180" s="1171"/>
      <c r="B180" s="1159" t="s">
        <v>1751</v>
      </c>
      <c r="C180" s="1159"/>
      <c r="D180" s="1172">
        <f>变动统计!C35</f>
        <v>-0.01</v>
      </c>
      <c r="E180" s="1173">
        <f ca="1">现金流量表!$G$20</f>
        <v>225.07111024761184</v>
      </c>
      <c r="F180" s="1173">
        <f ca="1">现金缺口测算!$G$17</f>
        <v>0</v>
      </c>
      <c r="G180" s="1174">
        <f ca="1">主要评级指标表!$G$9</f>
        <v>0.43497096790000001</v>
      </c>
      <c r="H180" s="1174">
        <f ca="1">债务!$G$34</f>
        <v>-0.93587504064049842</v>
      </c>
      <c r="I180" s="1173">
        <f ca="1">资产负债表!$G$65</f>
        <v>1342.6284026274172</v>
      </c>
      <c r="J180" s="1173">
        <f ca="1">资产负债表!$G$31</f>
        <v>1928.3288084030385</v>
      </c>
      <c r="K180" s="1173">
        <f ca="1">损益表!$G$18</f>
        <v>31.379227543914592</v>
      </c>
      <c r="L180" s="1163">
        <f ca="1">资产负债表!$G$70</f>
        <v>0.30373616747300303</v>
      </c>
      <c r="M180" s="1173">
        <f ca="1">国资委考核指标!$G$23</f>
        <v>-24.199425139865632</v>
      </c>
    </row>
    <row r="181" spans="1:15">
      <c r="A181" s="1171"/>
      <c r="B181" s="1176">
        <f>G74</f>
        <v>5.3653166271017752E-3</v>
      </c>
      <c r="C181" s="1177">
        <v>5.3653166271017752E-3</v>
      </c>
      <c r="D181" s="1163">
        <v>2.1411983935423127E-2</v>
      </c>
      <c r="E181" s="1173">
        <f t="dataTable" ref="E181:M181" dt2D="0" dtr="0" r1="G74" ca="1"/>
        <v>210.77168094124733</v>
      </c>
      <c r="F181" s="1173">
        <v>0</v>
      </c>
      <c r="G181" s="1173">
        <v>0.43497096790000001</v>
      </c>
      <c r="H181" s="1173">
        <v>-0.9000299475573188</v>
      </c>
      <c r="I181" s="1173">
        <v>1342.6015190508926</v>
      </c>
      <c r="J181" s="1173">
        <v>1928.2764007625703</v>
      </c>
      <c r="K181" s="1173">
        <v>31.343382775292664</v>
      </c>
      <c r="L181" s="1173">
        <v>0.30373118577890185</v>
      </c>
      <c r="M181" s="1173">
        <v>-24.225639287914419</v>
      </c>
    </row>
    <row r="182" spans="1:15">
      <c r="C182" s="1179"/>
      <c r="D182" s="1180" t="s">
        <v>1739</v>
      </c>
      <c r="E182" s="1183">
        <f ca="1">E181-E180</f>
        <v>-14.299429306364516</v>
      </c>
      <c r="F182" s="1183">
        <f ca="1">F181-F180</f>
        <v>0</v>
      </c>
      <c r="G182" s="1183">
        <f ca="1">G181-G180</f>
        <v>0</v>
      </c>
      <c r="H182" s="1183">
        <f ca="1">H181-H180</f>
        <v>3.5845093083179624E-2</v>
      </c>
      <c r="I182" s="1183">
        <f t="shared" ref="I182" ca="1" si="69">I181-I180</f>
        <v>-2.688357652459672E-2</v>
      </c>
      <c r="J182" s="1183">
        <f t="shared" ref="J182" ca="1" si="70">J181-J180</f>
        <v>-5.2407640468118188E-2</v>
      </c>
      <c r="K182" s="1183">
        <f t="shared" ref="K182" ca="1" si="71">K181-K180</f>
        <v>-3.5844768621927869E-2</v>
      </c>
      <c r="L182" s="1183">
        <f t="shared" ref="L182" ca="1" si="72">L181-L180</f>
        <v>-4.9816941011804339E-6</v>
      </c>
      <c r="M182" s="1183">
        <f ca="1">M181-M180</f>
        <v>-2.6214148048786967E-2</v>
      </c>
    </row>
    <row r="184" spans="1:15">
      <c r="A184" s="1171"/>
      <c r="B184" s="1159"/>
      <c r="C184" s="1159"/>
      <c r="D184" s="1160" t="s">
        <v>1627</v>
      </c>
      <c r="E184" s="1161" t="s">
        <v>1756</v>
      </c>
      <c r="F184" s="1161" t="s">
        <v>1752</v>
      </c>
      <c r="G184" s="1161" t="s">
        <v>1731</v>
      </c>
      <c r="H184" s="1161" t="s">
        <v>1748</v>
      </c>
      <c r="I184" s="1161" t="s">
        <v>1732</v>
      </c>
      <c r="J184" s="1161" t="s">
        <v>1742</v>
      </c>
      <c r="K184" s="1161" t="s">
        <v>1745</v>
      </c>
      <c r="L184" s="1161" t="s">
        <v>1743</v>
      </c>
      <c r="M184" s="1161" t="s">
        <v>1737</v>
      </c>
    </row>
    <row r="185" spans="1:15">
      <c r="A185" s="1171"/>
      <c r="B185" s="1159" t="s">
        <v>1755</v>
      </c>
      <c r="C185" s="1159" t="s">
        <v>8</v>
      </c>
      <c r="D185" s="1172">
        <f>变动统计!C42</f>
        <v>0.01</v>
      </c>
      <c r="E185" s="1173">
        <f>资产负债表!$G$10</f>
        <v>4.2907824513775354</v>
      </c>
      <c r="F185" s="1173">
        <f ca="1">现金流量表!$G$20</f>
        <v>225.07111024761184</v>
      </c>
      <c r="G185" s="1173">
        <f ca="1">现金缺口测算!$G$17</f>
        <v>0</v>
      </c>
      <c r="H185" s="1174">
        <f ca="1">主要评级指标表!$G$9</f>
        <v>0.43497096790000001</v>
      </c>
      <c r="I185" s="1174">
        <f ca="1">债务!$G$34</f>
        <v>-0.93587504064049842</v>
      </c>
      <c r="J185" s="1173">
        <f ca="1">资产负债表!$G$31</f>
        <v>1928.3288084030385</v>
      </c>
      <c r="K185" s="1173">
        <f ca="1">损益表!$G$18</f>
        <v>31.379227543914592</v>
      </c>
      <c r="L185" s="1163">
        <f ca="1">资产负债表!$G$70</f>
        <v>0.30373616747300303</v>
      </c>
      <c r="M185" s="1173">
        <f ca="1">国资委考核指标!$G$23</f>
        <v>-24.199425139865632</v>
      </c>
    </row>
    <row r="186" spans="1:15">
      <c r="A186" s="1171"/>
      <c r="B186" s="1176">
        <f>G76</f>
        <v>0.17081820340688464</v>
      </c>
      <c r="C186" s="1177">
        <v>0.21546160984964752</v>
      </c>
      <c r="D186" s="1173">
        <f>C186+D185</f>
        <v>0.22546160984964753</v>
      </c>
      <c r="E186" s="1173">
        <f t="dataTable" ref="E186:M186" dt2D="0" dtr="0" r1="G76" ca="1"/>
        <v>5.6633701778132961</v>
      </c>
      <c r="F186" s="1173">
        <v>223.69720006608333</v>
      </c>
      <c r="G186" s="1173">
        <v>0</v>
      </c>
      <c r="H186" s="1173">
        <v>0.43497096790000001</v>
      </c>
      <c r="I186" s="1173">
        <v>-0.93243102866130234</v>
      </c>
      <c r="J186" s="1173">
        <v>1928.3237764585185</v>
      </c>
      <c r="K186" s="1173">
        <v>31.375783531935351</v>
      </c>
      <c r="L186" s="1173">
        <v>0.30373568829463954</v>
      </c>
      <c r="M186" s="1173">
        <v>-24.201934443438724</v>
      </c>
    </row>
    <row r="187" spans="1:15">
      <c r="C187" s="1179"/>
      <c r="D187" s="1180" t="s">
        <v>1739</v>
      </c>
      <c r="E187" s="1183">
        <f>E186-E185</f>
        <v>1.3725877264357607</v>
      </c>
      <c r="F187" s="1183">
        <f t="shared" ref="F187:M187" ca="1" si="73">F186-F185</f>
        <v>-1.3739101815285153</v>
      </c>
      <c r="G187" s="1183">
        <f t="shared" ca="1" si="73"/>
        <v>0</v>
      </c>
      <c r="H187" s="1183">
        <f t="shared" ca="1" si="73"/>
        <v>0</v>
      </c>
      <c r="I187" s="1183">
        <f t="shared" ca="1" si="73"/>
        <v>3.4440119791960822E-3</v>
      </c>
      <c r="J187" s="1183">
        <f t="shared" ca="1" si="73"/>
        <v>-5.0319445199420443E-3</v>
      </c>
      <c r="K187" s="1183">
        <f t="shared" ca="1" si="73"/>
        <v>-3.4440119792407131E-3</v>
      </c>
      <c r="L187" s="1183">
        <f t="shared" ca="1" si="73"/>
        <v>-4.7917836348831955E-7</v>
      </c>
      <c r="M187" s="1183">
        <f t="shared" ca="1" si="73"/>
        <v>-2.50930357309187E-3</v>
      </c>
      <c r="N187" s="1007"/>
      <c r="O187" s="1007"/>
    </row>
    <row r="189" spans="1:15">
      <c r="A189" s="1171"/>
      <c r="B189" s="1159"/>
      <c r="C189" s="1159"/>
      <c r="D189" s="1160" t="s">
        <v>1627</v>
      </c>
      <c r="E189" s="1161" t="s">
        <v>293</v>
      </c>
      <c r="F189" s="1161" t="s">
        <v>1207</v>
      </c>
      <c r="G189" s="1161" t="s">
        <v>341</v>
      </c>
      <c r="H189" s="1161" t="s">
        <v>1733</v>
      </c>
      <c r="I189" s="1161" t="s">
        <v>1208</v>
      </c>
      <c r="J189" s="1161" t="s">
        <v>902</v>
      </c>
      <c r="K189" s="1161" t="s">
        <v>1741</v>
      </c>
      <c r="L189" s="1161" t="s">
        <v>1204</v>
      </c>
      <c r="M189" s="1161" t="s">
        <v>1205</v>
      </c>
      <c r="N189" s="1161" t="s">
        <v>607</v>
      </c>
      <c r="O189" s="1161" t="s">
        <v>1464</v>
      </c>
    </row>
    <row r="190" spans="1:15">
      <c r="A190" s="1171"/>
      <c r="B190" s="1159" t="s">
        <v>1188</v>
      </c>
      <c r="C190" s="1159" t="s">
        <v>2219</v>
      </c>
      <c r="D190" s="1172">
        <f>变动统计!$C$21</f>
        <v>10</v>
      </c>
      <c r="E190" s="1173">
        <f ca="1">现金缺口测算!$G$17</f>
        <v>0</v>
      </c>
      <c r="F190" s="1174">
        <f ca="1">主要评级指标表!$G$9</f>
        <v>0.43497096790000001</v>
      </c>
      <c r="G190" s="1174">
        <f ca="1">债务!$G$34</f>
        <v>-0.93587504064049842</v>
      </c>
      <c r="H190" s="1173">
        <f ca="1">国资委考核指标!$G$63</f>
        <v>0.30675767255741659</v>
      </c>
      <c r="I190" s="1174">
        <f ca="1">损益表!$G$20</f>
        <v>23.534420657935943</v>
      </c>
      <c r="J190" s="1175">
        <f>实际收入!$G$7</f>
        <v>833.43975594621452</v>
      </c>
      <c r="K190" s="1173">
        <f ca="1">资产负债表!$G$65</f>
        <v>1342.6284026274172</v>
      </c>
      <c r="L190" s="1173">
        <f ca="1">资产负债表!$G$31</f>
        <v>1928.3288084030385</v>
      </c>
      <c r="M190" s="1173">
        <f ca="1">损益表!$G$18</f>
        <v>31.379227543914592</v>
      </c>
      <c r="N190" s="1163">
        <f ca="1">资产负债表!$G$70</f>
        <v>0.30373616747300303</v>
      </c>
      <c r="O190" s="1173">
        <f ca="1">国资委考核指标!$G$23</f>
        <v>-24.199425139865632</v>
      </c>
    </row>
    <row r="191" spans="1:15">
      <c r="A191" s="1171"/>
      <c r="B191" s="1181">
        <f>G20</f>
        <v>219.2</v>
      </c>
      <c r="C191" s="1181">
        <v>219.21399682449601</v>
      </c>
      <c r="D191" s="1184">
        <f>C191+D190</f>
        <v>229.21399682449601</v>
      </c>
      <c r="E191" s="1178">
        <f t="dataTable" ref="E191:O191" dt2D="0" dtr="0" r1="G20" ca="1"/>
        <v>0</v>
      </c>
      <c r="F191" s="1173">
        <v>0.43497096790000001</v>
      </c>
      <c r="G191" s="1173">
        <v>-0.9858914493940899</v>
      </c>
      <c r="H191" s="1173">
        <v>0.30676253358224015</v>
      </c>
      <c r="I191" s="1173">
        <v>33.288041742931782</v>
      </c>
      <c r="J191" s="1173">
        <v>846.48486947169317</v>
      </c>
      <c r="K191" s="1173">
        <v>1352.3820237125151</v>
      </c>
      <c r="L191" s="1173">
        <v>1948.4053634430279</v>
      </c>
      <c r="M191" s="1173">
        <v>44.384055657242378</v>
      </c>
      <c r="N191" s="1173">
        <v>0.30590458598519027</v>
      </c>
      <c r="O191" s="1173">
        <v>-14.689485348453069</v>
      </c>
    </row>
    <row r="192" spans="1:15">
      <c r="C192" s="1179"/>
      <c r="D192" s="1180" t="s">
        <v>1739</v>
      </c>
      <c r="E192" s="1178">
        <f ca="1">E190-E191</f>
        <v>0</v>
      </c>
      <c r="F192" s="1178">
        <f t="shared" ref="F192:N192" ca="1" si="74">F191-F190</f>
        <v>0</v>
      </c>
      <c r="G192" s="1178">
        <f t="shared" ca="1" si="74"/>
        <v>-5.0016408753591479E-2</v>
      </c>
      <c r="H192" s="1178">
        <f t="shared" ca="1" si="74"/>
        <v>4.8610248235547715E-6</v>
      </c>
      <c r="I192" s="1178">
        <f t="shared" ca="1" si="74"/>
        <v>9.7536210849958387</v>
      </c>
      <c r="J192" s="1178">
        <f t="shared" si="74"/>
        <v>13.045113525478655</v>
      </c>
      <c r="K192" s="1178">
        <f t="shared" ca="1" si="74"/>
        <v>9.7536210850978478</v>
      </c>
      <c r="L192" s="1178">
        <f t="shared" ca="1" si="74"/>
        <v>20.076555039989444</v>
      </c>
      <c r="M192" s="1178">
        <f t="shared" ca="1" si="74"/>
        <v>13.004828113327786</v>
      </c>
      <c r="N192" s="1178">
        <f t="shared" ca="1" si="74"/>
        <v>2.1684185121872424E-3</v>
      </c>
      <c r="O192" s="1178">
        <f ca="1">O191-O190</f>
        <v>9.5099397914125632</v>
      </c>
    </row>
    <row r="193" spans="7:7">
      <c r="G193" s="1185">
        <v>4.9000000000000002E-2</v>
      </c>
    </row>
  </sheetData>
  <mergeCells count="1">
    <mergeCell ref="C2:F2"/>
  </mergeCells>
  <phoneticPr fontId="20" type="noConversion"/>
  <printOptions horizontalCentered="1"/>
  <pageMargins left="0.70866141732283472" right="0.70866141732283472" top="0.74803149606299213" bottom="0.74803149606299213" header="0.31496062992125984" footer="0.31496062992125984"/>
  <pageSetup paperSize="9" scale="66" fitToHeight="3"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3">
    <tabColor theme="9" tint="0.59999389629810485"/>
  </sheetPr>
  <dimension ref="B2:R210"/>
  <sheetViews>
    <sheetView showGridLines="0" topLeftCell="A67" zoomScale="90" zoomScaleNormal="90" workbookViewId="0">
      <pane xSplit="2" topLeftCell="C1" activePane="topRight" state="frozen"/>
      <selection pane="topRight" activeCell="C210" sqref="C210"/>
    </sheetView>
  </sheetViews>
  <sheetFormatPr defaultRowHeight="14.4" outlineLevelRow="2"/>
  <cols>
    <col min="1" max="1" width="2.109375" customWidth="1"/>
    <col min="2" max="2" width="18.6640625" customWidth="1"/>
    <col min="3" max="3" width="14.109375" bestFit="1" customWidth="1"/>
    <col min="4" max="4" width="13.109375" customWidth="1"/>
    <col min="5" max="5" width="15.6640625" bestFit="1" customWidth="1"/>
    <col min="6" max="6" width="18.6640625" bestFit="1" customWidth="1"/>
    <col min="7" max="7" width="21.109375" customWidth="1"/>
    <col min="8" max="8" width="18.6640625" bestFit="1" customWidth="1"/>
    <col min="9" max="10" width="14.109375" bestFit="1" customWidth="1"/>
    <col min="11" max="11" width="14.109375" style="626" customWidth="1"/>
    <col min="12" max="12" width="14.21875" customWidth="1"/>
    <col min="13" max="13" width="24.77734375" bestFit="1" customWidth="1"/>
    <col min="14" max="14" width="13.6640625" customWidth="1"/>
    <col min="15" max="15" width="14.21875" customWidth="1"/>
    <col min="16" max="16" width="14.109375" bestFit="1" customWidth="1"/>
    <col min="17" max="17" width="14.6640625" customWidth="1"/>
    <col min="18" max="18" width="12.77734375" bestFit="1" customWidth="1"/>
  </cols>
  <sheetData>
    <row r="2" spans="2:18" ht="15" thickBot="1">
      <c r="E2" s="830"/>
      <c r="Q2">
        <v>175</v>
      </c>
      <c r="R2">
        <v>210</v>
      </c>
    </row>
    <row r="3" spans="2:18" ht="36.75" customHeight="1" thickBot="1">
      <c r="B3" s="1769" t="s">
        <v>1863</v>
      </c>
      <c r="C3" s="1770" t="s">
        <v>1895</v>
      </c>
      <c r="D3" s="1769" t="s">
        <v>1894</v>
      </c>
      <c r="E3" s="1771" t="s">
        <v>1864</v>
      </c>
      <c r="F3" s="2031" t="s">
        <v>2268</v>
      </c>
      <c r="G3" s="1771" t="s">
        <v>1876</v>
      </c>
      <c r="H3" s="1772" t="s">
        <v>1877</v>
      </c>
      <c r="I3" s="1772" t="s">
        <v>1883</v>
      </c>
      <c r="J3" s="1772" t="s">
        <v>1887</v>
      </c>
      <c r="K3" s="1772" t="s">
        <v>1891</v>
      </c>
      <c r="L3" s="1772" t="s">
        <v>2299</v>
      </c>
      <c r="M3" s="1963" t="s">
        <v>1171</v>
      </c>
      <c r="N3" s="1963">
        <f>假设!G3</f>
        <v>2018</v>
      </c>
      <c r="O3" s="1963">
        <f>假设!H3</f>
        <v>2019</v>
      </c>
      <c r="P3" s="1963">
        <f>假设!I3</f>
        <v>2020</v>
      </c>
      <c r="Q3" s="1963">
        <f>假设!J3</f>
        <v>2021</v>
      </c>
      <c r="R3" s="1963">
        <f>假设!K3</f>
        <v>2022</v>
      </c>
    </row>
    <row r="4" spans="2:18">
      <c r="B4" s="971" t="s">
        <v>1835</v>
      </c>
      <c r="C4" s="959">
        <v>22.055569436521704</v>
      </c>
      <c r="D4" s="970">
        <f>假设!$G$121</f>
        <v>0.05</v>
      </c>
      <c r="E4" s="2062">
        <f ca="1">SUMPRODUCT(E5:E9,L5:L9)/SUM(L5:L9)</f>
        <v>4.3121249161553729E-2</v>
      </c>
      <c r="F4" s="2062">
        <f ca="1">SUMPRODUCT(F5:F9,L5:L9)/SUM(L5:L9)</f>
        <v>4.3121249161553729E-2</v>
      </c>
      <c r="G4" s="810">
        <v>506.82184277839997</v>
      </c>
      <c r="H4" s="681">
        <f>SUM(H5:H9)</f>
        <v>0.10862348982033465</v>
      </c>
      <c r="I4" s="809">
        <v>10.0610191951</v>
      </c>
      <c r="J4" s="809">
        <v>167.31658982019999</v>
      </c>
      <c r="K4" s="964">
        <f>K$35*$H4</f>
        <v>25.21264087942442</v>
      </c>
      <c r="L4" s="2058">
        <f ca="1">SUM(L5:L9)</f>
        <v>506.27651971181223</v>
      </c>
      <c r="M4" s="1964" t="s">
        <v>338</v>
      </c>
      <c r="N4" s="1965">
        <f ca="1">J70</f>
        <v>3186.0830323173905</v>
      </c>
      <c r="O4" s="2007">
        <f ca="1">J105</f>
        <v>3335.1700718795864</v>
      </c>
      <c r="P4" s="2007">
        <f ca="1">$J140</f>
        <v>3480.6857898340531</v>
      </c>
      <c r="Q4" s="2007">
        <f ca="1">$J175</f>
        <v>3632.6600365589102</v>
      </c>
      <c r="R4" s="2007">
        <f ca="1">$J210</f>
        <v>3793.5279952428505</v>
      </c>
    </row>
    <row r="5" spans="2:18">
      <c r="B5" s="972" t="s">
        <v>1865</v>
      </c>
      <c r="C5" s="959">
        <v>22.041763341067284</v>
      </c>
      <c r="D5" s="970">
        <f>假设!$G$121</f>
        <v>0.05</v>
      </c>
      <c r="E5" s="1767">
        <v>4.3200000000000002E-2</v>
      </c>
      <c r="F5" s="993">
        <f>IF(多维联动分析!$B$4="YES",多维联动分析!$D$39,固定资产结构及折旧参数!E5)</f>
        <v>4.3200000000000002E-2</v>
      </c>
      <c r="G5" s="810">
        <v>112.0537696176</v>
      </c>
      <c r="H5" s="1768">
        <v>0</v>
      </c>
      <c r="I5" s="809">
        <v>0</v>
      </c>
      <c r="J5" s="809">
        <v>5.7853848441999993</v>
      </c>
      <c r="K5" s="964">
        <f t="shared" ref="K5:K34" si="0">K$35*$H5</f>
        <v>0</v>
      </c>
      <c r="L5" s="2057">
        <f ca="1">(AVERAGE(J40,G5)-AVERAGE(K40,I5))</f>
        <v>111.773635193556</v>
      </c>
      <c r="M5" s="1964" t="s">
        <v>376</v>
      </c>
      <c r="N5" s="1966">
        <f>C70</f>
        <v>150.09303532984927</v>
      </c>
      <c r="O5" s="1966">
        <f>C105</f>
        <v>159.09861744964024</v>
      </c>
      <c r="P5" s="1966">
        <f>$C140</f>
        <v>168.64453449661866</v>
      </c>
      <c r="Q5" s="1966">
        <f>$C175</f>
        <v>178.76320656641579</v>
      </c>
      <c r="R5" s="1966">
        <f>$C210</f>
        <v>189.48899896040075</v>
      </c>
    </row>
    <row r="6" spans="2:18">
      <c r="B6" s="972" t="s">
        <v>1866</v>
      </c>
      <c r="C6" s="959">
        <v>22.196261682242991</v>
      </c>
      <c r="D6" s="970">
        <f>假设!$G$121</f>
        <v>0.05</v>
      </c>
      <c r="E6" s="1767">
        <v>4.2599999999999999E-2</v>
      </c>
      <c r="F6" s="993">
        <f>IF(多维联动分析!$B$4="YES",多维联动分析!$D$39,固定资产结构及折旧参数!E6)</f>
        <v>4.2599999999999999E-2</v>
      </c>
      <c r="G6" s="810">
        <v>56.393180103600002</v>
      </c>
      <c r="H6" s="1768">
        <v>2.5789101671374211E-2</v>
      </c>
      <c r="I6" s="809">
        <v>7.0540765039000002</v>
      </c>
      <c r="J6" s="809">
        <v>26.398434560599998</v>
      </c>
      <c r="K6" s="964">
        <f t="shared" si="0"/>
        <v>5.9859185165085762</v>
      </c>
      <c r="L6" s="2057">
        <f t="shared" ref="L6:L34" ca="1" si="1">(AVERAGE(J41,G6)-AVERAGE(K41,I6))</f>
        <v>51.263572679505465</v>
      </c>
      <c r="M6" s="1964" t="s">
        <v>1048</v>
      </c>
      <c r="N6" s="1965">
        <f ca="1">P70</f>
        <v>166.49387785731943</v>
      </c>
      <c r="O6" s="1965">
        <f ca="1">P105</f>
        <v>160.57504058317608</v>
      </c>
      <c r="P6" s="1965">
        <f ca="1">$P140</f>
        <v>167.02800676593012</v>
      </c>
      <c r="Q6" s="1965">
        <f ca="1">$P175</f>
        <v>176.41353765831872</v>
      </c>
      <c r="R6" s="1965">
        <f ca="1">$P210</f>
        <v>186.87127775198428</v>
      </c>
    </row>
    <row r="7" spans="2:18">
      <c r="B7" s="972" t="s">
        <v>1867</v>
      </c>
      <c r="C7" s="959">
        <v>21.300448430493272</v>
      </c>
      <c r="D7" s="970">
        <f>假设!$G$121</f>
        <v>0.05</v>
      </c>
      <c r="E7" s="1767">
        <v>4.4499999999999998E-2</v>
      </c>
      <c r="F7" s="993">
        <f>IF(多维联动分析!$B$4="YES",多维联动分析!$D$39,固定资产结构及折旧参数!E7)</f>
        <v>4.4499999999999998E-2</v>
      </c>
      <c r="G7" s="810">
        <v>118.93234833</v>
      </c>
      <c r="H7" s="1768">
        <v>2.5437800080628306E-2</v>
      </c>
      <c r="I7" s="809">
        <v>0.2437346225</v>
      </c>
      <c r="J7" s="809">
        <v>51.438101471700001</v>
      </c>
      <c r="K7" s="964">
        <f t="shared" si="0"/>
        <v>5.9043777663218808</v>
      </c>
      <c r="L7" s="2057">
        <f t="shared" ca="1" si="1"/>
        <v>121.11716973690709</v>
      </c>
      <c r="M7" s="1964" t="s">
        <v>1049</v>
      </c>
      <c r="N7" s="1965">
        <f ca="1">H70</f>
        <v>215.70955017972992</v>
      </c>
      <c r="O7" s="1965">
        <f ca="1">H105</f>
        <v>165.0174547237836</v>
      </c>
      <c r="P7" s="1965">
        <f ca="1">$H140</f>
        <v>162.19156831386459</v>
      </c>
      <c r="Q7" s="1965">
        <f ca="1">$H175</f>
        <v>169.37767567402733</v>
      </c>
      <c r="R7" s="1965">
        <f ca="1">$H210</f>
        <v>179.03125886673507</v>
      </c>
    </row>
    <row r="8" spans="2:18">
      <c r="B8" s="972" t="s">
        <v>1868</v>
      </c>
      <c r="C8" s="959">
        <v>22.565320665083135</v>
      </c>
      <c r="D8" s="970">
        <f>假设!$G$121</f>
        <v>0.05</v>
      </c>
      <c r="E8" s="1767">
        <v>4.2099999999999999E-2</v>
      </c>
      <c r="F8" s="993">
        <f>IF(多维联动分析!$B$4="YES",多维联动分析!$D$39,固定资产结构及折旧参数!E8)</f>
        <v>4.2099999999999999E-2</v>
      </c>
      <c r="G8" s="810">
        <v>63.777865956199996</v>
      </c>
      <c r="H8" s="1768">
        <v>3.0997282653112572E-2</v>
      </c>
      <c r="I8" s="809">
        <v>0.34431884060000001</v>
      </c>
      <c r="J8" s="809">
        <v>18.963534204800002</v>
      </c>
      <c r="K8" s="964">
        <f t="shared" si="0"/>
        <v>7.1947914494700385</v>
      </c>
      <c r="L8" s="2057">
        <f t="shared" ca="1" si="1"/>
        <v>66.581184404269337</v>
      </c>
      <c r="M8" s="1967" t="s">
        <v>1050</v>
      </c>
      <c r="N8" s="1968">
        <f>E70</f>
        <v>185.68831416576</v>
      </c>
      <c r="O8" s="1968">
        <f ca="1">E105</f>
        <v>133.19510228585557</v>
      </c>
      <c r="P8" s="1968">
        <f ca="1">$E140</f>
        <v>128.46003246654089</v>
      </c>
      <c r="Q8" s="1968">
        <f ca="1">$E175</f>
        <v>133.62240541274414</v>
      </c>
      <c r="R8" s="1968">
        <f ca="1">$E210</f>
        <v>141.13083012665496</v>
      </c>
    </row>
    <row r="9" spans="2:18">
      <c r="B9" s="969" t="s">
        <v>1869</v>
      </c>
      <c r="C9" s="959">
        <v>22.196261682242991</v>
      </c>
      <c r="D9" s="970">
        <f>假设!$G$121</f>
        <v>0.05</v>
      </c>
      <c r="E9" s="1767">
        <v>4.2599999999999999E-2</v>
      </c>
      <c r="F9" s="993">
        <f>IF(多维联动分析!$B$4="YES",多维联动分析!$D$39,固定资产结构及折旧参数!E9)</f>
        <v>4.2599999999999999E-2</v>
      </c>
      <c r="G9" s="810">
        <v>155.66467877100001</v>
      </c>
      <c r="H9" s="1768">
        <v>2.6399305415219565E-2</v>
      </c>
      <c r="I9" s="809">
        <v>2.4188892280999998</v>
      </c>
      <c r="J9" s="809">
        <v>64.73113473890001</v>
      </c>
      <c r="K9" s="964">
        <f t="shared" si="0"/>
        <v>6.1275531471239253</v>
      </c>
      <c r="L9" s="2057">
        <f t="shared" ca="1" si="1"/>
        <v>155.54095769757436</v>
      </c>
      <c r="M9" s="1967" t="s">
        <v>1051</v>
      </c>
      <c r="N9" s="1968">
        <f>D70</f>
        <v>30.018607065969842</v>
      </c>
      <c r="O9" s="1968">
        <f>D105</f>
        <v>31.819723489928045</v>
      </c>
      <c r="P9" s="1968">
        <f>$D140</f>
        <v>33.728906899323725</v>
      </c>
      <c r="Q9" s="1968">
        <f>$D175</f>
        <v>35.752641313283149</v>
      </c>
      <c r="R9" s="1968">
        <f>$D210</f>
        <v>37.897799792080143</v>
      </c>
    </row>
    <row r="10" spans="2:18">
      <c r="B10" s="971" t="s">
        <v>1836</v>
      </c>
      <c r="C10" s="959">
        <v>15.670037006548009</v>
      </c>
      <c r="D10" s="970">
        <f>假设!$G$121</f>
        <v>0.05</v>
      </c>
      <c r="E10" s="2062">
        <f ca="1">SUMPRODUCT(E11:E15,L11:L15)/SUM(L11:L15)</f>
        <v>5.9758860877909846E-2</v>
      </c>
      <c r="F10" s="2062">
        <f ca="1">SUMPRODUCT(F11:F15,L11:L15)/SUM(L11:L15)</f>
        <v>5.9758860877909846E-2</v>
      </c>
      <c r="G10" s="810">
        <v>315.4042850468</v>
      </c>
      <c r="H10" s="681">
        <f>SUM(H11:H15)</f>
        <v>8.7143375534511375E-2</v>
      </c>
      <c r="I10" s="809">
        <v>58.259046435400002</v>
      </c>
      <c r="J10" s="809">
        <v>169.53956978440002</v>
      </c>
      <c r="K10" s="964">
        <f t="shared" si="0"/>
        <v>20.226883117146443</v>
      </c>
      <c r="L10" s="2059">
        <f ca="1">SUM(L11:L15)</f>
        <v>261.01514098729854</v>
      </c>
      <c r="M10" s="1967" t="s">
        <v>1060</v>
      </c>
      <c r="N10" s="1968">
        <f>F70</f>
        <v>0</v>
      </c>
      <c r="O10" s="1968">
        <f>F105</f>
        <v>0</v>
      </c>
      <c r="P10" s="1968">
        <f>$F140</f>
        <v>0</v>
      </c>
      <c r="Q10" s="1968">
        <f>$F175</f>
        <v>0</v>
      </c>
      <c r="R10" s="1968">
        <f>$F210</f>
        <v>0</v>
      </c>
    </row>
    <row r="11" spans="2:18">
      <c r="B11" s="972" t="s">
        <v>1865</v>
      </c>
      <c r="C11" s="959">
        <v>15.625</v>
      </c>
      <c r="D11" s="970">
        <f>假设!$G$121</f>
        <v>0.05</v>
      </c>
      <c r="E11" s="1767">
        <v>6.0699999999999997E-2</v>
      </c>
      <c r="F11" s="993">
        <f>IF(多维联动分析!$B$4="YES",多维联动分析!$D$39,固定资产结构及折旧参数!E11)</f>
        <v>6.0699999999999997E-2</v>
      </c>
      <c r="G11" s="810">
        <v>35.707255727399996</v>
      </c>
      <c r="H11" s="1768">
        <v>0</v>
      </c>
      <c r="I11" s="809">
        <v>8.1999462999999995E-2</v>
      </c>
      <c r="J11" s="809">
        <v>4.4610577091000003</v>
      </c>
      <c r="K11" s="964">
        <f t="shared" si="0"/>
        <v>0</v>
      </c>
      <c r="L11" s="2057">
        <f t="shared" ca="1" si="1"/>
        <v>35.532113650454747</v>
      </c>
      <c r="M11" s="1967" t="s">
        <v>1052</v>
      </c>
      <c r="N11" s="1969">
        <f ca="1">G70</f>
        <v>2.628947999999999E-3</v>
      </c>
      <c r="O11" s="1970">
        <f ca="1">G105</f>
        <v>2.628947999999999E-3</v>
      </c>
      <c r="P11" s="1970">
        <f ca="1">$G140</f>
        <v>2.628947999999999E-3</v>
      </c>
      <c r="Q11" s="1970">
        <f ca="1">$G175</f>
        <v>2.628947999999999E-3</v>
      </c>
      <c r="R11" s="1970">
        <f ca="1">$G210</f>
        <v>2.628947999999999E-3</v>
      </c>
    </row>
    <row r="12" spans="2:18">
      <c r="B12" s="972" t="s">
        <v>1866</v>
      </c>
      <c r="C12" s="959">
        <v>15.676567656765675</v>
      </c>
      <c r="D12" s="970">
        <f>假设!$G$121</f>
        <v>0.05</v>
      </c>
      <c r="E12" s="1767">
        <v>6.0100000000000001E-2</v>
      </c>
      <c r="F12" s="993">
        <f>IF(多维联动分析!$B$4="YES",多维联动分析!$D$39,固定资产结构及折旧参数!E12)</f>
        <v>6.0100000000000001E-2</v>
      </c>
      <c r="G12" s="810">
        <v>31.160754014200002</v>
      </c>
      <c r="H12" s="1768">
        <v>2.6311450828108503E-4</v>
      </c>
      <c r="I12" s="809">
        <v>5.2840955901999997</v>
      </c>
      <c r="J12" s="809">
        <v>15.888174267</v>
      </c>
      <c r="K12" s="964">
        <f t="shared" si="0"/>
        <v>6.1071611844084481E-2</v>
      </c>
      <c r="L12" s="2057">
        <f t="shared" ca="1" si="1"/>
        <v>25.57216771928859</v>
      </c>
      <c r="M12" s="1964" t="s">
        <v>379</v>
      </c>
      <c r="N12" s="1965">
        <f>I70</f>
        <v>14.926499910239501</v>
      </c>
      <c r="O12" s="1966">
        <f ca="1">I105</f>
        <v>15.930415161586954</v>
      </c>
      <c r="P12" s="1966">
        <f ca="1">$I140</f>
        <v>16.675850359397934</v>
      </c>
      <c r="Q12" s="1966">
        <f ca="1">$I175</f>
        <v>17.403428949170266</v>
      </c>
      <c r="R12" s="1966">
        <f ca="1">$I210</f>
        <v>18.163300182794547</v>
      </c>
    </row>
    <row r="13" spans="2:18">
      <c r="B13" s="969" t="s">
        <v>1867</v>
      </c>
      <c r="C13" s="959">
        <v>16.379310344827584</v>
      </c>
      <c r="D13" s="970">
        <f>假设!$G$121</f>
        <v>0.05</v>
      </c>
      <c r="E13" s="1767">
        <v>5.8500000000000003E-2</v>
      </c>
      <c r="F13" s="993">
        <f>IF(多维联动分析!$B$4="YES",多维联动分析!$D$39,固定资产结构及折旧参数!E13)</f>
        <v>5.8500000000000003E-2</v>
      </c>
      <c r="G13" s="810">
        <v>114.97997043590001</v>
      </c>
      <c r="H13" s="1768">
        <v>3.7500910627365533E-2</v>
      </c>
      <c r="I13" s="809">
        <v>21.8824010206</v>
      </c>
      <c r="J13" s="809">
        <v>68.105681810699991</v>
      </c>
      <c r="K13" s="964">
        <f t="shared" si="0"/>
        <v>8.7043510925954237</v>
      </c>
      <c r="L13" s="2057">
        <f t="shared" ca="1" si="1"/>
        <v>94.974094989926584</v>
      </c>
      <c r="M13" s="1964" t="s">
        <v>1054</v>
      </c>
      <c r="N13" s="1965">
        <f ca="1">M70</f>
        <v>1748.1864574411106</v>
      </c>
      <c r="O13" s="1964">
        <f ca="1">M105</f>
        <v>1893.0326647401339</v>
      </c>
      <c r="P13" s="1965">
        <f ca="1">$M140</f>
        <v>2040.0845872860289</v>
      </c>
      <c r="Q13" s="1965">
        <f ca="1">$M175</f>
        <v>2188.5408546394574</v>
      </c>
      <c r="R13" s="1965">
        <f ca="1">$M210</f>
        <v>2337.7309747053719</v>
      </c>
    </row>
    <row r="14" spans="2:18">
      <c r="B14" s="969" t="s">
        <v>1868</v>
      </c>
      <c r="C14" s="959">
        <v>15.625</v>
      </c>
      <c r="D14" s="970">
        <f>假设!$G$121</f>
        <v>0.05</v>
      </c>
      <c r="E14" s="1767">
        <v>6.08E-2</v>
      </c>
      <c r="F14" s="993">
        <f>IF(多维联动分析!$B$4="YES",多维联动分析!$D$39,固定资产结构及折旧参数!E14)</f>
        <v>6.08E-2</v>
      </c>
      <c r="G14" s="810">
        <v>45.649752009899998</v>
      </c>
      <c r="H14" s="1768">
        <v>3.2205826078104668E-2</v>
      </c>
      <c r="I14" s="809">
        <v>6.8882502621000006</v>
      </c>
      <c r="J14" s="809">
        <v>22.347477946999998</v>
      </c>
      <c r="K14" s="964">
        <f t="shared" si="0"/>
        <v>7.4753069384486581</v>
      </c>
      <c r="L14" s="2057">
        <f t="shared" ca="1" si="1"/>
        <v>41.218909638878074</v>
      </c>
      <c r="M14" s="1964" t="s">
        <v>1073</v>
      </c>
      <c r="N14" s="1965">
        <f ca="1">K70</f>
        <v>593.12439133091732</v>
      </c>
      <c r="O14" s="1965">
        <f ca="1">K105</f>
        <v>685.20538528625298</v>
      </c>
      <c r="P14" s="1965">
        <f ca="1">$K140</f>
        <v>788.91238702965711</v>
      </c>
      <c r="Q14" s="1965">
        <f ca="1">$K175</f>
        <v>908.21376110992549</v>
      </c>
      <c r="R14" s="1965">
        <f ca="1">$K210</f>
        <v>1046.0695278803421</v>
      </c>
    </row>
    <row r="15" spans="2:18">
      <c r="B15" s="969" t="s">
        <v>1869</v>
      </c>
      <c r="C15" s="959">
        <v>15.702479338842975</v>
      </c>
      <c r="D15" s="970">
        <f>假设!$G$121</f>
        <v>0.05</v>
      </c>
      <c r="E15" s="1767">
        <v>6.0299999999999999E-2</v>
      </c>
      <c r="F15" s="993">
        <f>IF(多维联动分析!$B$4="YES",多维联动分析!$D$39,固定资产结构及折旧参数!E15)</f>
        <v>6.0299999999999999E-2</v>
      </c>
      <c r="G15" s="810">
        <v>87.906552859399994</v>
      </c>
      <c r="H15" s="1768">
        <v>1.7173524320760084E-2</v>
      </c>
      <c r="I15" s="809">
        <v>24.122300099499999</v>
      </c>
      <c r="J15" s="809">
        <v>58.737178050600001</v>
      </c>
      <c r="K15" s="964">
        <f t="shared" si="0"/>
        <v>3.9861534742582738</v>
      </c>
      <c r="L15" s="2057">
        <f t="shared" ca="1" si="1"/>
        <v>63.717854988750553</v>
      </c>
      <c r="M15" s="1964" t="s">
        <v>1055</v>
      </c>
      <c r="N15" s="1965">
        <f ca="1">L70</f>
        <v>154.85442231883817</v>
      </c>
      <c r="O15" s="1965">
        <f ca="1">L105</f>
        <v>159.98010170253076</v>
      </c>
      <c r="P15" s="1965">
        <f ca="1">$L140</f>
        <v>162.89398038732321</v>
      </c>
      <c r="Q15" s="1965">
        <f ca="1">$L175</f>
        <v>164.98952485514025</v>
      </c>
      <c r="R15" s="1965">
        <f ca="1">$L210</f>
        <v>166.44525523956906</v>
      </c>
    </row>
    <row r="16" spans="2:18">
      <c r="B16" s="973" t="s">
        <v>1837</v>
      </c>
      <c r="C16" s="959">
        <v>15.153929260036845</v>
      </c>
      <c r="D16" s="970">
        <f>假设!$G$121</f>
        <v>0.05</v>
      </c>
      <c r="E16" s="2062">
        <f ca="1">(E17*L17+E20*L20)/SUM(L17+L20)</f>
        <v>6.2642286413293294E-2</v>
      </c>
      <c r="F16" s="2062">
        <f ca="1">(F17*L17+F20*L20)/SUM(L17+L20)</f>
        <v>6.2642286413293294E-2</v>
      </c>
      <c r="G16" s="810">
        <v>1347.3864547735</v>
      </c>
      <c r="H16" s="681">
        <f>SUM(H17,H20)</f>
        <v>0.42716179612749094</v>
      </c>
      <c r="I16" s="809">
        <v>243.22670107169998</v>
      </c>
      <c r="J16" s="809">
        <v>803.9188929833</v>
      </c>
      <c r="K16" s="964">
        <f t="shared" si="0"/>
        <v>99.14869224866483</v>
      </c>
      <c r="L16" s="2059">
        <f ca="1">L17+L20</f>
        <v>1128.2154520073962</v>
      </c>
      <c r="M16" s="1964" t="s">
        <v>1056</v>
      </c>
      <c r="N16" s="1966">
        <f>N70</f>
        <v>0.13129785250000001</v>
      </c>
      <c r="O16" s="1966">
        <f>N105</f>
        <v>0.13129785250000001</v>
      </c>
      <c r="P16" s="1966">
        <f>$N140</f>
        <v>0.13129785250000001</v>
      </c>
      <c r="Q16" s="1966">
        <f>$N175</f>
        <v>0.13129785250000001</v>
      </c>
      <c r="R16" s="1966">
        <f>$N210</f>
        <v>0.13129785250000001</v>
      </c>
    </row>
    <row r="17" spans="2:18">
      <c r="B17" s="969" t="s">
        <v>1870</v>
      </c>
      <c r="C17" s="959">
        <v>15.333926882036037</v>
      </c>
      <c r="D17" s="970">
        <f>假设!$G$121</f>
        <v>0.05</v>
      </c>
      <c r="E17" s="2062">
        <f ca="1">SUMPRODUCT(E18:E19,L18:L19)/SUM(L18:L19)</f>
        <v>6.2189995767215393E-2</v>
      </c>
      <c r="F17" s="2062">
        <f ca="1">SUMPRODUCT(F18:F19,L18:L19)/SUM(L18:L19)</f>
        <v>6.2189995767215393E-2</v>
      </c>
      <c r="G17" s="810">
        <v>869.09793391699998</v>
      </c>
      <c r="H17" s="681">
        <f>SUM(H18:H19)</f>
        <v>0.38632434477472027</v>
      </c>
      <c r="I17" s="809">
        <v>128.13034213840001</v>
      </c>
      <c r="J17" s="809">
        <v>519.16054434850003</v>
      </c>
      <c r="K17" s="964">
        <f t="shared" si="0"/>
        <v>89.669895378012058</v>
      </c>
      <c r="L17" s="2057">
        <f ca="1">SUM(L18:L19)</f>
        <v>768.40929026598667</v>
      </c>
      <c r="M17" s="1964" t="s">
        <v>1057</v>
      </c>
      <c r="N17" s="1965">
        <f ca="1">O70</f>
        <v>1437.7652770237794</v>
      </c>
      <c r="O17" s="1965">
        <f ca="1">O105</f>
        <v>1442.0061092869532</v>
      </c>
      <c r="P17" s="1965">
        <f ca="1">$O140</f>
        <v>1440.4699046955243</v>
      </c>
      <c r="Q17" s="1965">
        <f ca="1">$O175</f>
        <v>1443.987884066953</v>
      </c>
      <c r="R17" s="1965">
        <f ca="1">$O210</f>
        <v>1455.6657226849788</v>
      </c>
    </row>
    <row r="18" spans="2:18">
      <c r="B18" s="969" t="s">
        <v>1871</v>
      </c>
      <c r="C18" s="959">
        <v>15.32258064516129</v>
      </c>
      <c r="D18" s="970">
        <f>假设!$G$121</f>
        <v>0.05</v>
      </c>
      <c r="E18" s="1767">
        <v>6.2300000000000001E-2</v>
      </c>
      <c r="F18" s="993">
        <f>IF(多维联动分析!$B$4="YES",多维联动分析!$D$39,固定资产结构及折旧参数!E18)</f>
        <v>6.2300000000000001E-2</v>
      </c>
      <c r="G18" s="810">
        <v>518.8267081306999</v>
      </c>
      <c r="H18" s="1768">
        <v>0.29735828284277299</v>
      </c>
      <c r="I18" s="809">
        <v>56.447384644099998</v>
      </c>
      <c r="J18" s="809">
        <v>313.3579783719</v>
      </c>
      <c r="K18" s="964">
        <f t="shared" si="0"/>
        <v>69.019947805374699</v>
      </c>
      <c r="L18" s="2057">
        <f t="shared" ca="1" si="1"/>
        <v>486.64837546508647</v>
      </c>
      <c r="M18" s="626"/>
      <c r="N18" s="960"/>
    </row>
    <row r="19" spans="2:18">
      <c r="B19" s="969" t="s">
        <v>1872</v>
      </c>
      <c r="C19" s="959">
        <v>15.347334410339258</v>
      </c>
      <c r="D19" s="970">
        <f>假设!$G$121</f>
        <v>0.05</v>
      </c>
      <c r="E19" s="1767">
        <v>6.2E-2</v>
      </c>
      <c r="F19" s="993">
        <f>IF(多维联动分析!$B$4="YES",多维联动分析!$D$39,固定资产结构及折旧参数!E19)</f>
        <v>6.2E-2</v>
      </c>
      <c r="G19" s="810">
        <v>350.27122578629996</v>
      </c>
      <c r="H19" s="1768">
        <v>8.8966061931947282E-2</v>
      </c>
      <c r="I19" s="809">
        <v>71.682957494299998</v>
      </c>
      <c r="J19" s="809">
        <v>205.80256597659999</v>
      </c>
      <c r="K19" s="964">
        <f t="shared" si="0"/>
        <v>20.649947572637362</v>
      </c>
      <c r="L19" s="2057">
        <f t="shared" ca="1" si="1"/>
        <v>281.7609148009002</v>
      </c>
      <c r="M19" s="626"/>
      <c r="N19" s="960"/>
    </row>
    <row r="20" spans="2:18">
      <c r="B20" s="969" t="s">
        <v>1873</v>
      </c>
      <c r="C20" s="959">
        <v>14.843480104360493</v>
      </c>
      <c r="D20" s="970">
        <f>假设!$G$121</f>
        <v>0.05</v>
      </c>
      <c r="E20" s="2062">
        <f ca="1">SUMPRODUCT(E21:E22,L21:L22)/SUM(L21:L22)</f>
        <v>6.3608207432167996E-2</v>
      </c>
      <c r="F20" s="2062">
        <f ca="1">SUMPRODUCT(F21:F22,L21:L22)/SUM(L21:L22)</f>
        <v>6.3608207432167996E-2</v>
      </c>
      <c r="G20" s="810">
        <v>478.28852085650004</v>
      </c>
      <c r="H20" s="681">
        <f>SUM(H21:H22)</f>
        <v>4.0837451352770678E-2</v>
      </c>
      <c r="I20" s="809">
        <v>115.0963589333</v>
      </c>
      <c r="J20" s="809">
        <v>284.75834863479997</v>
      </c>
      <c r="K20" s="964">
        <f t="shared" si="0"/>
        <v>9.4787968706527792</v>
      </c>
      <c r="L20" s="2057">
        <f ca="1">SUM(L21:L22)</f>
        <v>359.80616174140948</v>
      </c>
      <c r="M20" s="626"/>
      <c r="N20" s="960"/>
    </row>
    <row r="21" spans="2:18">
      <c r="B21" s="969" t="s">
        <v>1871</v>
      </c>
      <c r="C21" s="959">
        <v>15.007898894154819</v>
      </c>
      <c r="D21" s="970">
        <f>假设!$G$121</f>
        <v>0.05</v>
      </c>
      <c r="E21" s="1767">
        <v>6.3299999999999995E-2</v>
      </c>
      <c r="F21" s="993">
        <f>IF(多维联动分析!$B$4="YES",多维联动分析!$D$39,固定资产结构及折旧参数!E21)</f>
        <v>6.3299999999999995E-2</v>
      </c>
      <c r="G21" s="810">
        <v>439.81270500239998</v>
      </c>
      <c r="H21" s="1768">
        <v>2.9161142493882394E-2</v>
      </c>
      <c r="I21" s="809">
        <v>106.1719800514</v>
      </c>
      <c r="J21" s="809">
        <v>263.36345432230002</v>
      </c>
      <c r="K21" s="964">
        <f t="shared" si="0"/>
        <v>6.7686042360456611</v>
      </c>
      <c r="L21" s="2057">
        <f t="shared" ca="1" si="1"/>
        <v>329.83455817693783</v>
      </c>
      <c r="M21" s="626"/>
      <c r="N21" s="960"/>
    </row>
    <row r="22" spans="2:18">
      <c r="B22" s="969" t="s">
        <v>1872</v>
      </c>
      <c r="C22" s="959">
        <v>14.157973174366616</v>
      </c>
      <c r="D22" s="970">
        <f>假设!$G$121</f>
        <v>0.05</v>
      </c>
      <c r="E22" s="1767">
        <v>6.7000000000000004E-2</v>
      </c>
      <c r="F22" s="993">
        <f>IF(多维联动分析!$B$4="YES",多维联动分析!$D$39,固定资产结构及折旧参数!E22)</f>
        <v>6.7000000000000004E-2</v>
      </c>
      <c r="G22" s="810">
        <v>38.475815854099999</v>
      </c>
      <c r="H22" s="1768">
        <v>1.1676308858888283E-2</v>
      </c>
      <c r="I22" s="809">
        <v>8.9243788819000009</v>
      </c>
      <c r="J22" s="809">
        <v>21.3948943125</v>
      </c>
      <c r="K22" s="964">
        <f t="shared" si="0"/>
        <v>2.7101926346071181</v>
      </c>
      <c r="L22" s="2057">
        <f t="shared" ca="1" si="1"/>
        <v>29.971603564471621</v>
      </c>
      <c r="M22" s="626"/>
      <c r="N22" s="960"/>
    </row>
    <row r="23" spans="2:18">
      <c r="B23" s="973" t="s">
        <v>1838</v>
      </c>
      <c r="C23" s="959">
        <v>6.9955817378497782</v>
      </c>
      <c r="D23" s="970">
        <f>假设!$G$121</f>
        <v>0.05</v>
      </c>
      <c r="E23" s="1891">
        <f>13.63%-6%</f>
        <v>7.6300000000000007E-2</v>
      </c>
      <c r="F23" s="993">
        <f>IF(多维联动分析!$B$4="YES",多维联动分析!$D$39,固定资产结构及折旧参数!E23)</f>
        <v>7.6300000000000007E-2</v>
      </c>
      <c r="G23" s="810">
        <v>66.632680630699994</v>
      </c>
      <c r="H23" s="1768">
        <v>2.0196278409059278E-2</v>
      </c>
      <c r="I23" s="809">
        <v>14.749772108800002</v>
      </c>
      <c r="J23" s="809">
        <v>36.8852751732</v>
      </c>
      <c r="K23" s="964">
        <f t="shared" si="0"/>
        <v>4.687766112750694</v>
      </c>
      <c r="L23" s="2059">
        <f t="shared" ca="1" si="1"/>
        <v>52.667267692452022</v>
      </c>
      <c r="M23" s="626"/>
      <c r="N23" s="960"/>
    </row>
    <row r="24" spans="2:18">
      <c r="B24" s="973" t="s">
        <v>1839</v>
      </c>
      <c r="C24" s="959">
        <v>10.021097046413502</v>
      </c>
      <c r="D24" s="970">
        <f>假设!$G$121</f>
        <v>0.05</v>
      </c>
      <c r="E24" s="1767">
        <f>9.74%</f>
        <v>9.74E-2</v>
      </c>
      <c r="F24" s="993">
        <f>IF(多维联动分析!$B$4="YES",多维联动分析!$D$39,固定资产结构及折旧参数!E24)</f>
        <v>9.74E-2</v>
      </c>
      <c r="G24" s="810">
        <v>48.303503642100004</v>
      </c>
      <c r="H24" s="1768">
        <v>2.6780195893746406E-2</v>
      </c>
      <c r="I24" s="809">
        <v>11.4034156779</v>
      </c>
      <c r="J24" s="809">
        <v>24.747480058099999</v>
      </c>
      <c r="K24" s="964">
        <f t="shared" si="0"/>
        <v>6.2159617856732234</v>
      </c>
      <c r="L24" s="2059">
        <f t="shared" ca="1" si="1"/>
        <v>38.378819233647121</v>
      </c>
      <c r="M24" s="626"/>
      <c r="N24" s="960"/>
    </row>
    <row r="25" spans="2:18">
      <c r="B25" s="974" t="s">
        <v>1840</v>
      </c>
      <c r="C25" s="959">
        <v>7.2298325722983261</v>
      </c>
      <c r="D25" s="970">
        <f>假设!$G$121</f>
        <v>0.05</v>
      </c>
      <c r="E25" s="1767">
        <f>13.17%-5%</f>
        <v>8.1700000000000009E-2</v>
      </c>
      <c r="F25" s="993">
        <f>IF(多维联动分析!$B$4="YES",多维联动分析!$D$39,固定资产结构及折旧参数!E25)</f>
        <v>8.1700000000000009E-2</v>
      </c>
      <c r="G25" s="810">
        <v>156.00742970670001</v>
      </c>
      <c r="H25" s="1768">
        <v>7.9304130000765499E-2</v>
      </c>
      <c r="I25" s="809">
        <v>60.0167599862</v>
      </c>
      <c r="J25" s="809">
        <v>103.45041061379999</v>
      </c>
      <c r="K25" s="964">
        <f t="shared" si="0"/>
        <v>18.407312757780524</v>
      </c>
      <c r="L25" s="2059">
        <f t="shared" ca="1" si="1"/>
        <v>97.698633740906018</v>
      </c>
      <c r="M25" s="626"/>
      <c r="N25" s="960"/>
    </row>
    <row r="26" spans="2:18">
      <c r="B26" s="973" t="s">
        <v>1841</v>
      </c>
      <c r="C26" s="959">
        <v>11.919698870765371</v>
      </c>
      <c r="D26" s="970">
        <f>假设!$G$121</f>
        <v>0.05</v>
      </c>
      <c r="E26" s="1767">
        <v>7.9899999999999999E-2</v>
      </c>
      <c r="F26" s="993">
        <f>IF(多维联动分析!$B$4="YES",多维联动分析!$D$39,固定资产结构及折旧参数!E26)</f>
        <v>7.9899999999999999E-2</v>
      </c>
      <c r="G26" s="810">
        <v>22.988363196199998</v>
      </c>
      <c r="H26" s="1768">
        <v>6.4079503461955982E-3</v>
      </c>
      <c r="I26" s="809">
        <v>12.967552778499998</v>
      </c>
      <c r="J26" s="809">
        <v>20.1648342666</v>
      </c>
      <c r="K26" s="964">
        <f t="shared" si="0"/>
        <v>1.4873518713036986</v>
      </c>
      <c r="L26" s="2059">
        <f t="shared" ca="1" si="1"/>
        <v>9.6129048707495954</v>
      </c>
      <c r="M26" s="626"/>
      <c r="N26" s="960"/>
    </row>
    <row r="27" spans="2:18">
      <c r="B27" s="973" t="s">
        <v>1842</v>
      </c>
      <c r="C27" s="959"/>
      <c r="D27" s="970">
        <f>假设!$G$121</f>
        <v>0.05</v>
      </c>
      <c r="E27" s="963"/>
      <c r="F27" s="993"/>
      <c r="G27" s="810">
        <v>0</v>
      </c>
      <c r="H27" s="1768">
        <v>0</v>
      </c>
      <c r="I27" s="809">
        <v>0</v>
      </c>
      <c r="J27" s="809">
        <v>0</v>
      </c>
      <c r="K27" s="964">
        <f t="shared" si="0"/>
        <v>0</v>
      </c>
      <c r="L27" s="2059">
        <f t="shared" ca="1" si="1"/>
        <v>0</v>
      </c>
      <c r="M27" s="626"/>
      <c r="N27" s="960"/>
    </row>
    <row r="28" spans="2:18">
      <c r="B28" s="973" t="s">
        <v>1843</v>
      </c>
      <c r="C28" s="959">
        <v>11.994949494949493</v>
      </c>
      <c r="D28" s="970">
        <f>假设!$G$121</f>
        <v>0.05</v>
      </c>
      <c r="E28" s="1767">
        <v>7.8799999999999995E-2</v>
      </c>
      <c r="F28" s="993">
        <f>IF(多维联动分析!$B$4="YES",多维联动分析!$D$39,固定资产结构及折旧参数!E28)</f>
        <v>7.8799999999999995E-2</v>
      </c>
      <c r="G28" s="810">
        <v>4.5948134145999999</v>
      </c>
      <c r="H28" s="1768">
        <v>1.5659425130021686E-3</v>
      </c>
      <c r="I28" s="809">
        <v>1.1502088346999999</v>
      </c>
      <c r="J28" s="809">
        <v>2.7181803708999999</v>
      </c>
      <c r="K28" s="964">
        <f t="shared" si="0"/>
        <v>0.36347153164983304</v>
      </c>
      <c r="L28" s="2059">
        <f t="shared" ca="1" si="1"/>
        <v>3.5011577309626425</v>
      </c>
      <c r="M28" s="626"/>
      <c r="N28" s="960"/>
    </row>
    <row r="29" spans="2:18">
      <c r="B29" s="973" t="s">
        <v>1844</v>
      </c>
      <c r="C29" s="959">
        <v>7.0527097253155162</v>
      </c>
      <c r="D29" s="970">
        <f>假设!$G$121</f>
        <v>0.05</v>
      </c>
      <c r="E29" s="1891">
        <f>13.75%-5%</f>
        <v>8.7500000000000008E-2</v>
      </c>
      <c r="F29" s="993">
        <f>IF(多维联动分析!$B$4="YES",多维联动分析!$D$39,固定资产结构及折旧参数!E29)</f>
        <v>8.7500000000000008E-2</v>
      </c>
      <c r="G29" s="810">
        <v>15.286416686800001</v>
      </c>
      <c r="H29" s="1768">
        <v>8.2192815005248613E-3</v>
      </c>
      <c r="I29" s="809">
        <v>5.7324833096000001</v>
      </c>
      <c r="J29" s="809">
        <v>10.4204714649</v>
      </c>
      <c r="K29" s="964">
        <f t="shared" si="0"/>
        <v>1.9077806568578497</v>
      </c>
      <c r="L29" s="2059">
        <f t="shared" ca="1" si="1"/>
        <v>9.7656647289810188</v>
      </c>
      <c r="M29" s="626"/>
      <c r="N29" s="960"/>
    </row>
    <row r="30" spans="2:18">
      <c r="B30" s="973" t="s">
        <v>1845</v>
      </c>
      <c r="C30" s="959">
        <v>6.1969993476842795</v>
      </c>
      <c r="D30" s="970">
        <f>假设!$G$121</f>
        <v>0.05</v>
      </c>
      <c r="E30" s="1891">
        <f>15.28%-7%</f>
        <v>8.2799999999999985E-2</v>
      </c>
      <c r="F30" s="993">
        <f>IF(多维联动分析!$B$4="YES",多维联动分析!$D$39,固定资产结构及折旧参数!E30)</f>
        <v>8.2799999999999985E-2</v>
      </c>
      <c r="G30" s="810">
        <v>9.0337435241000001</v>
      </c>
      <c r="H30" s="1768">
        <v>6.7561504698902082E-3</v>
      </c>
      <c r="I30" s="809">
        <v>3.488959167</v>
      </c>
      <c r="J30" s="809">
        <v>5.5283897260000003</v>
      </c>
      <c r="K30" s="964">
        <f t="shared" si="0"/>
        <v>1.5681727387551501</v>
      </c>
      <c r="L30" s="2059">
        <f t="shared" ca="1" si="1"/>
        <v>5.7764593113921352</v>
      </c>
      <c r="M30" s="626"/>
      <c r="N30" s="960"/>
    </row>
    <row r="31" spans="2:18">
      <c r="B31" s="973" t="s">
        <v>1846</v>
      </c>
      <c r="C31" s="959">
        <v>7.2741194486983156</v>
      </c>
      <c r="D31" s="970">
        <f>假设!$G$121</f>
        <v>0.05</v>
      </c>
      <c r="E31" s="1767">
        <f>12.41%-5%</f>
        <v>7.4099999999999999E-2</v>
      </c>
      <c r="F31" s="993">
        <f>IF(多维联动分析!$B$4="YES",多维联动分析!$D$39,固定资产结构及折旧参数!E31)</f>
        <v>7.4099999999999999E-2</v>
      </c>
      <c r="G31" s="810">
        <v>3.8176108917999998</v>
      </c>
      <c r="H31" s="1768">
        <v>9.0800962752596564E-4</v>
      </c>
      <c r="I31" s="809">
        <v>1.0505360369000001</v>
      </c>
      <c r="J31" s="809">
        <v>2.8138416849000003</v>
      </c>
      <c r="K31" s="964">
        <f t="shared" si="0"/>
        <v>0.21075847122697031</v>
      </c>
      <c r="L31" s="2059">
        <f t="shared" ca="1" si="1"/>
        <v>2.7761818324432337</v>
      </c>
      <c r="M31" s="626"/>
      <c r="N31" s="960"/>
    </row>
    <row r="32" spans="2:18">
      <c r="B32" s="973" t="s">
        <v>1847</v>
      </c>
      <c r="C32" s="959">
        <v>19.791666666666664</v>
      </c>
      <c r="D32" s="970">
        <f>假设!$G$121</f>
        <v>0.05</v>
      </c>
      <c r="E32" s="1767">
        <v>4.7899999999999998E-2</v>
      </c>
      <c r="F32" s="993">
        <f>IF(多维联动分析!$B$4="YES",多维联动分析!$D$39,固定资产结构及折旧参数!E32)</f>
        <v>4.7899999999999998E-2</v>
      </c>
      <c r="G32" s="810">
        <v>164.92055121909999</v>
      </c>
      <c r="H32" s="1768">
        <v>9.664411713773674E-2</v>
      </c>
      <c r="I32" s="809">
        <v>7.6184246559000002</v>
      </c>
      <c r="J32" s="809">
        <v>68.878552681300008</v>
      </c>
      <c r="K32" s="964">
        <f t="shared" si="0"/>
        <v>22.432103981680715</v>
      </c>
      <c r="L32" s="2059">
        <f t="shared" ca="1" si="1"/>
        <v>166.42372327346712</v>
      </c>
      <c r="M32" s="626"/>
      <c r="N32" s="960"/>
    </row>
    <row r="33" spans="2:18">
      <c r="B33" s="973" t="s">
        <v>1848</v>
      </c>
      <c r="C33" s="959">
        <v>11.964735516372796</v>
      </c>
      <c r="D33" s="970">
        <f>假设!$G$121</f>
        <v>0.05</v>
      </c>
      <c r="E33" s="1767">
        <v>7.9500000000000001E-2</v>
      </c>
      <c r="F33" s="993">
        <f>IF(多维联动分析!$B$4="YES",多维联动分析!$D$39,固定资产结构及折旧参数!E33)</f>
        <v>7.9500000000000001E-2</v>
      </c>
      <c r="G33" s="810">
        <f>323.2391817866+0.8631047505</f>
        <v>324.10228653709999</v>
      </c>
      <c r="H33" s="1768">
        <v>0.13028928261921635</v>
      </c>
      <c r="I33" s="809">
        <v>73.068197730500003</v>
      </c>
      <c r="J33" s="2065">
        <f>191.1359307195-0.00620931010007553</f>
        <v>191.12972140939993</v>
      </c>
      <c r="K33" s="964">
        <f t="shared" si="0"/>
        <v>30.241496554285678</v>
      </c>
      <c r="L33" s="2059">
        <f t="shared" ca="1" si="1"/>
        <v>257.33880821652929</v>
      </c>
      <c r="M33" s="626"/>
      <c r="N33" s="960"/>
    </row>
    <row r="34" spans="2:18">
      <c r="B34" s="973" t="s">
        <v>1849</v>
      </c>
      <c r="C34" s="959"/>
      <c r="D34" s="970">
        <f>假设!$G$121</f>
        <v>0.05</v>
      </c>
      <c r="E34" s="963"/>
      <c r="F34" s="993">
        <f>IF(多维联动分析!$B$4="YES",多维联动分析!$D$39,固定资产结构及折旧参数!E34)</f>
        <v>0</v>
      </c>
      <c r="G34" s="810"/>
      <c r="H34" s="1768">
        <v>0</v>
      </c>
      <c r="I34" s="809">
        <v>0</v>
      </c>
      <c r="J34" s="809">
        <v>0</v>
      </c>
      <c r="K34" s="964">
        <f t="shared" si="0"/>
        <v>0</v>
      </c>
      <c r="L34" s="2059">
        <f t="shared" ca="1" si="1"/>
        <v>0</v>
      </c>
      <c r="M34" s="626"/>
      <c r="N34" s="960"/>
    </row>
    <row r="35" spans="2:18">
      <c r="B35" s="975" t="s">
        <v>1874</v>
      </c>
      <c r="C35" s="959">
        <v>15.503794213706321</v>
      </c>
      <c r="D35" s="970">
        <f>假设!$G$121</f>
        <v>0.05</v>
      </c>
      <c r="E35" s="1957">
        <f ca="1">(E4*L4+E10*L10+E16*L16+SUMPRODUCT(E23:E34,L23:L34))/L35</f>
        <v>6.0979590666698502E-2</v>
      </c>
      <c r="F35" s="993">
        <f ca="1">(F4*L4+F10*L10+F16*L16+SUMPRODUCT(F23:F34,L23:L34))/SUM(L35)</f>
        <v>6.0979590666698502E-2</v>
      </c>
      <c r="G35" s="707">
        <f>固定资产!F5</f>
        <v>2985.2999820478999</v>
      </c>
      <c r="H35" s="681">
        <f>SUM(H4,H10,H16,H23:H34)</f>
        <v>1</v>
      </c>
      <c r="I35" s="707">
        <f>固定资产!$F$15</f>
        <v>502.79307698819997</v>
      </c>
      <c r="J35" s="681">
        <f>固定资产!F14</f>
        <v>1607.5122100370002</v>
      </c>
      <c r="K35" s="681">
        <f>固定资产!F7</f>
        <v>232.11039270720002</v>
      </c>
      <c r="L35" s="2063">
        <f ca="1">SUM(L4,L10,L16,L23:L34)</f>
        <v>2539.4467333380371</v>
      </c>
      <c r="M35" s="626"/>
      <c r="N35" s="960"/>
    </row>
    <row r="36" spans="2:18">
      <c r="E36" s="1962"/>
      <c r="F36" s="679">
        <f ca="1">E35-F35</f>
        <v>0</v>
      </c>
      <c r="G36" s="1889">
        <f>SUM(G5:G9,G11:G15,G18:G19,G21:G34)</f>
        <v>2985.2999820479004</v>
      </c>
      <c r="I36" s="1889">
        <f>SUM(I5:I9,I11:I15,I18:I19,I21:I34)</f>
        <v>502.79307698820003</v>
      </c>
      <c r="J36" s="1889">
        <f>SUM(J5:J9,J11:J15,J18:J19,J21:J34)</f>
        <v>1607.5122100370002</v>
      </c>
      <c r="K36"/>
      <c r="L36" s="626"/>
    </row>
    <row r="37" spans="2:18" ht="15" thickBot="1">
      <c r="G37" s="1889">
        <f>G36-G35</f>
        <v>0</v>
      </c>
      <c r="I37" s="1889">
        <f>I36-I35</f>
        <v>0</v>
      </c>
      <c r="J37" s="1889">
        <f>J36-J35</f>
        <v>0</v>
      </c>
      <c r="K37" s="679"/>
    </row>
    <row r="38" spans="2:18" ht="28.8">
      <c r="B38" s="961" t="s">
        <v>2228</v>
      </c>
      <c r="C38" s="962" t="s">
        <v>1893</v>
      </c>
      <c r="D38" s="962" t="s">
        <v>1878</v>
      </c>
      <c r="E38" s="962" t="s">
        <v>1879</v>
      </c>
      <c r="F38" s="962" t="s">
        <v>1880</v>
      </c>
      <c r="G38" s="962" t="s">
        <v>1881</v>
      </c>
      <c r="H38" s="962" t="s">
        <v>1882</v>
      </c>
      <c r="I38" s="962" t="s">
        <v>1884</v>
      </c>
      <c r="J38" s="962" t="s">
        <v>1875</v>
      </c>
      <c r="K38" s="962" t="s">
        <v>1885</v>
      </c>
      <c r="L38" s="962" t="s">
        <v>1886</v>
      </c>
      <c r="M38" s="962" t="s">
        <v>1888</v>
      </c>
      <c r="N38" s="962" t="s">
        <v>1889</v>
      </c>
      <c r="O38" s="962" t="s">
        <v>1890</v>
      </c>
      <c r="P38" s="962" t="s">
        <v>1892</v>
      </c>
    </row>
    <row r="39" spans="2:18" outlineLevel="1">
      <c r="B39" s="954" t="s">
        <v>1835</v>
      </c>
      <c r="C39" s="681">
        <f t="shared" ref="C39:C67" si="2">C$70*$H4</f>
        <v>16.303629295255011</v>
      </c>
      <c r="D39" s="681">
        <f>C39*假设!$C$125</f>
        <v>3.2607258590510013</v>
      </c>
      <c r="E39" s="681">
        <f>假设!$C$126*K4</f>
        <v>20.170112703539537</v>
      </c>
      <c r="F39" s="681">
        <f t="shared" ref="F39:G69" si="3">F$70*$H4</f>
        <v>0</v>
      </c>
      <c r="G39" s="681">
        <f t="shared" ca="1" si="3"/>
        <v>2.8556550631618906E-4</v>
      </c>
      <c r="H39" s="681">
        <f ca="1">SUM(D39:G39)</f>
        <v>23.431124128096855</v>
      </c>
      <c r="I39" s="801">
        <f>G4*假设!$G$116</f>
        <v>2.5341092138920001</v>
      </c>
      <c r="J39" s="707">
        <f t="shared" ref="J39:J69" ca="1" si="4">G4+H39-I39</f>
        <v>527.71885769260484</v>
      </c>
      <c r="K39" s="707">
        <f t="shared" ref="K39:K69" ca="1" si="5">IFERROR(I4*(J39/G4)*1.1,0)</f>
        <v>11.523434902748047</v>
      </c>
      <c r="L39" s="1960">
        <f ca="1">SUM(L40:L44)</f>
        <v>21.831275951137322</v>
      </c>
      <c r="M39" s="707">
        <f t="shared" ref="M39:M69" ca="1" si="6">L39+J4-I39*(1-D4)</f>
        <v>186.74046201813991</v>
      </c>
      <c r="N39" s="681">
        <f t="shared" ref="N39:N69" si="7">H4*$N$70</f>
        <v>1.4262030944465551E-2</v>
      </c>
      <c r="O39" s="707">
        <f ca="1">J39-M39-N39</f>
        <v>340.96413364352048</v>
      </c>
      <c r="P39" s="707">
        <f t="shared" ref="P39:P69" ca="1" si="8">K4+C39-D39-E39-G39</f>
        <v>18.08514604658258</v>
      </c>
      <c r="Q39" s="679"/>
      <c r="R39" s="1889"/>
    </row>
    <row r="40" spans="2:18" outlineLevel="1">
      <c r="B40" s="955" t="s">
        <v>1865</v>
      </c>
      <c r="C40" s="681">
        <f t="shared" si="2"/>
        <v>0</v>
      </c>
      <c r="D40" s="681">
        <f>C40*假设!$C$125</f>
        <v>0</v>
      </c>
      <c r="E40" s="681">
        <f>假设!$C$126*K5</f>
        <v>0</v>
      </c>
      <c r="F40" s="681">
        <f t="shared" si="3"/>
        <v>0</v>
      </c>
      <c r="G40" s="681">
        <f t="shared" ca="1" si="3"/>
        <v>0</v>
      </c>
      <c r="H40" s="681">
        <f t="shared" ref="H40:H69" ca="1" si="9">SUM(D40:G40)</f>
        <v>0</v>
      </c>
      <c r="I40" s="801">
        <f>G5*假设!$G$116</f>
        <v>0.56026884808800004</v>
      </c>
      <c r="J40" s="707">
        <f t="shared" ca="1" si="4"/>
        <v>111.493500769512</v>
      </c>
      <c r="K40" s="707">
        <f t="shared" ca="1" si="5"/>
        <v>0</v>
      </c>
      <c r="L40" s="707">
        <f ca="1">(AVERAGE(J40,G5)-AVERAGE(K40,I5))*F5</f>
        <v>4.8286210403616199</v>
      </c>
      <c r="M40" s="707">
        <f t="shared" ca="1" si="6"/>
        <v>10.081750478878019</v>
      </c>
      <c r="N40" s="681">
        <f t="shared" si="7"/>
        <v>0</v>
      </c>
      <c r="O40" s="707">
        <f t="shared" ref="O40:O69" ca="1" si="10">J40-M40-N40</f>
        <v>101.41175029063398</v>
      </c>
      <c r="P40" s="707">
        <f t="shared" ca="1" si="8"/>
        <v>0</v>
      </c>
      <c r="Q40" s="679"/>
      <c r="R40" s="1889"/>
    </row>
    <row r="41" spans="2:18" outlineLevel="1">
      <c r="B41" s="955" t="s">
        <v>1866</v>
      </c>
      <c r="C41" s="681">
        <f t="shared" si="2"/>
        <v>3.8707645482866444</v>
      </c>
      <c r="D41" s="681">
        <f>C41*假设!$C$125</f>
        <v>0.77415290965732875</v>
      </c>
      <c r="E41" s="681">
        <f>假设!$C$126*K6</f>
        <v>4.7887348132068608</v>
      </c>
      <c r="F41" s="681">
        <f t="shared" si="3"/>
        <v>0</v>
      </c>
      <c r="G41" s="681">
        <f t="shared" ca="1" si="3"/>
        <v>6.7798207260755871E-5</v>
      </c>
      <c r="H41" s="681">
        <f ca="1">SUM(D41:G41)</f>
        <v>5.5629555210714505</v>
      </c>
      <c r="I41" s="801">
        <f>G6*假设!$G$116</f>
        <v>0.28196590051800002</v>
      </c>
      <c r="J41" s="707">
        <f t="shared" ca="1" si="4"/>
        <v>61.674169724153451</v>
      </c>
      <c r="K41" s="707">
        <f t="shared" ca="1" si="5"/>
        <v>8.4861279648425203</v>
      </c>
      <c r="L41" s="707">
        <f ca="1">(AVERAGE(J41,G6)-AVERAGE(K41,I6))*F6</f>
        <v>2.1838281961469326</v>
      </c>
      <c r="M41" s="707">
        <f t="shared" ca="1" si="6"/>
        <v>28.314395151254832</v>
      </c>
      <c r="N41" s="681">
        <f t="shared" si="7"/>
        <v>3.3860536673555948E-3</v>
      </c>
      <c r="O41" s="707">
        <f t="shared" ca="1" si="10"/>
        <v>33.35638851923126</v>
      </c>
      <c r="P41" s="707">
        <f t="shared" ca="1" si="8"/>
        <v>4.2937275437237705</v>
      </c>
      <c r="Q41" s="679"/>
      <c r="R41" s="1889"/>
    </row>
    <row r="42" spans="2:18" outlineLevel="1">
      <c r="B42" s="955" t="s">
        <v>1867</v>
      </c>
      <c r="C42" s="681">
        <f t="shared" si="2"/>
        <v>3.8180366262153869</v>
      </c>
      <c r="D42" s="681">
        <f>C42*假设!$C$125</f>
        <v>0.76360732524307717</v>
      </c>
      <c r="E42" s="681">
        <f>假设!$C$126*K7</f>
        <v>4.7235022130575048</v>
      </c>
      <c r="F42" s="681">
        <f t="shared" si="3"/>
        <v>0</v>
      </c>
      <c r="G42" s="1954">
        <f t="shared" ca="1" si="3"/>
        <v>6.6874653646367593E-5</v>
      </c>
      <c r="H42" s="681">
        <f t="shared" ca="1" si="9"/>
        <v>5.4871764129542289</v>
      </c>
      <c r="I42" s="801">
        <f>G7*假设!$G$116</f>
        <v>0.59466174164999996</v>
      </c>
      <c r="J42" s="707">
        <f t="shared" ca="1" si="4"/>
        <v>123.82486300130422</v>
      </c>
      <c r="K42" s="707">
        <f t="shared" ca="1" si="5"/>
        <v>0.27913723499005949</v>
      </c>
      <c r="L42" s="707">
        <f ca="1">(AVERAGE(J42,G7)-AVERAGE(K42,I7))*F7</f>
        <v>5.3897140532923649</v>
      </c>
      <c r="M42" s="707">
        <f t="shared" ca="1" si="6"/>
        <v>56.262886870424865</v>
      </c>
      <c r="N42" s="681">
        <f t="shared" si="7"/>
        <v>3.3399285229108234E-3</v>
      </c>
      <c r="O42" s="707">
        <f t="shared" ca="1" si="10"/>
        <v>67.558636202356453</v>
      </c>
      <c r="P42" s="707">
        <f t="shared" ca="1" si="8"/>
        <v>4.2352379795830384</v>
      </c>
      <c r="Q42" s="679"/>
      <c r="R42" s="1889"/>
    </row>
    <row r="43" spans="2:18" outlineLevel="1">
      <c r="B43" s="955" t="s">
        <v>1868</v>
      </c>
      <c r="C43" s="681">
        <f t="shared" si="2"/>
        <v>4.6524762403829492</v>
      </c>
      <c r="D43" s="681">
        <f>C43*假设!$C$125</f>
        <v>0.93049524807658968</v>
      </c>
      <c r="E43" s="681">
        <f>假设!$C$126*K8</f>
        <v>5.7558331595760315</v>
      </c>
      <c r="F43" s="681">
        <f t="shared" si="3"/>
        <v>0</v>
      </c>
      <c r="G43" s="681">
        <f t="shared" ca="1" si="3"/>
        <v>8.1490244236334954E-5</v>
      </c>
      <c r="H43" s="681">
        <f t="shared" ca="1" si="9"/>
        <v>6.6864098978968576</v>
      </c>
      <c r="I43" s="801">
        <f>G8*假设!$G$116</f>
        <v>0.31888932978099999</v>
      </c>
      <c r="J43" s="707">
        <f t="shared" ca="1" si="4"/>
        <v>70.145386524315853</v>
      </c>
      <c r="K43" s="707">
        <f t="shared" ca="1" si="5"/>
        <v>0.41656483137717359</v>
      </c>
      <c r="L43" s="707">
        <f ca="1">(AVERAGE(J43,G8)-AVERAGE(K43,I8))*F8</f>
        <v>2.8030678634197388</v>
      </c>
      <c r="M43" s="707">
        <f t="shared" ca="1" si="6"/>
        <v>21.463657204927792</v>
      </c>
      <c r="N43" s="681">
        <f t="shared" si="7"/>
        <v>4.0698766456891836E-3</v>
      </c>
      <c r="O43" s="707">
        <f t="shared" ca="1" si="10"/>
        <v>48.677659442742375</v>
      </c>
      <c r="P43" s="707">
        <f t="shared" ca="1" si="8"/>
        <v>5.1608577919561309</v>
      </c>
      <c r="Q43" s="679"/>
      <c r="R43" s="1889"/>
    </row>
    <row r="44" spans="2:18" outlineLevel="1">
      <c r="B44" s="956" t="s">
        <v>1869</v>
      </c>
      <c r="C44" s="681">
        <f t="shared" si="2"/>
        <v>3.9623518803700315</v>
      </c>
      <c r="D44" s="681">
        <f>C44*假设!$C$125</f>
        <v>0.79247037607400617</v>
      </c>
      <c r="E44" s="681">
        <f>假设!$C$126*K9</f>
        <v>4.9020425176991402</v>
      </c>
      <c r="F44" s="681">
        <f t="shared" si="3"/>
        <v>0</v>
      </c>
      <c r="G44" s="681">
        <f t="shared" ca="1" si="3"/>
        <v>6.9402401172730625E-5</v>
      </c>
      <c r="H44" s="681">
        <f t="shared" ca="1" si="9"/>
        <v>5.6945822961743193</v>
      </c>
      <c r="I44" s="801">
        <f>G9*假设!$G$116</f>
        <v>0.77832339385500005</v>
      </c>
      <c r="J44" s="707">
        <f t="shared" ca="1" si="4"/>
        <v>160.58093767331934</v>
      </c>
      <c r="K44" s="707">
        <f t="shared" ca="1" si="5"/>
        <v>2.7448118210706647</v>
      </c>
      <c r="L44" s="707">
        <f ca="1">(AVERAGE(J44,G9)-AVERAGE(K44,I9))*F9</f>
        <v>6.6260447979166672</v>
      </c>
      <c r="M44" s="707">
        <f t="shared" ca="1" si="6"/>
        <v>70.617772312654424</v>
      </c>
      <c r="N44" s="681">
        <f t="shared" si="7"/>
        <v>3.4661721085099497E-3</v>
      </c>
      <c r="O44" s="707">
        <f t="shared" ca="1" si="10"/>
        <v>89.959699188556414</v>
      </c>
      <c r="P44" s="707">
        <f t="shared" ca="1" si="8"/>
        <v>4.3953227313196388</v>
      </c>
      <c r="Q44" s="679"/>
      <c r="R44" s="1889"/>
    </row>
    <row r="45" spans="2:18" outlineLevel="1">
      <c r="B45" s="954" t="s">
        <v>1836</v>
      </c>
      <c r="C45" s="681">
        <f t="shared" si="2"/>
        <v>13.079613742863739</v>
      </c>
      <c r="D45" s="681">
        <f>C45*假设!$C$125</f>
        <v>2.6159227485727472</v>
      </c>
      <c r="E45" s="681">
        <f>假设!$C$126*K10</f>
        <v>16.181506493717155</v>
      </c>
      <c r="F45" s="681">
        <f t="shared" si="3"/>
        <v>0</v>
      </c>
      <c r="G45" s="681">
        <f t="shared" ca="1" si="3"/>
        <v>2.2909540282470251E-4</v>
      </c>
      <c r="H45" s="681">
        <f t="shared" ca="1" si="9"/>
        <v>18.797658337692727</v>
      </c>
      <c r="I45" s="801">
        <f>G10*假设!$G$116</f>
        <v>1.577021425234</v>
      </c>
      <c r="J45" s="707">
        <f t="shared" ca="1" si="4"/>
        <v>332.6249219592587</v>
      </c>
      <c r="K45" s="707">
        <f t="shared" ca="1" si="5"/>
        <v>67.58390060627238</v>
      </c>
      <c r="L45" s="1960">
        <f ca="1">SUM(L46:L50)</f>
        <v>15.597967497287998</v>
      </c>
      <c r="M45" s="707">
        <f t="shared" ca="1" si="6"/>
        <v>183.63936692771571</v>
      </c>
      <c r="N45" s="681">
        <f t="shared" si="7"/>
        <v>1.1441738067282384E-2</v>
      </c>
      <c r="O45" s="707">
        <f t="shared" ca="1" si="10"/>
        <v>148.97411329347571</v>
      </c>
      <c r="P45" s="707">
        <f t="shared" ca="1" si="8"/>
        <v>14.508838522317459</v>
      </c>
      <c r="Q45" s="679"/>
      <c r="R45" s="1889"/>
    </row>
    <row r="46" spans="2:18" outlineLevel="1">
      <c r="B46" s="955" t="s">
        <v>1865</v>
      </c>
      <c r="C46" s="681">
        <f t="shared" si="2"/>
        <v>0</v>
      </c>
      <c r="D46" s="681">
        <f>C46*假设!$C$125</f>
        <v>0</v>
      </c>
      <c r="E46" s="681">
        <f>假设!$C$126*K11</f>
        <v>0</v>
      </c>
      <c r="F46" s="681">
        <f t="shared" si="3"/>
        <v>0</v>
      </c>
      <c r="G46" s="681">
        <f t="shared" ca="1" si="3"/>
        <v>0</v>
      </c>
      <c r="H46" s="681">
        <f t="shared" ca="1" si="9"/>
        <v>0</v>
      </c>
      <c r="I46" s="801">
        <f>G11*假设!$G$116</f>
        <v>0.17853627863699997</v>
      </c>
      <c r="J46" s="707">
        <f t="shared" ca="1" si="4"/>
        <v>35.528719448762999</v>
      </c>
      <c r="K46" s="707">
        <f t="shared" ca="1" si="5"/>
        <v>8.9748412253500012E-2</v>
      </c>
      <c r="L46" s="707">
        <f ca="1">(AVERAGE(J46,G11)-AVERAGE(K46,I11))*F11</f>
        <v>2.156799298582603</v>
      </c>
      <c r="M46" s="707">
        <f t="shared" ca="1" si="6"/>
        <v>6.4482475429774535</v>
      </c>
      <c r="N46" s="681">
        <f t="shared" si="7"/>
        <v>0</v>
      </c>
      <c r="O46" s="707">
        <f t="shared" ca="1" si="10"/>
        <v>29.080471905785544</v>
      </c>
      <c r="P46" s="707">
        <f t="shared" ca="1" si="8"/>
        <v>0</v>
      </c>
      <c r="Q46" s="679"/>
      <c r="R46" s="1889"/>
    </row>
    <row r="47" spans="2:18" outlineLevel="1">
      <c r="B47" s="955" t="s">
        <v>1866</v>
      </c>
      <c r="C47" s="681">
        <f t="shared" si="2"/>
        <v>3.9491655187228816E-2</v>
      </c>
      <c r="D47" s="681">
        <f>C47*假设!$C$125</f>
        <v>7.8983310374457615E-3</v>
      </c>
      <c r="E47" s="681">
        <f>假设!$C$126*K12</f>
        <v>4.8857289475267587E-2</v>
      </c>
      <c r="F47" s="681">
        <f t="shared" si="3"/>
        <v>0</v>
      </c>
      <c r="G47" s="681">
        <f t="shared" ca="1" si="3"/>
        <v>6.917143603165417E-7</v>
      </c>
      <c r="H47" s="681">
        <f t="shared" ca="1" si="9"/>
        <v>5.6756312227073669E-2</v>
      </c>
      <c r="I47" s="801">
        <f>G12*假设!$G$116</f>
        <v>0.15580377007100002</v>
      </c>
      <c r="J47" s="707">
        <f t="shared" ca="1" si="4"/>
        <v>31.061706556356075</v>
      </c>
      <c r="K47" s="707">
        <f t="shared" ca="1" si="5"/>
        <v>5.7940295417789027</v>
      </c>
      <c r="L47" s="707">
        <f ca="1">(AVERAGE(J47,G12)-AVERAGE(K47,I12))*F12</f>
        <v>1.5368872799292443</v>
      </c>
      <c r="M47" s="707">
        <f t="shared" ca="1" si="6"/>
        <v>17.277047965361792</v>
      </c>
      <c r="N47" s="681">
        <f t="shared" si="7"/>
        <v>3.4546369898899933E-5</v>
      </c>
      <c r="O47" s="707">
        <f t="shared" ca="1" si="10"/>
        <v>13.784624044624385</v>
      </c>
      <c r="P47" s="707">
        <f t="shared" ca="1" si="8"/>
        <v>4.3806954804239628E-2</v>
      </c>
      <c r="Q47" s="679"/>
      <c r="R47" s="1889"/>
    </row>
    <row r="48" spans="2:18" outlineLevel="1">
      <c r="B48" s="956" t="s">
        <v>1867</v>
      </c>
      <c r="C48" s="681">
        <f t="shared" si="2"/>
        <v>5.6286255036946953</v>
      </c>
      <c r="D48" s="681">
        <f>C48*假设!$C$125</f>
        <v>1.1257251007389388</v>
      </c>
      <c r="E48" s="681">
        <f>假设!$C$126*K13</f>
        <v>6.963480874076339</v>
      </c>
      <c r="F48" s="681">
        <f t="shared" si="3"/>
        <v>0</v>
      </c>
      <c r="G48" s="681">
        <f t="shared" ca="1" si="3"/>
        <v>9.8587943991991329E-5</v>
      </c>
      <c r="H48" s="681">
        <f t="shared" ca="1" si="9"/>
        <v>8.0893045627592688</v>
      </c>
      <c r="I48" s="801">
        <f>G13*假设!$G$116</f>
        <v>0.57489985217950013</v>
      </c>
      <c r="J48" s="707">
        <f t="shared" ca="1" si="4"/>
        <v>122.49437514647978</v>
      </c>
      <c r="K48" s="707">
        <f t="shared" ca="1" si="5"/>
        <v>25.643754581926615</v>
      </c>
      <c r="L48" s="707">
        <f ca="1">(AVERAGE(J48,G13)-AVERAGE(K48,I13))*F13</f>
        <v>5.5559845569107056</v>
      </c>
      <c r="M48" s="707">
        <f t="shared" ca="1" si="6"/>
        <v>73.115511508040171</v>
      </c>
      <c r="N48" s="681">
        <f t="shared" si="7"/>
        <v>4.9237890321675226E-3</v>
      </c>
      <c r="O48" s="707">
        <f t="shared" ca="1" si="10"/>
        <v>49.373939849407442</v>
      </c>
      <c r="P48" s="707">
        <f t="shared" ca="1" si="8"/>
        <v>6.2436720335308511</v>
      </c>
      <c r="Q48" s="679"/>
      <c r="R48" s="1889"/>
    </row>
    <row r="49" spans="2:18" outlineLevel="1">
      <c r="B49" s="956" t="s">
        <v>1868</v>
      </c>
      <c r="C49" s="681">
        <f t="shared" si="2"/>
        <v>4.8338701913679447</v>
      </c>
      <c r="D49" s="681">
        <f>C49*假设!$C$125</f>
        <v>0.96677403827358876</v>
      </c>
      <c r="E49" s="681">
        <f>假设!$C$126*K14</f>
        <v>5.9802455507589265</v>
      </c>
      <c r="F49" s="681">
        <f t="shared" si="3"/>
        <v>0</v>
      </c>
      <c r="G49" s="681">
        <f t="shared" ca="1" si="3"/>
        <v>8.4667442056381078E-5</v>
      </c>
      <c r="H49" s="681">
        <f t="shared" ca="1" si="9"/>
        <v>6.9471042564745717</v>
      </c>
      <c r="I49" s="801">
        <f>G14*假设!$G$116</f>
        <v>0.22824876004950001</v>
      </c>
      <c r="J49" s="707">
        <f t="shared" ca="1" si="4"/>
        <v>52.36860750632507</v>
      </c>
      <c r="K49" s="707">
        <f t="shared" ca="1" si="5"/>
        <v>8.6922899763689347</v>
      </c>
      <c r="L49" s="707">
        <f ca="1">(AVERAGE(J49,G14)-AVERAGE(K49,I14))*F14</f>
        <v>2.5061097060437869</v>
      </c>
      <c r="M49" s="707">
        <f t="shared" ca="1" si="6"/>
        <v>24.636751330996759</v>
      </c>
      <c r="N49" s="681">
        <f t="shared" si="7"/>
        <v>4.2285558020436409E-3</v>
      </c>
      <c r="O49" s="707">
        <f t="shared" ca="1" si="10"/>
        <v>27.727627619526267</v>
      </c>
      <c r="P49" s="707">
        <f t="shared" ca="1" si="8"/>
        <v>5.3620728733420329</v>
      </c>
      <c r="Q49" s="679"/>
      <c r="R49" s="1889"/>
    </row>
    <row r="50" spans="2:18" outlineLevel="1">
      <c r="B50" s="956" t="s">
        <v>1869</v>
      </c>
      <c r="C50" s="681">
        <f t="shared" si="2"/>
        <v>2.5776263926138689</v>
      </c>
      <c r="D50" s="681">
        <f>C50*假设!$C$125</f>
        <v>0.51552527852277363</v>
      </c>
      <c r="E50" s="681">
        <f>假设!$C$126*K15</f>
        <v>3.1889227794066191</v>
      </c>
      <c r="F50" s="681">
        <f t="shared" si="3"/>
        <v>0</v>
      </c>
      <c r="G50" s="681">
        <f t="shared" ca="1" si="3"/>
        <v>4.5148302416013566E-5</v>
      </c>
      <c r="H50" s="681">
        <f t="shared" ca="1" si="9"/>
        <v>3.7044932062318088</v>
      </c>
      <c r="I50" s="801">
        <f>G15*假设!$G$116</f>
        <v>0.439532764297</v>
      </c>
      <c r="J50" s="707">
        <f t="shared" ca="1" si="4"/>
        <v>91.171513301334798</v>
      </c>
      <c r="K50" s="707">
        <f t="shared" ca="1" si="5"/>
        <v>27.520056083733706</v>
      </c>
      <c r="L50" s="707">
        <f ca="1">(AVERAGE(J50,G15)-AVERAGE(K50,I15))*F15</f>
        <v>3.8421866558216582</v>
      </c>
      <c r="M50" s="707">
        <f t="shared" ca="1" si="6"/>
        <v>62.16180858033951</v>
      </c>
      <c r="N50" s="681">
        <f t="shared" si="7"/>
        <v>2.2548468631723205E-3</v>
      </c>
      <c r="O50" s="707">
        <f t="shared" ca="1" si="10"/>
        <v>29.007449874132114</v>
      </c>
      <c r="P50" s="707">
        <f t="shared" ca="1" si="8"/>
        <v>2.8592866606403331</v>
      </c>
      <c r="Q50" s="679"/>
      <c r="R50" s="1889"/>
    </row>
    <row r="51" spans="2:18" outlineLevel="1">
      <c r="B51" s="957" t="s">
        <v>1837</v>
      </c>
      <c r="C51" s="681">
        <f t="shared" si="2"/>
        <v>64.114010557725365</v>
      </c>
      <c r="D51" s="681">
        <f>C51*假设!$C$125</f>
        <v>12.822802111545069</v>
      </c>
      <c r="E51" s="681">
        <f>假设!$C$126*K16</f>
        <v>79.318953798931872</v>
      </c>
      <c r="F51" s="681">
        <f t="shared" si="3"/>
        <v>0</v>
      </c>
      <c r="G51" s="681">
        <f t="shared" ca="1" si="3"/>
        <v>1.1229861496057747E-3</v>
      </c>
      <c r="H51" s="681">
        <f t="shared" ca="1" si="9"/>
        <v>92.142878896626556</v>
      </c>
      <c r="I51" s="801">
        <f>G16*假设!$G$116</f>
        <v>6.7369322738674997</v>
      </c>
      <c r="J51" s="707">
        <f t="shared" ca="1" si="4"/>
        <v>1432.792401396259</v>
      </c>
      <c r="K51" s="707">
        <f t="shared" ca="1" si="5"/>
        <v>284.5083566524894</v>
      </c>
      <c r="L51" s="1960">
        <f ca="1">SUM(L52,L55)</f>
        <v>70.67399548055046</v>
      </c>
      <c r="M51" s="707">
        <f t="shared" ca="1" si="6"/>
        <v>868.19280280367639</v>
      </c>
      <c r="N51" s="681">
        <f t="shared" si="7"/>
        <v>5.6085426501582381E-2</v>
      </c>
      <c r="O51" s="707">
        <f t="shared" ca="1" si="10"/>
        <v>564.54351316608108</v>
      </c>
      <c r="P51" s="707">
        <f t="shared" ca="1" si="8"/>
        <v>71.119823909763653</v>
      </c>
      <c r="Q51" s="679"/>
      <c r="R51" s="1889"/>
    </row>
    <row r="52" spans="2:18" outlineLevel="1">
      <c r="B52" s="956" t="s">
        <v>1870</v>
      </c>
      <c r="C52" s="681">
        <f t="shared" si="2"/>
        <v>57.984593529052958</v>
      </c>
      <c r="D52" s="681">
        <f>C52*假设!$C$125</f>
        <v>11.596918705810589</v>
      </c>
      <c r="E52" s="681">
        <f>假设!$C$126*K17</f>
        <v>71.735916302409649</v>
      </c>
      <c r="F52" s="681">
        <f t="shared" si="3"/>
        <v>0</v>
      </c>
      <c r="G52" s="681">
        <f t="shared" ca="1" si="3"/>
        <v>1.015626613546811E-3</v>
      </c>
      <c r="H52" s="681">
        <f t="shared" ca="1" si="9"/>
        <v>83.333850634833794</v>
      </c>
      <c r="I52" s="801">
        <f>G17*假设!$G$116</f>
        <v>4.3454896695849996</v>
      </c>
      <c r="J52" s="707">
        <f t="shared" ca="1" si="4"/>
        <v>948.08629488224869</v>
      </c>
      <c r="K52" s="707">
        <f t="shared" ca="1" si="5"/>
        <v>153.75307920908151</v>
      </c>
      <c r="L52" s="1959">
        <f ca="1">SUM(L53:L54)</f>
        <v>47.787370509130696</v>
      </c>
      <c r="M52" s="707">
        <f t="shared" ca="1" si="6"/>
        <v>562.81969967152497</v>
      </c>
      <c r="N52" s="681">
        <f t="shared" si="7"/>
        <v>5.0723556837390368E-2</v>
      </c>
      <c r="O52" s="707">
        <f t="shared" ca="1" si="10"/>
        <v>385.21587165388632</v>
      </c>
      <c r="P52" s="707">
        <f t="shared" ca="1" si="8"/>
        <v>64.320638272231207</v>
      </c>
      <c r="Q52" s="679"/>
      <c r="R52" s="1889"/>
    </row>
    <row r="53" spans="2:18" outlineLevel="1">
      <c r="B53" s="956" t="s">
        <v>1871</v>
      </c>
      <c r="C53" s="681">
        <f t="shared" si="2"/>
        <v>44.631407252343642</v>
      </c>
      <c r="D53" s="681">
        <f>C53*假设!$C$125</f>
        <v>8.9262814504687267</v>
      </c>
      <c r="E53" s="681">
        <f>假设!$C$126*K18</f>
        <v>55.215958244299763</v>
      </c>
      <c r="F53" s="681">
        <f t="shared" si="3"/>
        <v>0</v>
      </c>
      <c r="G53" s="681">
        <f t="shared" ca="1" si="3"/>
        <v>7.8173946296294212E-4</v>
      </c>
      <c r="H53" s="681">
        <f t="shared" ca="1" si="9"/>
        <v>64.143021434231457</v>
      </c>
      <c r="I53" s="801">
        <f>G18*假设!$G$116</f>
        <v>2.5941335406534995</v>
      </c>
      <c r="J53" s="707">
        <f t="shared" ca="1" si="4"/>
        <v>580.37559602427791</v>
      </c>
      <c r="K53" s="707">
        <f t="shared" ca="1" si="5"/>
        <v>69.458168580704907</v>
      </c>
      <c r="L53" s="707">
        <f ca="1">(AVERAGE(J53,G18)-AVERAGE(K53,I18))*F18</f>
        <v>30.318193791474886</v>
      </c>
      <c r="M53" s="707">
        <f t="shared" ca="1" si="6"/>
        <v>341.21174529975406</v>
      </c>
      <c r="N53" s="681">
        <f t="shared" si="7"/>
        <v>3.9042503960343693E-2</v>
      </c>
      <c r="O53" s="707">
        <f t="shared" ca="1" si="10"/>
        <v>239.12480822056352</v>
      </c>
      <c r="P53" s="707">
        <f t="shared" ca="1" si="8"/>
        <v>49.508333623486898</v>
      </c>
      <c r="Q53" s="679"/>
      <c r="R53" s="1889"/>
    </row>
    <row r="54" spans="2:18" outlineLevel="1">
      <c r="B54" s="956" t="s">
        <v>1872</v>
      </c>
      <c r="C54" s="681">
        <f t="shared" si="2"/>
        <v>13.353186276709321</v>
      </c>
      <c r="D54" s="681">
        <f>C54*假设!$C$125</f>
        <v>2.6706372553418638</v>
      </c>
      <c r="E54" s="681">
        <f>假设!$C$126*K19</f>
        <v>16.519958058109889</v>
      </c>
      <c r="F54" s="681">
        <f t="shared" si="3"/>
        <v>0</v>
      </c>
      <c r="G54" s="681">
        <f t="shared" ca="1" si="3"/>
        <v>2.3388715058386887E-4</v>
      </c>
      <c r="H54" s="681">
        <f t="shared" ca="1" si="9"/>
        <v>19.190829200602337</v>
      </c>
      <c r="I54" s="801">
        <f>G19*假设!$G$116</f>
        <v>1.7513561289314998</v>
      </c>
      <c r="J54" s="707">
        <f t="shared" ca="1" si="4"/>
        <v>367.71069885797084</v>
      </c>
      <c r="K54" s="707">
        <f t="shared" ca="1" si="5"/>
        <v>82.777137548170387</v>
      </c>
      <c r="L54" s="707">
        <f ca="1">(AVERAGE(J54,G19)-AVERAGE(K54,I19))*F19</f>
        <v>17.469176717655813</v>
      </c>
      <c r="M54" s="707">
        <f t="shared" ca="1" si="6"/>
        <v>221.60795437177089</v>
      </c>
      <c r="N54" s="681">
        <f t="shared" si="7"/>
        <v>1.1681052877046679E-2</v>
      </c>
      <c r="O54" s="707">
        <f t="shared" ca="1" si="10"/>
        <v>146.09106343332292</v>
      </c>
      <c r="P54" s="707">
        <f t="shared" ca="1" si="8"/>
        <v>14.812304648744346</v>
      </c>
      <c r="Q54" s="679"/>
      <c r="R54" s="1889"/>
    </row>
    <row r="55" spans="2:18" outlineLevel="1">
      <c r="B55" s="956" t="s">
        <v>1873</v>
      </c>
      <c r="C55" s="681">
        <f t="shared" si="2"/>
        <v>6.1294170286724103</v>
      </c>
      <c r="D55" s="681">
        <f>C55*假设!$C$125</f>
        <v>1.2258834057344818</v>
      </c>
      <c r="E55" s="681">
        <f>假设!$C$126*K20</f>
        <v>7.5830374965222234</v>
      </c>
      <c r="F55" s="681">
        <f t="shared" si="3"/>
        <v>0</v>
      </c>
      <c r="G55" s="681">
        <f t="shared" ca="1" si="3"/>
        <v>1.0735953605896372E-4</v>
      </c>
      <c r="H55" s="681">
        <f t="shared" ca="1" si="9"/>
        <v>8.8090282617927649</v>
      </c>
      <c r="I55" s="801">
        <f>G20*假设!$G$116</f>
        <v>2.3914426042825001</v>
      </c>
      <c r="J55" s="707">
        <f t="shared" ca="1" si="4"/>
        <v>484.70610651401034</v>
      </c>
      <c r="K55" s="707">
        <f t="shared" ca="1" si="5"/>
        <v>128.30477031699553</v>
      </c>
      <c r="L55" s="1959">
        <f ca="1">SUM(L56:L57)</f>
        <v>22.886624971419764</v>
      </c>
      <c r="M55" s="707">
        <f t="shared" ca="1" si="6"/>
        <v>305.37310313215141</v>
      </c>
      <c r="N55" s="681">
        <f t="shared" si="7"/>
        <v>5.3618696641920104E-3</v>
      </c>
      <c r="O55" s="707">
        <f t="shared" ca="1" si="10"/>
        <v>179.32764151219473</v>
      </c>
      <c r="P55" s="707">
        <f t="shared" ca="1" si="8"/>
        <v>6.7991856375324256</v>
      </c>
      <c r="Q55" s="679"/>
      <c r="R55" s="1889"/>
    </row>
    <row r="56" spans="2:18" outlineLevel="1">
      <c r="B56" s="956" t="s">
        <v>1871</v>
      </c>
      <c r="C56" s="681">
        <f t="shared" si="2"/>
        <v>4.3768843905930588</v>
      </c>
      <c r="D56" s="681">
        <f>C56*假设!$C$125</f>
        <v>0.87537687811861153</v>
      </c>
      <c r="E56" s="681">
        <f>假设!$C$126*K21</f>
        <v>5.4148833888365289</v>
      </c>
      <c r="F56" s="681">
        <f t="shared" si="3"/>
        <v>0</v>
      </c>
      <c r="G56" s="681">
        <f t="shared" ca="1" si="3"/>
        <v>7.6663127237007098E-5</v>
      </c>
      <c r="H56" s="681">
        <f t="shared" ca="1" si="9"/>
        <v>6.2903369300823773</v>
      </c>
      <c r="I56" s="801">
        <f>G21*假设!$G$116</f>
        <v>2.1990635250119999</v>
      </c>
      <c r="J56" s="707">
        <f t="shared" ca="1" si="4"/>
        <v>443.90397840747039</v>
      </c>
      <c r="K56" s="707">
        <f t="shared" ca="1" si="5"/>
        <v>117.87558700459472</v>
      </c>
      <c r="L56" s="707">
        <f t="shared" ref="L56:L69" ca="1" si="11">(AVERAGE(J56,G21)-AVERAGE(K56,I21))*F21</f>
        <v>20.878527532600163</v>
      </c>
      <c r="M56" s="707">
        <f t="shared" ca="1" si="6"/>
        <v>282.15287150613881</v>
      </c>
      <c r="N56" s="681">
        <f t="shared" si="7"/>
        <v>3.828795385893253E-3</v>
      </c>
      <c r="O56" s="707">
        <f t="shared" ca="1" si="10"/>
        <v>161.7472781059457</v>
      </c>
      <c r="P56" s="707">
        <f t="shared" ca="1" si="8"/>
        <v>4.8551516965563426</v>
      </c>
      <c r="Q56" s="679"/>
      <c r="R56" s="1889"/>
    </row>
    <row r="57" spans="2:18" outlineLevel="1">
      <c r="B57" s="956" t="s">
        <v>1872</v>
      </c>
      <c r="C57" s="681">
        <f t="shared" si="2"/>
        <v>1.7525326380793511</v>
      </c>
      <c r="D57" s="681">
        <f>C57*假设!$C$125</f>
        <v>0.35050652761587014</v>
      </c>
      <c r="E57" s="681">
        <f>假设!$C$126*K22</f>
        <v>2.1681541076856945</v>
      </c>
      <c r="F57" s="681">
        <f t="shared" si="3"/>
        <v>0</v>
      </c>
      <c r="G57" s="681">
        <f t="shared" ca="1" si="3"/>
        <v>3.069640882195662E-5</v>
      </c>
      <c r="H57" s="681">
        <f t="shared" ca="1" si="9"/>
        <v>2.5186913317103867</v>
      </c>
      <c r="I57" s="801">
        <f>G22*假设!$G$116</f>
        <v>0.19237907927049999</v>
      </c>
      <c r="J57" s="707">
        <f t="shared" ca="1" si="4"/>
        <v>40.802128106539882</v>
      </c>
      <c r="K57" s="707">
        <f t="shared" ca="1" si="5"/>
        <v>10.410357949796634</v>
      </c>
      <c r="L57" s="707">
        <f t="shared" ca="1" si="11"/>
        <v>2.0080974388195987</v>
      </c>
      <c r="M57" s="707">
        <f t="shared" ca="1" si="6"/>
        <v>23.220231626012623</v>
      </c>
      <c r="N57" s="681">
        <f t="shared" si="7"/>
        <v>1.5330742782987572E-3</v>
      </c>
      <c r="O57" s="707">
        <f t="shared" ca="1" si="10"/>
        <v>17.58036340624896</v>
      </c>
      <c r="P57" s="707">
        <f t="shared" ca="1" si="8"/>
        <v>1.944033940976083</v>
      </c>
      <c r="Q57" s="679"/>
      <c r="R57" s="1889"/>
    </row>
    <row r="58" spans="2:18" outlineLevel="1">
      <c r="B58" s="957" t="s">
        <v>1838</v>
      </c>
      <c r="C58" s="681">
        <f t="shared" si="2"/>
        <v>3.031320728782406</v>
      </c>
      <c r="D58" s="681">
        <f>C58*假设!$C$125</f>
        <v>0.60626414575648102</v>
      </c>
      <c r="E58" s="681">
        <f>假设!$C$126*K23</f>
        <v>3.7502128902005554</v>
      </c>
      <c r="F58" s="681">
        <f t="shared" si="3"/>
        <v>0</v>
      </c>
      <c r="G58" s="681">
        <f t="shared" ca="1" si="3"/>
        <v>5.309496573093955E-5</v>
      </c>
      <c r="H58" s="681">
        <f t="shared" ca="1" si="9"/>
        <v>4.3565301309227671</v>
      </c>
      <c r="I58" s="801">
        <f>G23*假设!$G$116</f>
        <v>0.33316340315349996</v>
      </c>
      <c r="J58" s="707">
        <f t="shared" ca="1" si="4"/>
        <v>70.656047358469252</v>
      </c>
      <c r="K58" s="707">
        <f t="shared" ca="1" si="5"/>
        <v>17.2044204954652</v>
      </c>
      <c r="L58" s="1960">
        <f ca="1">(AVERAGE(J58,G23)-AVERAGE(K58,I23))*F23</f>
        <v>4.0185125249340894</v>
      </c>
      <c r="M58" s="707">
        <f t="shared" ca="1" si="6"/>
        <v>40.587282465138266</v>
      </c>
      <c r="N58" s="681">
        <f t="shared" si="7"/>
        <v>2.6517279836015999E-3</v>
      </c>
      <c r="O58" s="707">
        <f t="shared" ca="1" si="10"/>
        <v>30.066113165347385</v>
      </c>
      <c r="P58" s="707">
        <f t="shared" ca="1" si="8"/>
        <v>3.3625567106103325</v>
      </c>
      <c r="Q58" s="679"/>
      <c r="R58" s="1889"/>
    </row>
    <row r="59" spans="2:18" outlineLevel="1">
      <c r="B59" s="957" t="s">
        <v>1839</v>
      </c>
      <c r="C59" s="681">
        <f t="shared" si="2"/>
        <v>4.0195208884203639</v>
      </c>
      <c r="D59" s="681">
        <f>C59*假设!$C$125</f>
        <v>0.80390417768407263</v>
      </c>
      <c r="E59" s="681">
        <f>假设!$C$126*K24</f>
        <v>4.9727694285385793</v>
      </c>
      <c r="F59" s="681">
        <f t="shared" si="3"/>
        <v>0</v>
      </c>
      <c r="G59" s="681">
        <f t="shared" ca="1" si="3"/>
        <v>7.0403742434472797E-5</v>
      </c>
      <c r="H59" s="681">
        <f t="shared" ca="1" si="9"/>
        <v>5.7767440099650864</v>
      </c>
      <c r="I59" s="801">
        <f>G24*假设!$G$116</f>
        <v>0.24151751821050002</v>
      </c>
      <c r="J59" s="707">
        <f t="shared" ca="1" si="4"/>
        <v>53.83873013385459</v>
      </c>
      <c r="K59" s="707">
        <f t="shared" ca="1" si="5"/>
        <v>13.981179630760352</v>
      </c>
      <c r="L59" s="1960">
        <f t="shared" ca="1" si="11"/>
        <v>3.7380969933572294</v>
      </c>
      <c r="M59" s="707">
        <f t="shared" ca="1" si="6"/>
        <v>28.256135409157253</v>
      </c>
      <c r="N59" s="681">
        <f t="shared" si="7"/>
        <v>3.5161822103782214E-3</v>
      </c>
      <c r="O59" s="707">
        <f t="shared" ca="1" si="10"/>
        <v>25.579078542486958</v>
      </c>
      <c r="P59" s="707">
        <f t="shared" ca="1" si="8"/>
        <v>4.458738664128501</v>
      </c>
      <c r="Q59" s="679"/>
      <c r="R59" s="1889"/>
    </row>
    <row r="60" spans="2:18" outlineLevel="1">
      <c r="B60" s="958" t="s">
        <v>1840</v>
      </c>
      <c r="C60" s="681">
        <f t="shared" si="2"/>
        <v>11.902997586007857</v>
      </c>
      <c r="D60" s="681">
        <f>C60*假设!$C$125</f>
        <v>2.3805995172015706</v>
      </c>
      <c r="E60" s="681">
        <f>假设!$C$126*K25</f>
        <v>14.72585020622442</v>
      </c>
      <c r="F60" s="681">
        <f t="shared" si="3"/>
        <v>0</v>
      </c>
      <c r="G60" s="681">
        <f t="shared" ca="1" si="3"/>
        <v>2.0848643395725237E-4</v>
      </c>
      <c r="H60" s="681">
        <f t="shared" ca="1" si="9"/>
        <v>17.106658209859948</v>
      </c>
      <c r="I60" s="801">
        <f>G25*假设!$G$116</f>
        <v>0.78003714853350004</v>
      </c>
      <c r="J60" s="707">
        <f t="shared" ca="1" si="4"/>
        <v>172.33405076802646</v>
      </c>
      <c r="K60" s="707">
        <f t="shared" ca="1" si="5"/>
        <v>72.927453006714472</v>
      </c>
      <c r="L60" s="1960">
        <f t="shared" ca="1" si="11"/>
        <v>7.9819783766320223</v>
      </c>
      <c r="M60" s="707">
        <f t="shared" ca="1" si="6"/>
        <v>110.69135369932519</v>
      </c>
      <c r="N60" s="681">
        <f t="shared" si="7"/>
        <v>1.0412461963481334E-2</v>
      </c>
      <c r="O60" s="707">
        <f t="shared" ca="1" si="10"/>
        <v>61.632284606737784</v>
      </c>
      <c r="P60" s="707">
        <f t="shared" ca="1" si="8"/>
        <v>13.203652133928433</v>
      </c>
      <c r="Q60" s="679"/>
      <c r="R60" s="1889"/>
    </row>
    <row r="61" spans="2:18" outlineLevel="1">
      <c r="B61" s="957" t="s">
        <v>1841</v>
      </c>
      <c r="C61" s="681">
        <f t="shared" si="2"/>
        <v>0.96178871770345575</v>
      </c>
      <c r="D61" s="681">
        <f>C61*假设!$C$125</f>
        <v>0.1923577435406911</v>
      </c>
      <c r="E61" s="681">
        <f>假设!$C$126*K26</f>
        <v>1.189881497042959</v>
      </c>
      <c r="F61" s="681">
        <f t="shared" si="3"/>
        <v>0</v>
      </c>
      <c r="G61" s="681">
        <f t="shared" ca="1" si="3"/>
        <v>1.6846168246730219E-5</v>
      </c>
      <c r="H61" s="681">
        <f t="shared" ca="1" si="9"/>
        <v>1.3822560867518969</v>
      </c>
      <c r="I61" s="801">
        <f>G26*假设!$G$116</f>
        <v>0.11494181598099999</v>
      </c>
      <c r="J61" s="707">
        <f t="shared" ca="1" si="4"/>
        <v>24.255677466970898</v>
      </c>
      <c r="K61" s="707">
        <f t="shared" ca="1" si="5"/>
        <v>15.050678143171703</v>
      </c>
      <c r="L61" s="1960">
        <f t="shared" ca="1" si="11"/>
        <v>0.76807109917289262</v>
      </c>
      <c r="M61" s="707">
        <f t="shared" ca="1" si="6"/>
        <v>20.823710640590942</v>
      </c>
      <c r="N61" s="681">
        <f t="shared" si="7"/>
        <v>8.4135011938211361E-4</v>
      </c>
      <c r="O61" s="707">
        <f t="shared" ca="1" si="10"/>
        <v>3.4311254762605734</v>
      </c>
      <c r="P61" s="707">
        <f t="shared" ca="1" si="8"/>
        <v>1.0668845022552575</v>
      </c>
      <c r="Q61" s="679"/>
      <c r="R61" s="1889"/>
    </row>
    <row r="62" spans="2:18" outlineLevel="1">
      <c r="B62" s="957" t="s">
        <v>1842</v>
      </c>
      <c r="C62" s="681">
        <f t="shared" si="2"/>
        <v>0</v>
      </c>
      <c r="D62" s="681">
        <f>C62*假设!$C$125</f>
        <v>0</v>
      </c>
      <c r="E62" s="681">
        <f>假设!$C$126*K27</f>
        <v>0</v>
      </c>
      <c r="F62" s="681">
        <f t="shared" si="3"/>
        <v>0</v>
      </c>
      <c r="G62" s="681">
        <f t="shared" ca="1" si="3"/>
        <v>0</v>
      </c>
      <c r="H62" s="681">
        <f t="shared" ca="1" si="9"/>
        <v>0</v>
      </c>
      <c r="I62" s="801">
        <f>G27*假设!$G$116</f>
        <v>0</v>
      </c>
      <c r="J62" s="707">
        <f t="shared" ca="1" si="4"/>
        <v>0</v>
      </c>
      <c r="K62" s="707">
        <f t="shared" ca="1" si="5"/>
        <v>0</v>
      </c>
      <c r="L62" s="1960">
        <f t="shared" ca="1" si="11"/>
        <v>0</v>
      </c>
      <c r="M62" s="707">
        <f t="shared" ca="1" si="6"/>
        <v>0</v>
      </c>
      <c r="N62" s="681">
        <f t="shared" si="7"/>
        <v>0</v>
      </c>
      <c r="O62" s="707">
        <f t="shared" ca="1" si="10"/>
        <v>0</v>
      </c>
      <c r="P62" s="707">
        <f t="shared" ca="1" si="8"/>
        <v>0</v>
      </c>
      <c r="Q62" s="679"/>
      <c r="R62" s="1889"/>
    </row>
    <row r="63" spans="2:18" outlineLevel="1">
      <c r="B63" s="957" t="s">
        <v>1843</v>
      </c>
      <c r="C63" s="681">
        <f t="shared" si="2"/>
        <v>0.23503706492854745</v>
      </c>
      <c r="D63" s="681">
        <f>C63*假设!$C$125</f>
        <v>4.7007412985709478E-2</v>
      </c>
      <c r="E63" s="681">
        <f>假设!$C$126*K28</f>
        <v>0.29077722531986644</v>
      </c>
      <c r="F63" s="681">
        <f t="shared" si="3"/>
        <v>0</v>
      </c>
      <c r="G63" s="681">
        <f t="shared" ca="1" si="3"/>
        <v>4.1167814376720237E-6</v>
      </c>
      <c r="H63" s="681">
        <f t="shared" ca="1" si="9"/>
        <v>0.33778875508701361</v>
      </c>
      <c r="I63" s="801">
        <f>G28*假设!$G$116</f>
        <v>2.2974067072999999E-2</v>
      </c>
      <c r="J63" s="707">
        <f t="shared" ca="1" si="4"/>
        <v>4.9096281026140138</v>
      </c>
      <c r="K63" s="707">
        <f t="shared" ca="1" si="5"/>
        <v>1.3519172205887293</v>
      </c>
      <c r="L63" s="1960">
        <f t="shared" ca="1" si="11"/>
        <v>0.2758912291998562</v>
      </c>
      <c r="M63" s="707">
        <f t="shared" ca="1" si="6"/>
        <v>2.972246236380506</v>
      </c>
      <c r="N63" s="681">
        <f t="shared" si="7"/>
        <v>2.0560488909563809E-4</v>
      </c>
      <c r="O63" s="707">
        <f t="shared" ca="1" si="10"/>
        <v>1.9371762613444121</v>
      </c>
      <c r="P63" s="707">
        <f t="shared" ca="1" si="8"/>
        <v>0.26071984149136695</v>
      </c>
      <c r="Q63" s="679"/>
      <c r="R63" s="1889"/>
    </row>
    <row r="64" spans="2:18" outlineLevel="1">
      <c r="B64" s="957" t="s">
        <v>1844</v>
      </c>
      <c r="C64" s="681">
        <f t="shared" si="2"/>
        <v>1.2336569086442546</v>
      </c>
      <c r="D64" s="681">
        <f>C64*假设!$C$125</f>
        <v>0.24673138172885087</v>
      </c>
      <c r="E64" s="681">
        <f>假设!$C$126*K29</f>
        <v>1.5262245254862798</v>
      </c>
      <c r="F64" s="681">
        <f t="shared" si="3"/>
        <v>0</v>
      </c>
      <c r="G64" s="681">
        <f t="shared" ca="1" si="3"/>
        <v>2.1608063662241827E-5</v>
      </c>
      <c r="H64" s="681">
        <f t="shared" ca="1" si="9"/>
        <v>1.7729775152787928</v>
      </c>
      <c r="I64" s="801">
        <f>G29*假设!$G$116</f>
        <v>7.6432083434E-2</v>
      </c>
      <c r="J64" s="707">
        <f t="shared" ca="1" si="4"/>
        <v>16.982962118644792</v>
      </c>
      <c r="K64" s="707">
        <f t="shared" ca="1" si="5"/>
        <v>7.0055660378827582</v>
      </c>
      <c r="L64" s="1960">
        <f t="shared" ca="1" si="11"/>
        <v>0.85449566378583919</v>
      </c>
      <c r="M64" s="707">
        <f t="shared" ca="1" si="6"/>
        <v>11.202356649423539</v>
      </c>
      <c r="N64" s="681">
        <f t="shared" si="7"/>
        <v>1.079174010111892E-3</v>
      </c>
      <c r="O64" s="707">
        <f t="shared" ca="1" si="10"/>
        <v>5.7795262952111415</v>
      </c>
      <c r="P64" s="707">
        <f t="shared" ca="1" si="8"/>
        <v>1.3684600502233117</v>
      </c>
      <c r="Q64" s="679"/>
      <c r="R64" s="1889"/>
    </row>
    <row r="65" spans="2:18" outlineLevel="1">
      <c r="B65" s="957" t="s">
        <v>1845</v>
      </c>
      <c r="C65" s="681">
        <f t="shared" si="2"/>
        <v>1.0140511311710088</v>
      </c>
      <c r="D65" s="681">
        <f>C65*假设!$C$125</f>
        <v>0.2028102262342017</v>
      </c>
      <c r="E65" s="681">
        <f>假设!$C$126*K30</f>
        <v>1.2545381910041202</v>
      </c>
      <c r="F65" s="681">
        <f t="shared" si="3"/>
        <v>0</v>
      </c>
      <c r="G65" s="681">
        <f t="shared" ca="1" si="3"/>
        <v>1.7761568265516916E-5</v>
      </c>
      <c r="H65" s="681">
        <f t="shared" ca="1" si="9"/>
        <v>1.4573661788065875</v>
      </c>
      <c r="I65" s="801">
        <f>G30*假设!$G$116</f>
        <v>4.5168717620500003E-2</v>
      </c>
      <c r="J65" s="707">
        <f t="shared" ca="1" si="4"/>
        <v>10.445940985286088</v>
      </c>
      <c r="K65" s="707">
        <f t="shared" ca="1" si="5"/>
        <v>4.4378067196018192</v>
      </c>
      <c r="L65" s="1960">
        <f t="shared" ca="1" si="11"/>
        <v>0.47829083098326869</v>
      </c>
      <c r="M65" s="707">
        <f t="shared" ca="1" si="6"/>
        <v>5.9637702752437933</v>
      </c>
      <c r="N65" s="681">
        <f t="shared" si="7"/>
        <v>8.8706804786345026E-4</v>
      </c>
      <c r="O65" s="707">
        <f t="shared" ca="1" si="10"/>
        <v>4.4812836419944304</v>
      </c>
      <c r="P65" s="707">
        <f t="shared" ca="1" si="8"/>
        <v>1.1248576911195713</v>
      </c>
      <c r="Q65" s="679"/>
      <c r="R65" s="1889"/>
    </row>
    <row r="66" spans="2:18" outlineLevel="1">
      <c r="B66" s="957" t="s">
        <v>1846</v>
      </c>
      <c r="C66" s="681">
        <f t="shared" si="2"/>
        <v>0.13628592110409804</v>
      </c>
      <c r="D66" s="681">
        <f>C66*假设!$C$125</f>
        <v>2.7257184220819602E-2</v>
      </c>
      <c r="E66" s="681">
        <f>假设!$C$126*K31</f>
        <v>0.16860677698157625</v>
      </c>
      <c r="F66" s="681">
        <f t="shared" si="3"/>
        <v>0</v>
      </c>
      <c r="G66" s="681">
        <f t="shared" ca="1" si="3"/>
        <v>2.3871100942651314E-6</v>
      </c>
      <c r="H66" s="681">
        <f t="shared" ca="1" si="9"/>
        <v>0.19586634831249011</v>
      </c>
      <c r="I66" s="801">
        <f>G31*假设!$G$116</f>
        <v>1.9088054458999998E-2</v>
      </c>
      <c r="J66" s="707">
        <f t="shared" ca="1" si="4"/>
        <v>3.9943891856534899</v>
      </c>
      <c r="K66" s="707">
        <f t="shared" ca="1" si="5"/>
        <v>1.2091003756670231</v>
      </c>
      <c r="L66" s="1960">
        <f t="shared" ca="1" si="11"/>
        <v>0.20571507378404361</v>
      </c>
      <c r="M66" s="707">
        <f t="shared" ca="1" si="6"/>
        <v>3.0014231069479935</v>
      </c>
      <c r="N66" s="681">
        <f t="shared" si="7"/>
        <v>1.1921971414348419E-4</v>
      </c>
      <c r="O66" s="707">
        <f t="shared" ca="1" si="10"/>
        <v>0.99284685899135283</v>
      </c>
      <c r="P66" s="707">
        <f t="shared" ca="1" si="8"/>
        <v>0.15117804401857823</v>
      </c>
      <c r="Q66" s="679"/>
      <c r="R66" s="1889"/>
    </row>
    <row r="67" spans="2:18" outlineLevel="1">
      <c r="B67" s="957" t="s">
        <v>1847</v>
      </c>
      <c r="C67" s="681">
        <f t="shared" si="2"/>
        <v>14.505608887976413</v>
      </c>
      <c r="D67" s="681">
        <f>C67*假设!$C$125</f>
        <v>2.9011217775952818</v>
      </c>
      <c r="E67" s="681">
        <f>假设!$C$126*K32</f>
        <v>17.945683185344574</v>
      </c>
      <c r="F67" s="681">
        <f t="shared" si="3"/>
        <v>0</v>
      </c>
      <c r="G67" s="681">
        <f t="shared" ca="1" si="3"/>
        <v>2.5407235846101862E-4</v>
      </c>
      <c r="H67" s="681">
        <f t="shared" ca="1" si="9"/>
        <v>20.847059035298319</v>
      </c>
      <c r="I67" s="801">
        <f>G32*假设!$G$116</f>
        <v>0.82460275609549993</v>
      </c>
      <c r="J67" s="707">
        <f t="shared" ca="1" si="4"/>
        <v>184.94300749830282</v>
      </c>
      <c r="K67" s="707">
        <f t="shared" ca="1" si="5"/>
        <v>9.3976875145685899</v>
      </c>
      <c r="L67" s="1960">
        <f t="shared" ca="1" si="11"/>
        <v>7.9716963447990743</v>
      </c>
      <c r="M67" s="707">
        <f t="shared" ca="1" si="6"/>
        <v>76.066876407808351</v>
      </c>
      <c r="N67" s="681">
        <f t="shared" si="7"/>
        <v>1.2689165036943281E-2</v>
      </c>
      <c r="O67" s="707">
        <f t="shared" ca="1" si="10"/>
        <v>108.86344192545752</v>
      </c>
      <c r="P67" s="707">
        <f t="shared" ca="1" si="8"/>
        <v>16.090653834358811</v>
      </c>
      <c r="Q67" s="679"/>
      <c r="R67" s="1889"/>
    </row>
    <row r="68" spans="2:18" outlineLevel="1">
      <c r="B68" s="957" t="s">
        <v>1848</v>
      </c>
      <c r="C68" s="681">
        <f>C$70*$H33</f>
        <v>19.555513899266757</v>
      </c>
      <c r="D68" s="681">
        <f>C68*假设!$C$125</f>
        <v>3.9111027798533504</v>
      </c>
      <c r="E68" s="681">
        <f>假设!$C$126*K33</f>
        <v>24.193197243428543</v>
      </c>
      <c r="F68" s="681">
        <f t="shared" si="3"/>
        <v>0</v>
      </c>
      <c r="G68" s="681">
        <f t="shared" ca="1" si="3"/>
        <v>3.4252374896322349E-4</v>
      </c>
      <c r="H68" s="681">
        <f t="shared" ca="1" si="9"/>
        <v>28.104642547030856</v>
      </c>
      <c r="I68" s="801">
        <f>G33*假设!$G$116</f>
        <v>1.6205114326854999</v>
      </c>
      <c r="J68" s="707">
        <f t="shared" ca="1" si="4"/>
        <v>350.58641765144534</v>
      </c>
      <c r="K68" s="707">
        <f t="shared" ca="1" si="5"/>
        <v>86.94289002498671</v>
      </c>
      <c r="L68" s="1960">
        <f t="shared" ca="1" si="11"/>
        <v>20.458435253214077</v>
      </c>
      <c r="M68" s="707">
        <f t="shared" ca="1" si="6"/>
        <v>210.04867080156279</v>
      </c>
      <c r="N68" s="681">
        <f t="shared" si="7"/>
        <v>1.7106703011668684E-2</v>
      </c>
      <c r="O68" s="707">
        <f t="shared" ca="1" si="10"/>
        <v>140.52064014687087</v>
      </c>
      <c r="P68" s="707">
        <f t="shared" ca="1" si="8"/>
        <v>21.692367906521575</v>
      </c>
      <c r="Q68" s="679"/>
      <c r="R68" s="1889"/>
    </row>
    <row r="69" spans="2:18" outlineLevel="1">
      <c r="B69" s="957" t="s">
        <v>1849</v>
      </c>
      <c r="C69" s="681">
        <f>C$70*$H34</f>
        <v>0</v>
      </c>
      <c r="D69" s="681">
        <f>C69*假设!$C$125</f>
        <v>0</v>
      </c>
      <c r="E69" s="681">
        <f>假设!$C$126*K34</f>
        <v>0</v>
      </c>
      <c r="F69" s="681">
        <f t="shared" si="3"/>
        <v>0</v>
      </c>
      <c r="G69" s="681">
        <f t="shared" ca="1" si="3"/>
        <v>0</v>
      </c>
      <c r="H69" s="681">
        <f t="shared" ca="1" si="9"/>
        <v>0</v>
      </c>
      <c r="I69" s="801">
        <f>G34*假设!$G$116</f>
        <v>0</v>
      </c>
      <c r="J69" s="707">
        <f t="shared" ca="1" si="4"/>
        <v>0</v>
      </c>
      <c r="K69" s="707">
        <f t="shared" ca="1" si="5"/>
        <v>0</v>
      </c>
      <c r="L69" s="1960">
        <f t="shared" ca="1" si="11"/>
        <v>0</v>
      </c>
      <c r="M69" s="707">
        <f t="shared" ca="1" si="6"/>
        <v>0</v>
      </c>
      <c r="N69" s="681">
        <f t="shared" si="7"/>
        <v>0</v>
      </c>
      <c r="O69" s="707">
        <f t="shared" ca="1" si="10"/>
        <v>0</v>
      </c>
      <c r="P69" s="707">
        <f t="shared" ca="1" si="8"/>
        <v>0</v>
      </c>
      <c r="Q69" s="679"/>
      <c r="R69" s="1889"/>
    </row>
    <row r="70" spans="2:18" s="827" customFormat="1">
      <c r="B70" s="2150" t="s">
        <v>1874</v>
      </c>
      <c r="C70" s="728">
        <f>(发展投入!G18+电网投资变动)*假设!$G$117</f>
        <v>150.09303532984927</v>
      </c>
      <c r="D70" s="728">
        <f>SUM(D39,D45,D51,D58:D69)</f>
        <v>30.018607065969842</v>
      </c>
      <c r="E70" s="728">
        <f>SUM(E39,E45,E51,E58:E69)</f>
        <v>185.68831416576</v>
      </c>
      <c r="F70" s="728">
        <f>假设!$G$118</f>
        <v>0</v>
      </c>
      <c r="G70" s="2151">
        <f ca="1">债务!G38</f>
        <v>2.628947999999999E-3</v>
      </c>
      <c r="H70" s="728">
        <f t="shared" ref="H70:M70" ca="1" si="12">SUM(H39,H45,H51,H58:H69)</f>
        <v>215.70955017972992</v>
      </c>
      <c r="I70" s="728">
        <f t="shared" si="12"/>
        <v>14.926499910239501</v>
      </c>
      <c r="J70" s="728">
        <f t="shared" ca="1" si="12"/>
        <v>3186.0830323173905</v>
      </c>
      <c r="K70" s="728">
        <f t="shared" ca="1" si="12"/>
        <v>593.12439133091732</v>
      </c>
      <c r="L70" s="2152">
        <f t="shared" ca="1" si="12"/>
        <v>154.85442231883817</v>
      </c>
      <c r="M70" s="728">
        <f t="shared" ca="1" si="12"/>
        <v>1748.1864574411106</v>
      </c>
      <c r="N70" s="728">
        <f>假设!G120</f>
        <v>0.13129785250000001</v>
      </c>
      <c r="O70" s="728">
        <f ca="1">SUM(O39,O45,O51,O58:O69)</f>
        <v>1437.7652770237794</v>
      </c>
      <c r="P70" s="728">
        <f ca="1">SUM(P39,P45,P51,P58:P69)</f>
        <v>166.49387785731943</v>
      </c>
      <c r="Q70" s="829"/>
      <c r="R70" s="2153"/>
    </row>
    <row r="71" spans="2:18">
      <c r="C71" s="679"/>
      <c r="D71" s="679"/>
      <c r="E71" s="679"/>
      <c r="F71" s="679"/>
      <c r="G71" s="679"/>
      <c r="H71" s="679"/>
      <c r="I71" s="892"/>
      <c r="J71" s="679"/>
      <c r="K71" s="679"/>
      <c r="L71" s="679"/>
      <c r="M71" s="679"/>
      <c r="N71" s="679"/>
      <c r="O71" s="679"/>
      <c r="P71" s="679"/>
    </row>
    <row r="72" spans="2:18" s="828" customFormat="1" ht="15" thickBot="1">
      <c r="K72" s="626"/>
    </row>
    <row r="73" spans="2:18" s="828" customFormat="1" ht="28.8">
      <c r="B73" s="961" t="s">
        <v>2231</v>
      </c>
      <c r="C73" s="962" t="s">
        <v>376</v>
      </c>
      <c r="D73" s="962" t="s">
        <v>1878</v>
      </c>
      <c r="E73" s="962" t="s">
        <v>1879</v>
      </c>
      <c r="F73" s="962" t="s">
        <v>1880</v>
      </c>
      <c r="G73" s="962" t="s">
        <v>1881</v>
      </c>
      <c r="H73" s="962" t="s">
        <v>1882</v>
      </c>
      <c r="I73" s="962" t="s">
        <v>379</v>
      </c>
      <c r="J73" s="962" t="s">
        <v>338</v>
      </c>
      <c r="K73" s="962" t="s">
        <v>1073</v>
      </c>
      <c r="L73" s="962" t="s">
        <v>1886</v>
      </c>
      <c r="M73" s="962" t="s">
        <v>1888</v>
      </c>
      <c r="N73" s="962" t="s">
        <v>1889</v>
      </c>
      <c r="O73" s="962" t="s">
        <v>1057</v>
      </c>
      <c r="P73" s="962" t="s">
        <v>1892</v>
      </c>
    </row>
    <row r="74" spans="2:18" s="828" customFormat="1" hidden="1" outlineLevel="2">
      <c r="B74" s="954" t="s">
        <v>1835</v>
      </c>
      <c r="C74" s="681">
        <f t="shared" ref="C74:C104" si="13">C$105*$H4</f>
        <v>17.281847052970313</v>
      </c>
      <c r="D74" s="681">
        <f>C74*假设!$C$125</f>
        <v>3.4563694105940619</v>
      </c>
      <c r="E74" s="681">
        <f ca="1">假设!$C$126*P39</f>
        <v>14.468116837266065</v>
      </c>
      <c r="F74" s="681">
        <f t="shared" ref="F74:G104" si="14">F$105*$H4</f>
        <v>0</v>
      </c>
      <c r="G74" s="681">
        <f t="shared" ca="1" si="14"/>
        <v>2.8556550631618906E-4</v>
      </c>
      <c r="H74" s="681">
        <f ca="1">SUM(D74:G74)</f>
        <v>17.924771813366444</v>
      </c>
      <c r="I74" s="1958">
        <f ca="1">J39*假设!$H$116</f>
        <v>2.6385942884630245</v>
      </c>
      <c r="J74" s="1954">
        <f ca="1">J39+H74-I74</f>
        <v>543.00503521750829</v>
      </c>
      <c r="K74" s="707">
        <f ca="1">IFERROR(K39*(J74/J39)*1.1,0)</f>
        <v>13.042951549633734</v>
      </c>
      <c r="L74" s="1959">
        <f ca="1">SUM(L75:L79)</f>
        <v>22.526732743025111</v>
      </c>
      <c r="M74" s="1954">
        <f ca="1">L74+M39-I74*(1-D4)</f>
        <v>206.76053018712517</v>
      </c>
      <c r="N74" s="681">
        <f t="shared" ref="N74:N104" si="15">H4*$N$105</f>
        <v>1.4262030944465551E-2</v>
      </c>
      <c r="O74" s="707">
        <f ca="1">J74-M74-N74</f>
        <v>336.2302429994387</v>
      </c>
      <c r="P74" s="1954">
        <f ca="1">P39+C74-D74-E74-G74</f>
        <v>17.442221286186452</v>
      </c>
    </row>
    <row r="75" spans="2:18" s="828" customFormat="1" hidden="1" outlineLevel="2">
      <c r="B75" s="955" t="s">
        <v>1865</v>
      </c>
      <c r="C75" s="681">
        <f t="shared" si="13"/>
        <v>0</v>
      </c>
      <c r="D75" s="681">
        <f>C75*假设!$C$125</f>
        <v>0</v>
      </c>
      <c r="E75" s="681">
        <f ca="1">假设!$C$126*P40</f>
        <v>0</v>
      </c>
      <c r="F75" s="681">
        <f t="shared" si="14"/>
        <v>0</v>
      </c>
      <c r="G75" s="681">
        <f t="shared" ca="1" si="14"/>
        <v>0</v>
      </c>
      <c r="H75" s="681">
        <f t="shared" ref="H75" ca="1" si="16">SUM(D75:G75)</f>
        <v>0</v>
      </c>
      <c r="I75" s="1958">
        <f ca="1">J40*假设!$H$116</f>
        <v>0.55746750384755994</v>
      </c>
      <c r="J75" s="1954">
        <f t="shared" ref="J75:J104" ca="1" si="17">J40+H75-I75</f>
        <v>110.93603326566443</v>
      </c>
      <c r="K75" s="707">
        <f t="shared" ref="K75:K104" ca="1" si="18">IFERROR(K40*(J75/J40)*1.1,0)</f>
        <v>0</v>
      </c>
      <c r="L75" s="1954">
        <f ca="1">(AVERAGE(J75,J40)-AVERAGE(K75,K40))*F5</f>
        <v>4.8044779351598113</v>
      </c>
      <c r="M75" s="1954">
        <f t="shared" ref="M75:M104" ca="1" si="19">L75+M40-I75*(1-D5)</f>
        <v>14.356634285382649</v>
      </c>
      <c r="N75" s="681">
        <f t="shared" si="15"/>
        <v>0</v>
      </c>
      <c r="O75" s="707">
        <f t="shared" ref="O75:O104" ca="1" si="20">J75-M75-N75</f>
        <v>96.57939898028178</v>
      </c>
      <c r="P75" s="1954">
        <f t="shared" ref="P75:P104" ca="1" si="21">P40+C75-D75-E75-G75</f>
        <v>0</v>
      </c>
    </row>
    <row r="76" spans="2:18" s="828" customFormat="1" hidden="1" outlineLevel="2">
      <c r="B76" s="955" t="s">
        <v>1866</v>
      </c>
      <c r="C76" s="681">
        <f t="shared" si="13"/>
        <v>4.1030104211838436</v>
      </c>
      <c r="D76" s="681">
        <f>C76*假设!$C$125</f>
        <v>0.8206020842367685</v>
      </c>
      <c r="E76" s="681">
        <f ca="1">假设!$C$126*P41</f>
        <v>3.4349820349790168</v>
      </c>
      <c r="F76" s="681">
        <f t="shared" si="14"/>
        <v>0</v>
      </c>
      <c r="G76" s="681">
        <f t="shared" ca="1" si="14"/>
        <v>6.7798207260755871E-5</v>
      </c>
      <c r="H76" s="681">
        <f ca="1">SUM(D76:G76)</f>
        <v>4.2556519174230463</v>
      </c>
      <c r="I76" s="1958">
        <f ca="1">J41*假设!$H$116</f>
        <v>0.30837084862076725</v>
      </c>
      <c r="J76" s="1954">
        <f t="shared" ca="1" si="17"/>
        <v>65.621450792955727</v>
      </c>
      <c r="K76" s="707">
        <f t="shared" ca="1" si="18"/>
        <v>9.9321844829717492</v>
      </c>
      <c r="L76" s="1954">
        <f ca="1">(AVERAGE(J76,J41)-AVERAGE(K76,K41))*F6</f>
        <v>2.3190866618759811</v>
      </c>
      <c r="M76" s="1954">
        <f t="shared" ca="1" si="19"/>
        <v>30.340529506941085</v>
      </c>
      <c r="N76" s="681">
        <f t="shared" si="15"/>
        <v>3.3860536673555948E-3</v>
      </c>
      <c r="O76" s="707">
        <f t="shared" ca="1" si="20"/>
        <v>35.27753523234729</v>
      </c>
      <c r="P76" s="1954">
        <f t="shared" ca="1" si="21"/>
        <v>4.1410860474845688</v>
      </c>
    </row>
    <row r="77" spans="2:18" s="828" customFormat="1" hidden="1" outlineLevel="2">
      <c r="B77" s="955" t="s">
        <v>1867</v>
      </c>
      <c r="C77" s="681">
        <f t="shared" si="13"/>
        <v>4.0471188237883107</v>
      </c>
      <c r="D77" s="681">
        <f>C77*假设!$C$125</f>
        <v>0.80942376475766198</v>
      </c>
      <c r="E77" s="681">
        <f ca="1">假设!$C$126*P42</f>
        <v>3.3881903836664309</v>
      </c>
      <c r="F77" s="681">
        <f t="shared" si="14"/>
        <v>0</v>
      </c>
      <c r="G77" s="681">
        <f t="shared" ca="1" si="14"/>
        <v>6.6874653646367593E-5</v>
      </c>
      <c r="H77" s="681">
        <f t="shared" ref="H77:H104" ca="1" si="22">SUM(D77:G77)</f>
        <v>4.1976810230777399</v>
      </c>
      <c r="I77" s="1958">
        <f ca="1">J42*假设!$H$116</f>
        <v>0.6191243150065211</v>
      </c>
      <c r="J77" s="1954">
        <f t="shared" ca="1" si="17"/>
        <v>127.40341970937546</v>
      </c>
      <c r="K77" s="707">
        <f t="shared" ca="1" si="18"/>
        <v>0.31592477623929527</v>
      </c>
      <c r="L77" s="1954">
        <f ca="1">(AVERAGE(J77,J42)-AVERAGE(K77,K42))*F7</f>
        <v>5.5765891605627695</v>
      </c>
      <c r="M77" s="1954">
        <f t="shared" ca="1" si="19"/>
        <v>61.251307931731439</v>
      </c>
      <c r="N77" s="681">
        <f t="shared" si="15"/>
        <v>3.3399285229108234E-3</v>
      </c>
      <c r="O77" s="707">
        <f t="shared" ca="1" si="20"/>
        <v>66.148771849121118</v>
      </c>
      <c r="P77" s="1954">
        <f t="shared" ca="1" si="21"/>
        <v>4.08467578029361</v>
      </c>
    </row>
    <row r="78" spans="2:18" s="828" customFormat="1" hidden="1" outlineLevel="2">
      <c r="B78" s="955" t="s">
        <v>1868</v>
      </c>
      <c r="C78" s="681">
        <f t="shared" si="13"/>
        <v>4.931624814805927</v>
      </c>
      <c r="D78" s="681">
        <f>C78*假设!$C$125</f>
        <v>0.98632496296118521</v>
      </c>
      <c r="E78" s="681">
        <f ca="1">假设!$C$126*P43</f>
        <v>4.1286862335649053</v>
      </c>
      <c r="F78" s="681">
        <f t="shared" si="14"/>
        <v>0</v>
      </c>
      <c r="G78" s="681">
        <f t="shared" ca="1" si="14"/>
        <v>8.1490244236334954E-5</v>
      </c>
      <c r="H78" s="681">
        <f t="shared" ca="1" si="22"/>
        <v>5.1150926867703266</v>
      </c>
      <c r="I78" s="1958">
        <f ca="1">J43*假设!$H$116</f>
        <v>0.35072693262157928</v>
      </c>
      <c r="J78" s="1954">
        <f t="shared" ca="1" si="17"/>
        <v>74.909752278464595</v>
      </c>
      <c r="K78" s="707">
        <f t="shared" ca="1" si="18"/>
        <v>0.48934430131230472</v>
      </c>
      <c r="L78" s="1954">
        <f ca="1">(AVERAGE(J78,J43)-AVERAGE(K78,K43))*F8</f>
        <v>3.0343412845554147</v>
      </c>
      <c r="M78" s="1954">
        <f t="shared" ca="1" si="19"/>
        <v>24.164807903492704</v>
      </c>
      <c r="N78" s="681">
        <f t="shared" si="15"/>
        <v>4.0698766456891836E-3</v>
      </c>
      <c r="O78" s="707">
        <f t="shared" ca="1" si="20"/>
        <v>50.740874498326207</v>
      </c>
      <c r="P78" s="1954">
        <f t="shared" ca="1" si="21"/>
        <v>4.9773899199917322</v>
      </c>
    </row>
    <row r="79" spans="2:18" s="828" customFormat="1" hidden="1" outlineLevel="2">
      <c r="B79" s="956" t="s">
        <v>1869</v>
      </c>
      <c r="C79" s="681">
        <f t="shared" si="13"/>
        <v>4.2000929931922339</v>
      </c>
      <c r="D79" s="681">
        <f>C79*假设!$C$125</f>
        <v>0.84001859863844663</v>
      </c>
      <c r="E79" s="681">
        <f ca="1">假设!$C$126*P44</f>
        <v>3.5162581850557113</v>
      </c>
      <c r="F79" s="681">
        <f t="shared" si="14"/>
        <v>0</v>
      </c>
      <c r="G79" s="681">
        <f t="shared" ca="1" si="14"/>
        <v>6.9402401172730625E-5</v>
      </c>
      <c r="H79" s="681">
        <f t="shared" ca="1" si="22"/>
        <v>4.3563461860953305</v>
      </c>
      <c r="I79" s="1958">
        <f ca="1">J44*假设!$H$116</f>
        <v>0.80290468836659667</v>
      </c>
      <c r="J79" s="1954">
        <f t="shared" ca="1" si="17"/>
        <v>164.13437917104807</v>
      </c>
      <c r="K79" s="707">
        <f t="shared" ca="1" si="18"/>
        <v>3.086105921365569</v>
      </c>
      <c r="L79" s="1954">
        <f ca="1">(AVERAGE(J79,J44)-AVERAGE(K79,K44))*F9</f>
        <v>6.7922377008711345</v>
      </c>
      <c r="M79" s="1954">
        <f t="shared" ca="1" si="19"/>
        <v>76.647250559577301</v>
      </c>
      <c r="N79" s="681">
        <f t="shared" si="15"/>
        <v>3.4661721085099497E-3</v>
      </c>
      <c r="O79" s="707">
        <f t="shared" ca="1" si="20"/>
        <v>87.483662439362263</v>
      </c>
      <c r="P79" s="1954">
        <f t="shared" ca="1" si="21"/>
        <v>4.2390695384165431</v>
      </c>
    </row>
    <row r="80" spans="2:18" s="828" customFormat="1" hidden="1" outlineLevel="2">
      <c r="B80" s="954" t="s">
        <v>1836</v>
      </c>
      <c r="C80" s="681">
        <f t="shared" si="13"/>
        <v>13.864390567435564</v>
      </c>
      <c r="D80" s="681">
        <f>C80*假设!$C$125</f>
        <v>2.7728781134871121</v>
      </c>
      <c r="E80" s="681">
        <f ca="1">假设!$C$126*P45</f>
        <v>11.607070817853968</v>
      </c>
      <c r="F80" s="681">
        <f t="shared" si="14"/>
        <v>0</v>
      </c>
      <c r="G80" s="681">
        <f t="shared" ca="1" si="14"/>
        <v>2.2909540282470251E-4</v>
      </c>
      <c r="H80" s="681">
        <f t="shared" ca="1" si="22"/>
        <v>14.380178026743904</v>
      </c>
      <c r="I80" s="1958">
        <f ca="1">J45*假设!$H$116</f>
        <v>1.6631246097962935</v>
      </c>
      <c r="J80" s="1954">
        <f t="shared" ca="1" si="17"/>
        <v>345.34197537620634</v>
      </c>
      <c r="K80" s="707">
        <f t="shared" ca="1" si="18"/>
        <v>77.184575832967283</v>
      </c>
      <c r="L80" s="1959">
        <f ca="1">SUM(L81:L85)</f>
        <v>15.918044395429401</v>
      </c>
      <c r="M80" s="1954">
        <f t="shared" ca="1" si="19"/>
        <v>197.97744294383864</v>
      </c>
      <c r="N80" s="681">
        <f t="shared" si="15"/>
        <v>1.1441738067282384E-2</v>
      </c>
      <c r="O80" s="707">
        <f t="shared" ca="1" si="20"/>
        <v>147.35309069430042</v>
      </c>
      <c r="P80" s="1954">
        <f t="shared" ca="1" si="21"/>
        <v>13.993051063009119</v>
      </c>
    </row>
    <row r="81" spans="2:16" s="828" customFormat="1" hidden="1" outlineLevel="2">
      <c r="B81" s="955" t="s">
        <v>1865</v>
      </c>
      <c r="C81" s="681">
        <f t="shared" si="13"/>
        <v>0</v>
      </c>
      <c r="D81" s="681">
        <f>C81*假设!$C$125</f>
        <v>0</v>
      </c>
      <c r="E81" s="681">
        <f ca="1">假设!$C$126*P46</f>
        <v>0</v>
      </c>
      <c r="F81" s="681">
        <f t="shared" si="14"/>
        <v>0</v>
      </c>
      <c r="G81" s="681">
        <f t="shared" ca="1" si="14"/>
        <v>0</v>
      </c>
      <c r="H81" s="681">
        <f t="shared" ca="1" si="22"/>
        <v>0</v>
      </c>
      <c r="I81" s="1958">
        <f ca="1">J46*假设!$H$116</f>
        <v>0.17764359724381501</v>
      </c>
      <c r="J81" s="1954">
        <f t="shared" ca="1" si="17"/>
        <v>35.351075851519184</v>
      </c>
      <c r="K81" s="707">
        <f t="shared" ca="1" si="18"/>
        <v>9.8229637211455764E-2</v>
      </c>
      <c r="L81" s="1954">
        <f ca="1">(AVERAGE(J81,J46)-AVERAGE(K81,K46))*F11</f>
        <v>2.1454966535623026</v>
      </c>
      <c r="M81" s="1954">
        <f t="shared" ca="1" si="19"/>
        <v>8.4249827791581318</v>
      </c>
      <c r="N81" s="681">
        <f t="shared" si="15"/>
        <v>0</v>
      </c>
      <c r="O81" s="707">
        <f t="shared" ca="1" si="20"/>
        <v>26.926093072361052</v>
      </c>
      <c r="P81" s="1954">
        <f t="shared" ca="1" si="21"/>
        <v>0</v>
      </c>
    </row>
    <row r="82" spans="2:16" s="828" customFormat="1" hidden="1" outlineLevel="2">
      <c r="B82" s="955" t="s">
        <v>1866</v>
      </c>
      <c r="C82" s="681">
        <f t="shared" si="13"/>
        <v>4.1861154498462547E-2</v>
      </c>
      <c r="D82" s="681">
        <f>C82*假设!$C$125</f>
        <v>8.3722308996925076E-3</v>
      </c>
      <c r="E82" s="681">
        <f ca="1">假设!$C$126*P47</f>
        <v>3.5045563843391705E-2</v>
      </c>
      <c r="F82" s="681">
        <f t="shared" si="14"/>
        <v>0</v>
      </c>
      <c r="G82" s="681">
        <f t="shared" ca="1" si="14"/>
        <v>6.917143603165417E-7</v>
      </c>
      <c r="H82" s="681">
        <f t="shared" ca="1" si="22"/>
        <v>4.3418486457444533E-2</v>
      </c>
      <c r="I82" s="1958">
        <f ca="1">J47*假设!$H$116</f>
        <v>0.15530853278178039</v>
      </c>
      <c r="J82" s="1954">
        <f t="shared" ca="1" si="17"/>
        <v>30.949816510031738</v>
      </c>
      <c r="K82" s="707">
        <f t="shared" ca="1" si="18"/>
        <v>6.3504742062722332</v>
      </c>
      <c r="L82" s="1954">
        <f ca="1">(AVERAGE(J82,J47)-AVERAGE(K82,K47))*F12</f>
        <v>1.498503930516017</v>
      </c>
      <c r="M82" s="1954">
        <f t="shared" ca="1" si="19"/>
        <v>18.628008789735116</v>
      </c>
      <c r="N82" s="681">
        <f t="shared" si="15"/>
        <v>3.4546369898899933E-5</v>
      </c>
      <c r="O82" s="707">
        <f t="shared" ca="1" si="20"/>
        <v>12.321773173926724</v>
      </c>
      <c r="P82" s="1954">
        <f t="shared" ca="1" si="21"/>
        <v>4.2249622845257642E-2</v>
      </c>
    </row>
    <row r="83" spans="2:16" s="828" customFormat="1" hidden="1" outlineLevel="2">
      <c r="B83" s="956" t="s">
        <v>1867</v>
      </c>
      <c r="C83" s="681">
        <f t="shared" si="13"/>
        <v>5.9663430339163774</v>
      </c>
      <c r="D83" s="681">
        <f>C83*假设!$C$125</f>
        <v>1.1932686067832752</v>
      </c>
      <c r="E83" s="681">
        <f ca="1">假设!$C$126*P48</f>
        <v>4.9949376268246812</v>
      </c>
      <c r="F83" s="681">
        <f t="shared" si="14"/>
        <v>0</v>
      </c>
      <c r="G83" s="681">
        <f t="shared" ca="1" si="14"/>
        <v>9.8587943991991329E-5</v>
      </c>
      <c r="H83" s="681">
        <f t="shared" ca="1" si="22"/>
        <v>6.1883048215519478</v>
      </c>
      <c r="I83" s="1958">
        <f ca="1">J48*假设!$H$116</f>
        <v>0.61247187573239892</v>
      </c>
      <c r="J83" s="1954">
        <f t="shared" ca="1" si="17"/>
        <v>128.07020809229931</v>
      </c>
      <c r="K83" s="707">
        <f t="shared" ca="1" si="18"/>
        <v>29.492138555853796</v>
      </c>
      <c r="L83" s="1954">
        <f ca="1">(AVERAGE(J83,J48)-AVERAGE(K83,K48))*F13</f>
        <v>5.7162891854542117</v>
      </c>
      <c r="M83" s="1954">
        <f t="shared" ca="1" si="19"/>
        <v>78.249952411548605</v>
      </c>
      <c r="N83" s="681">
        <f t="shared" si="15"/>
        <v>4.9237890321675226E-3</v>
      </c>
      <c r="O83" s="707">
        <f t="shared" ca="1" si="20"/>
        <v>49.815331891718536</v>
      </c>
      <c r="P83" s="1954">
        <f t="shared" ca="1" si="21"/>
        <v>6.0217102458952798</v>
      </c>
    </row>
    <row r="84" spans="2:16" s="828" customFormat="1" hidden="1" outlineLevel="2">
      <c r="B84" s="956" t="s">
        <v>1868</v>
      </c>
      <c r="C84" s="681">
        <f t="shared" si="13"/>
        <v>5.123902402850022</v>
      </c>
      <c r="D84" s="681">
        <f>C84*假设!$C$125</f>
        <v>1.0247804805700043</v>
      </c>
      <c r="E84" s="681">
        <f ca="1">假设!$C$126*P49</f>
        <v>4.2896582986736265</v>
      </c>
      <c r="F84" s="681">
        <f t="shared" si="14"/>
        <v>0</v>
      </c>
      <c r="G84" s="681">
        <f t="shared" ca="1" si="14"/>
        <v>8.4667442056381078E-5</v>
      </c>
      <c r="H84" s="681">
        <f t="shared" ca="1" si="22"/>
        <v>5.314523446685687</v>
      </c>
      <c r="I84" s="1958">
        <f ca="1">J49*假设!$H$116</f>
        <v>0.26184303753162536</v>
      </c>
      <c r="J84" s="1954">
        <f t="shared" ca="1" si="17"/>
        <v>57.421287915479134</v>
      </c>
      <c r="K84" s="707">
        <f t="shared" ca="1" si="18"/>
        <v>10.484043018508617</v>
      </c>
      <c r="L84" s="1954">
        <f ca="1">(AVERAGE(J84,J49)-AVERAGE(K84,K49))*F14</f>
        <v>2.7546522977785699</v>
      </c>
      <c r="M84" s="1954">
        <f t="shared" ca="1" si="19"/>
        <v>27.142652743120284</v>
      </c>
      <c r="N84" s="681">
        <f t="shared" si="15"/>
        <v>4.2285558020436409E-3</v>
      </c>
      <c r="O84" s="707">
        <f t="shared" ca="1" si="20"/>
        <v>30.274406616556806</v>
      </c>
      <c r="P84" s="1954">
        <f t="shared" ca="1" si="21"/>
        <v>5.1714518295063661</v>
      </c>
    </row>
    <row r="85" spans="2:16" s="828" customFormat="1" hidden="1" outlineLevel="2">
      <c r="B85" s="956" t="s">
        <v>1869</v>
      </c>
      <c r="C85" s="681">
        <f t="shared" si="13"/>
        <v>2.7322839761707014</v>
      </c>
      <c r="D85" s="681">
        <f>C85*假设!$C$125</f>
        <v>0.54645679523414015</v>
      </c>
      <c r="E85" s="681">
        <f ca="1">假设!$C$126*P50</f>
        <v>2.2874293285122667</v>
      </c>
      <c r="F85" s="681">
        <f t="shared" si="14"/>
        <v>0</v>
      </c>
      <c r="G85" s="681">
        <f t="shared" ca="1" si="14"/>
        <v>4.5148302416013566E-5</v>
      </c>
      <c r="H85" s="681">
        <f t="shared" ca="1" si="22"/>
        <v>2.8339312720488228</v>
      </c>
      <c r="I85" s="1958">
        <f ca="1">J50*假设!$H$116</f>
        <v>0.45585756650667397</v>
      </c>
      <c r="J85" s="1954">
        <f t="shared" ca="1" si="17"/>
        <v>93.549587006876948</v>
      </c>
      <c r="K85" s="707">
        <f t="shared" ca="1" si="18"/>
        <v>31.061663524036916</v>
      </c>
      <c r="L85" s="1954">
        <f ca="1">(AVERAGE(J85,J50)-AVERAGE(K85,K50))*F15</f>
        <v>3.8031023281183001</v>
      </c>
      <c r="M85" s="1954">
        <f t="shared" ca="1" si="19"/>
        <v>65.531846220276464</v>
      </c>
      <c r="N85" s="681">
        <f t="shared" si="15"/>
        <v>2.2548468631723205E-3</v>
      </c>
      <c r="O85" s="707">
        <f t="shared" ca="1" si="20"/>
        <v>28.01548593973731</v>
      </c>
      <c r="P85" s="1954">
        <f t="shared" ca="1" si="21"/>
        <v>2.7576393647622122</v>
      </c>
    </row>
    <row r="86" spans="2:16" s="828" customFormat="1" hidden="1" outlineLevel="2">
      <c r="B86" s="957" t="s">
        <v>1837</v>
      </c>
      <c r="C86" s="681">
        <f t="shared" si="13"/>
        <v>67.960851191188894</v>
      </c>
      <c r="D86" s="681">
        <f>C86*假设!$C$125</f>
        <v>13.592170238237776</v>
      </c>
      <c r="E86" s="681">
        <f ca="1">假设!$C$126*P51</f>
        <v>56.895859127810922</v>
      </c>
      <c r="F86" s="681">
        <f t="shared" si="14"/>
        <v>0</v>
      </c>
      <c r="G86" s="681">
        <f t="shared" ca="1" si="14"/>
        <v>1.1229861496057747E-3</v>
      </c>
      <c r="H86" s="681">
        <f t="shared" ca="1" si="22"/>
        <v>70.489152352198303</v>
      </c>
      <c r="I86" s="1958">
        <f ca="1">J51*假设!$H$116</f>
        <v>7.1639620069812953</v>
      </c>
      <c r="J86" s="1954">
        <f t="shared" ca="1" si="17"/>
        <v>1496.117591741476</v>
      </c>
      <c r="K86" s="707">
        <f t="shared" ca="1" si="18"/>
        <v>326.79106384671445</v>
      </c>
      <c r="L86" s="1959">
        <f ca="1">SUM(L87,L90)</f>
        <v>72.930661189209118</v>
      </c>
      <c r="M86" s="1954">
        <f t="shared" ca="1" si="19"/>
        <v>934.31770008625324</v>
      </c>
      <c r="N86" s="681">
        <f t="shared" si="15"/>
        <v>5.6085426501582381E-2</v>
      </c>
      <c r="O86" s="707">
        <f t="shared" ca="1" si="20"/>
        <v>561.74380622872116</v>
      </c>
      <c r="P86" s="1954">
        <f t="shared" ca="1" si="21"/>
        <v>68.59152274875423</v>
      </c>
    </row>
    <row r="87" spans="2:16" s="828" customFormat="1" hidden="1" outlineLevel="2">
      <c r="B87" s="956" t="s">
        <v>1870</v>
      </c>
      <c r="C87" s="681">
        <f t="shared" si="13"/>
        <v>61.463669140796142</v>
      </c>
      <c r="D87" s="681">
        <f>C87*假设!$C$125</f>
        <v>12.292733828159225</v>
      </c>
      <c r="E87" s="681">
        <f ca="1">假设!$C$126*P52</f>
        <v>51.456510617784971</v>
      </c>
      <c r="F87" s="681">
        <f t="shared" si="14"/>
        <v>0</v>
      </c>
      <c r="G87" s="681">
        <f t="shared" ca="1" si="14"/>
        <v>1.015626613546811E-3</v>
      </c>
      <c r="H87" s="681">
        <f t="shared" ca="1" si="22"/>
        <v>63.750260072557744</v>
      </c>
      <c r="I87" s="1958">
        <f ca="1">J52*假设!$H$116</f>
        <v>4.7404314744112437</v>
      </c>
      <c r="J87" s="1954">
        <f t="shared" ca="1" si="17"/>
        <v>1007.0961234803951</v>
      </c>
      <c r="K87" s="707">
        <f t="shared" ca="1" si="18"/>
        <v>179.65510520353925</v>
      </c>
      <c r="L87" s="1959">
        <f ca="1">SUM(L88:L89)</f>
        <v>50.5713896109865</v>
      </c>
      <c r="M87" s="1954">
        <f t="shared" ca="1" si="19"/>
        <v>608.88767938182082</v>
      </c>
      <c r="N87" s="681">
        <f t="shared" si="15"/>
        <v>5.0723556837390368E-2</v>
      </c>
      <c r="O87" s="707">
        <f t="shared" ca="1" si="20"/>
        <v>398.15772054173692</v>
      </c>
      <c r="P87" s="1954">
        <f t="shared" ca="1" si="21"/>
        <v>62.034047340469606</v>
      </c>
    </row>
    <row r="88" spans="2:16" s="828" customFormat="1" hidden="1" outlineLevel="2">
      <c r="B88" s="956" t="s">
        <v>1871</v>
      </c>
      <c r="C88" s="681">
        <f t="shared" si="13"/>
        <v>47.309291687484262</v>
      </c>
      <c r="D88" s="681">
        <f>C88*假设!$C$125</f>
        <v>9.4618583374968495</v>
      </c>
      <c r="E88" s="681">
        <f ca="1">假设!$C$126*P53</f>
        <v>39.60666689878952</v>
      </c>
      <c r="F88" s="681">
        <f t="shared" si="14"/>
        <v>0</v>
      </c>
      <c r="G88" s="681">
        <f t="shared" ca="1" si="14"/>
        <v>7.8173946296294212E-4</v>
      </c>
      <c r="H88" s="681">
        <f t="shared" ca="1" si="22"/>
        <v>49.069306975749335</v>
      </c>
      <c r="I88" s="1958">
        <f ca="1">J53*假设!$H$116</f>
        <v>2.9018779801213896</v>
      </c>
      <c r="J88" s="1954">
        <f t="shared" ca="1" si="17"/>
        <v>626.54302501990583</v>
      </c>
      <c r="K88" s="707">
        <f t="shared" ca="1" si="18"/>
        <v>82.481731637773223</v>
      </c>
      <c r="L88" s="1954">
        <f t="shared" ref="L88:L104" ca="1" si="23">(AVERAGE(J88,J53)-AVERAGE(K88,K53))*F18</f>
        <v>32.862587153720725</v>
      </c>
      <c r="M88" s="1954">
        <f t="shared" ca="1" si="19"/>
        <v>371.31754837235945</v>
      </c>
      <c r="N88" s="681">
        <f t="shared" si="15"/>
        <v>3.9042503960343693E-2</v>
      </c>
      <c r="O88" s="707">
        <f t="shared" ca="1" si="20"/>
        <v>255.18643414358604</v>
      </c>
      <c r="P88" s="1954">
        <f t="shared" ca="1" si="21"/>
        <v>47.748318335221818</v>
      </c>
    </row>
    <row r="89" spans="2:16" s="828" customFormat="1" hidden="1" outlineLevel="2">
      <c r="B89" s="956" t="s">
        <v>1872</v>
      </c>
      <c r="C89" s="681">
        <f t="shared" si="13"/>
        <v>14.154377453311882</v>
      </c>
      <c r="D89" s="681">
        <f>C89*假设!$C$125</f>
        <v>2.8308754906623759</v>
      </c>
      <c r="E89" s="681">
        <f ca="1">假设!$C$126*P54</f>
        <v>11.849843718995478</v>
      </c>
      <c r="F89" s="681">
        <f t="shared" si="14"/>
        <v>0</v>
      </c>
      <c r="G89" s="681">
        <f t="shared" ca="1" si="14"/>
        <v>2.3388715058386887E-4</v>
      </c>
      <c r="H89" s="681">
        <f t="shared" ca="1" si="22"/>
        <v>14.680953096808437</v>
      </c>
      <c r="I89" s="1958">
        <f ca="1">J54*假设!$H$116</f>
        <v>1.8385534942898543</v>
      </c>
      <c r="J89" s="1954">
        <f t="shared" ca="1" si="17"/>
        <v>380.55309846048942</v>
      </c>
      <c r="K89" s="707">
        <f t="shared" ca="1" si="18"/>
        <v>94.23496760042633</v>
      </c>
      <c r="L89" s="1954">
        <f t="shared" ca="1" si="23"/>
        <v>17.708802457265772</v>
      </c>
      <c r="M89" s="1954">
        <f t="shared" ca="1" si="19"/>
        <v>237.57013100946128</v>
      </c>
      <c r="N89" s="681">
        <f t="shared" si="15"/>
        <v>1.1681052877046679E-2</v>
      </c>
      <c r="O89" s="707">
        <f t="shared" ca="1" si="20"/>
        <v>142.97128639815111</v>
      </c>
      <c r="P89" s="1954">
        <f t="shared" ca="1" si="21"/>
        <v>14.285729005247791</v>
      </c>
    </row>
    <row r="90" spans="2:16" s="828" customFormat="1" hidden="1" outlineLevel="2">
      <c r="B90" s="956" t="s">
        <v>1873</v>
      </c>
      <c r="C90" s="681">
        <f t="shared" si="13"/>
        <v>6.4971820503927553</v>
      </c>
      <c r="D90" s="681">
        <f>C90*假设!$C$125</f>
        <v>1.2994364100785507</v>
      </c>
      <c r="E90" s="681">
        <f ca="1">假设!$C$126*P55</f>
        <v>5.4393485100259404</v>
      </c>
      <c r="F90" s="681">
        <f t="shared" si="14"/>
        <v>0</v>
      </c>
      <c r="G90" s="681">
        <f t="shared" ca="1" si="14"/>
        <v>1.0735953605896372E-4</v>
      </c>
      <c r="H90" s="681">
        <f t="shared" ca="1" si="22"/>
        <v>6.7388922796405497</v>
      </c>
      <c r="I90" s="1958">
        <f ca="1">J55*假设!$H$116</f>
        <v>2.4235305325700516</v>
      </c>
      <c r="J90" s="1954">
        <f t="shared" ca="1" si="17"/>
        <v>489.02146826108083</v>
      </c>
      <c r="K90" s="707">
        <f t="shared" ca="1" si="18"/>
        <v>142.39178123466604</v>
      </c>
      <c r="L90" s="1961">
        <f t="shared" ca="1" si="23"/>
        <v>22.359271578222614</v>
      </c>
      <c r="M90" s="1954">
        <f t="shared" ca="1" si="19"/>
        <v>325.43002070443248</v>
      </c>
      <c r="N90" s="681">
        <f t="shared" si="15"/>
        <v>5.3618696641920104E-3</v>
      </c>
      <c r="O90" s="707">
        <f t="shared" ca="1" si="20"/>
        <v>163.58608568698415</v>
      </c>
      <c r="P90" s="1954">
        <f t="shared" ca="1" si="21"/>
        <v>6.5574754082846303</v>
      </c>
    </row>
    <row r="91" spans="2:16" s="828" customFormat="1" hidden="1" outlineLevel="2">
      <c r="B91" s="956" t="s">
        <v>1871</v>
      </c>
      <c r="C91" s="681">
        <f t="shared" si="13"/>
        <v>4.6394974540286436</v>
      </c>
      <c r="D91" s="681">
        <f>C91*假设!$C$125</f>
        <v>0.92789949080572853</v>
      </c>
      <c r="E91" s="681">
        <f ca="1">假设!$C$126*P56</f>
        <v>3.8841213572450743</v>
      </c>
      <c r="F91" s="681">
        <f t="shared" si="14"/>
        <v>0</v>
      </c>
      <c r="G91" s="681">
        <f t="shared" ca="1" si="14"/>
        <v>7.6663127237007098E-5</v>
      </c>
      <c r="H91" s="681">
        <f t="shared" ca="1" si="22"/>
        <v>4.81209751117804</v>
      </c>
      <c r="I91" s="1958">
        <f ca="1">J56*假设!$H$116</f>
        <v>2.219519892037352</v>
      </c>
      <c r="J91" s="1954">
        <f t="shared" ca="1" si="17"/>
        <v>446.49655602661107</v>
      </c>
      <c r="K91" s="707">
        <f t="shared" ca="1" si="18"/>
        <v>130.42043058181582</v>
      </c>
      <c r="L91" s="1954">
        <f t="shared" ca="1" si="23"/>
        <v>20.322607958228787</v>
      </c>
      <c r="M91" s="1954">
        <f t="shared" ca="1" si="19"/>
        <v>300.36693556693211</v>
      </c>
      <c r="N91" s="681">
        <f t="shared" si="15"/>
        <v>3.828795385893253E-3</v>
      </c>
      <c r="O91" s="707">
        <f t="shared" ca="1" si="20"/>
        <v>146.12579166429308</v>
      </c>
      <c r="P91" s="1954">
        <f t="shared" ca="1" si="21"/>
        <v>4.6825516394069471</v>
      </c>
    </row>
    <row r="92" spans="2:16" s="828" customFormat="1" hidden="1" outlineLevel="2">
      <c r="B92" s="956" t="s">
        <v>1872</v>
      </c>
      <c r="C92" s="681">
        <f t="shared" si="13"/>
        <v>1.8576845963641124</v>
      </c>
      <c r="D92" s="681">
        <f>C92*假设!$C$125</f>
        <v>0.3715369192728224</v>
      </c>
      <c r="E92" s="681">
        <f ca="1">假设!$C$126*P57</f>
        <v>1.5552271527808665</v>
      </c>
      <c r="F92" s="681">
        <f t="shared" si="14"/>
        <v>0</v>
      </c>
      <c r="G92" s="681">
        <f t="shared" ca="1" si="14"/>
        <v>3.069640882195662E-5</v>
      </c>
      <c r="H92" s="681">
        <f t="shared" ca="1" si="22"/>
        <v>1.9267947684625109</v>
      </c>
      <c r="I92" s="1958">
        <f ca="1">J57*假设!$H$116</f>
        <v>0.20401064053269941</v>
      </c>
      <c r="J92" s="1954">
        <f t="shared" ca="1" si="17"/>
        <v>42.524912234469696</v>
      </c>
      <c r="K92" s="707">
        <f t="shared" ca="1" si="18"/>
        <v>11.934904784559865</v>
      </c>
      <c r="L92" s="1954">
        <f t="shared" ca="1" si="23"/>
        <v>2.0428895498228785</v>
      </c>
      <c r="M92" s="1954">
        <f t="shared" ca="1" si="19"/>
        <v>25.069311067329437</v>
      </c>
      <c r="N92" s="681">
        <f t="shared" si="15"/>
        <v>1.5330742782987572E-3</v>
      </c>
      <c r="O92" s="707">
        <f t="shared" ca="1" si="20"/>
        <v>17.454068092861959</v>
      </c>
      <c r="P92" s="1954">
        <f t="shared" ca="1" si="21"/>
        <v>1.874923768877685</v>
      </c>
    </row>
    <row r="93" spans="2:16" s="828" customFormat="1" hidden="1" outlineLevel="2">
      <c r="B93" s="957" t="s">
        <v>1838</v>
      </c>
      <c r="C93" s="681">
        <f t="shared" si="13"/>
        <v>3.2131999725093507</v>
      </c>
      <c r="D93" s="681">
        <f>C93*假设!$C$125</f>
        <v>0.64263999450187004</v>
      </c>
      <c r="E93" s="681">
        <f ca="1">假设!$C$126*P58</f>
        <v>2.6900453684882661</v>
      </c>
      <c r="F93" s="681">
        <f t="shared" si="14"/>
        <v>0</v>
      </c>
      <c r="G93" s="681">
        <f t="shared" ca="1" si="14"/>
        <v>5.309496573093955E-5</v>
      </c>
      <c r="H93" s="681">
        <f t="shared" ca="1" si="22"/>
        <v>3.3327384579558674</v>
      </c>
      <c r="I93" s="1958">
        <f ca="1">J58*假设!$H$116</f>
        <v>0.35328023679234627</v>
      </c>
      <c r="J93" s="1954">
        <f t="shared" ca="1" si="17"/>
        <v>73.635505579632778</v>
      </c>
      <c r="K93" s="707">
        <f t="shared" ca="1" si="18"/>
        <v>19.722895259862792</v>
      </c>
      <c r="L93" s="1954">
        <f t="shared" ca="1" si="23"/>
        <v>4.0959456485228296</v>
      </c>
      <c r="M93" s="1954">
        <f t="shared" ca="1" si="19"/>
        <v>44.347611888708364</v>
      </c>
      <c r="N93" s="681">
        <f t="shared" si="15"/>
        <v>2.6517279836015999E-3</v>
      </c>
      <c r="O93" s="707">
        <f t="shared" ca="1" si="20"/>
        <v>29.285241962940812</v>
      </c>
      <c r="P93" s="1954">
        <f t="shared" ca="1" si="21"/>
        <v>3.2430182251638162</v>
      </c>
    </row>
    <row r="94" spans="2:16" s="828" customFormat="1" hidden="1" outlineLevel="2">
      <c r="B94" s="957" t="s">
        <v>1839</v>
      </c>
      <c r="C94" s="681">
        <f t="shared" si="13"/>
        <v>4.2606921417255856</v>
      </c>
      <c r="D94" s="681">
        <f>C94*假设!$C$125</f>
        <v>0.85213842834511688</v>
      </c>
      <c r="E94" s="681">
        <f ca="1">假设!$C$126*P59</f>
        <v>3.5669909313028008</v>
      </c>
      <c r="F94" s="681">
        <f t="shared" si="14"/>
        <v>0</v>
      </c>
      <c r="G94" s="681">
        <f t="shared" ca="1" si="14"/>
        <v>7.0403742434472797E-5</v>
      </c>
      <c r="H94" s="681">
        <f t="shared" ca="1" si="22"/>
        <v>4.4191997633903517</v>
      </c>
      <c r="I94" s="1958">
        <f ca="1">J59*假设!$H$116</f>
        <v>0.26919365066927298</v>
      </c>
      <c r="J94" s="1954">
        <f t="shared" ca="1" si="17"/>
        <v>57.988736246575669</v>
      </c>
      <c r="K94" s="707">
        <f t="shared" ca="1" si="18"/>
        <v>16.564767215149836</v>
      </c>
      <c r="L94" s="1954">
        <f t="shared" ca="1" si="23"/>
        <v>3.9584100013311274</v>
      </c>
      <c r="M94" s="1954">
        <f t="shared" ca="1" si="19"/>
        <v>31.958811442352566</v>
      </c>
      <c r="N94" s="681">
        <f t="shared" si="15"/>
        <v>3.5161822103782214E-3</v>
      </c>
      <c r="O94" s="707">
        <f t="shared" ca="1" si="20"/>
        <v>26.026408622012724</v>
      </c>
      <c r="P94" s="1954">
        <f t="shared" ca="1" si="21"/>
        <v>4.3002310424637349</v>
      </c>
    </row>
    <row r="95" spans="2:16" s="828" customFormat="1" hidden="1" outlineLevel="2">
      <c r="B95" s="958" t="s">
        <v>1840</v>
      </c>
      <c r="C95" s="681">
        <f t="shared" si="13"/>
        <v>12.617177441168328</v>
      </c>
      <c r="D95" s="681">
        <f>C95*假设!$C$125</f>
        <v>2.5234354882336651</v>
      </c>
      <c r="E95" s="681">
        <f ca="1">假设!$C$126*P60</f>
        <v>10.562921707142747</v>
      </c>
      <c r="F95" s="681">
        <f t="shared" si="14"/>
        <v>0</v>
      </c>
      <c r="G95" s="681">
        <f t="shared" ca="1" si="14"/>
        <v>2.0848643395725237E-4</v>
      </c>
      <c r="H95" s="681">
        <f t="shared" ca="1" si="22"/>
        <v>13.086565681810368</v>
      </c>
      <c r="I95" s="1958">
        <f ca="1">J60*假设!$H$116</f>
        <v>0.86167025384013229</v>
      </c>
      <c r="J95" s="1954">
        <f t="shared" ca="1" si="17"/>
        <v>184.55894619599667</v>
      </c>
      <c r="K95" s="707">
        <f t="shared" ca="1" si="18"/>
        <v>85.910794745804793</v>
      </c>
      <c r="L95" s="1954">
        <f t="shared" ca="1" si="23"/>
        <v>8.0905365052899345</v>
      </c>
      <c r="M95" s="1954">
        <f t="shared" ca="1" si="19"/>
        <v>117.963303463467</v>
      </c>
      <c r="N95" s="681">
        <f t="shared" si="15"/>
        <v>1.0412461963481334E-2</v>
      </c>
      <c r="O95" s="707">
        <f t="shared" ca="1" si="20"/>
        <v>66.585230270566186</v>
      </c>
      <c r="P95" s="1954">
        <f t="shared" ca="1" si="21"/>
        <v>12.734263893286389</v>
      </c>
    </row>
    <row r="96" spans="2:16" s="828" customFormat="1" hidden="1" outlineLevel="2">
      <c r="B96" s="957" t="s">
        <v>1841</v>
      </c>
      <c r="C96" s="681">
        <f t="shared" si="13"/>
        <v>1.0194960407656632</v>
      </c>
      <c r="D96" s="681">
        <f>C96*假设!$C$125</f>
        <v>0.20389920815313262</v>
      </c>
      <c r="E96" s="681">
        <f ca="1">假设!$C$126*P61</f>
        <v>0.85350760180420604</v>
      </c>
      <c r="F96" s="681">
        <f t="shared" si="14"/>
        <v>0</v>
      </c>
      <c r="G96" s="681">
        <f t="shared" ca="1" si="14"/>
        <v>1.6846168246730219E-5</v>
      </c>
      <c r="H96" s="681">
        <f t="shared" ca="1" si="22"/>
        <v>1.0574236561255854</v>
      </c>
      <c r="I96" s="1958">
        <f ca="1">J61*假设!$H$116</f>
        <v>0.12127838733485449</v>
      </c>
      <c r="J96" s="1954">
        <f t="shared" ca="1" si="17"/>
        <v>25.19182273576163</v>
      </c>
      <c r="K96" s="707">
        <f t="shared" ca="1" si="18"/>
        <v>17.194713196004848</v>
      </c>
      <c r="L96" s="1954">
        <f t="shared" ca="1" si="23"/>
        <v>0.68722424909906132</v>
      </c>
      <c r="M96" s="1954">
        <f t="shared" ca="1" si="19"/>
        <v>21.39572042172189</v>
      </c>
      <c r="N96" s="681">
        <f t="shared" si="15"/>
        <v>8.4135011938211361E-4</v>
      </c>
      <c r="O96" s="707">
        <f t="shared" ca="1" si="20"/>
        <v>3.7952609639203572</v>
      </c>
      <c r="P96" s="1954">
        <f t="shared" ca="1" si="21"/>
        <v>1.0289568868953354</v>
      </c>
    </row>
    <row r="97" spans="2:16" s="828" customFormat="1" hidden="1" outlineLevel="2">
      <c r="B97" s="957" t="s">
        <v>1842</v>
      </c>
      <c r="C97" s="681">
        <f t="shared" si="13"/>
        <v>0</v>
      </c>
      <c r="D97" s="681">
        <f>C97*假设!$C$125</f>
        <v>0</v>
      </c>
      <c r="E97" s="681">
        <f ca="1">假设!$C$126*P62</f>
        <v>0</v>
      </c>
      <c r="F97" s="681">
        <f t="shared" si="14"/>
        <v>0</v>
      </c>
      <c r="G97" s="681">
        <f t="shared" ca="1" si="14"/>
        <v>0</v>
      </c>
      <c r="H97" s="681">
        <f t="shared" ca="1" si="22"/>
        <v>0</v>
      </c>
      <c r="I97" s="1958">
        <f ca="1">J62*假设!$H$116</f>
        <v>0</v>
      </c>
      <c r="J97" s="1954">
        <f t="shared" ca="1" si="17"/>
        <v>0</v>
      </c>
      <c r="K97" s="707">
        <f t="shared" ca="1" si="18"/>
        <v>0</v>
      </c>
      <c r="L97" s="1954">
        <f t="shared" ca="1" si="23"/>
        <v>0</v>
      </c>
      <c r="M97" s="1954">
        <f t="shared" ca="1" si="19"/>
        <v>0</v>
      </c>
      <c r="N97" s="681">
        <f t="shared" si="15"/>
        <v>0</v>
      </c>
      <c r="O97" s="707">
        <f t="shared" ca="1" si="20"/>
        <v>0</v>
      </c>
      <c r="P97" s="1954">
        <f t="shared" ca="1" si="21"/>
        <v>0</v>
      </c>
    </row>
    <row r="98" spans="2:16" s="828" customFormat="1" hidden="1" outlineLevel="2">
      <c r="B98" s="957" t="s">
        <v>1843</v>
      </c>
      <c r="C98" s="681">
        <f t="shared" si="13"/>
        <v>0.24913928882426031</v>
      </c>
      <c r="D98" s="681">
        <f>C98*假设!$C$125</f>
        <v>4.9827857764852053E-2</v>
      </c>
      <c r="E98" s="681">
        <f ca="1">假设!$C$126*P63</f>
        <v>0.20857587319309356</v>
      </c>
      <c r="F98" s="681">
        <f t="shared" si="14"/>
        <v>0</v>
      </c>
      <c r="G98" s="681">
        <f t="shared" ca="1" si="14"/>
        <v>4.1167814376720237E-6</v>
      </c>
      <c r="H98" s="681">
        <f t="shared" ca="1" si="22"/>
        <v>0.2584078477393833</v>
      </c>
      <c r="I98" s="1958">
        <f ca="1">J63*假设!$H$116</f>
        <v>2.4548140513070069E-2</v>
      </c>
      <c r="J98" s="1954">
        <f t="shared" ca="1" si="17"/>
        <v>5.1434878098403276</v>
      </c>
      <c r="K98" s="707">
        <f t="shared" ca="1" si="18"/>
        <v>1.5579442186955041</v>
      </c>
      <c r="L98" s="1954">
        <f t="shared" ca="1" si="23"/>
        <v>0.28144422624290222</v>
      </c>
      <c r="M98" s="1954">
        <f t="shared" ca="1" si="19"/>
        <v>3.2303697291359916</v>
      </c>
      <c r="N98" s="681">
        <f t="shared" si="15"/>
        <v>2.0560488909563809E-4</v>
      </c>
      <c r="O98" s="707">
        <f t="shared" ca="1" si="20"/>
        <v>1.9129124758152403</v>
      </c>
      <c r="P98" s="1954">
        <f t="shared" ca="1" si="21"/>
        <v>0.25145128257624394</v>
      </c>
    </row>
    <row r="99" spans="2:16" s="828" customFormat="1" hidden="1" outlineLevel="2">
      <c r="B99" s="957" t="s">
        <v>1844</v>
      </c>
      <c r="C99" s="681">
        <f t="shared" si="13"/>
        <v>1.30767632316291</v>
      </c>
      <c r="D99" s="681">
        <f>C99*假设!$C$125</f>
        <v>0.26153526463258198</v>
      </c>
      <c r="E99" s="681">
        <f ca="1">假设!$C$126*P64</f>
        <v>1.0947680401786495</v>
      </c>
      <c r="F99" s="681">
        <f t="shared" si="14"/>
        <v>0</v>
      </c>
      <c r="G99" s="681">
        <f t="shared" ca="1" si="14"/>
        <v>2.1608063662241827E-5</v>
      </c>
      <c r="H99" s="681">
        <f t="shared" ca="1" si="22"/>
        <v>1.3563249128748935</v>
      </c>
      <c r="I99" s="1958">
        <f ca="1">J64*假设!$H$116</f>
        <v>8.4914810593223963E-2</v>
      </c>
      <c r="J99" s="1954">
        <f t="shared" ca="1" si="17"/>
        <v>18.254372220926463</v>
      </c>
      <c r="K99" s="707">
        <f t="shared" ca="1" si="18"/>
        <v>8.2830327300051358</v>
      </c>
      <c r="L99" s="1954">
        <f t="shared" ca="1" si="23"/>
        <v>0.8727571812611471</v>
      </c>
      <c r="M99" s="1954">
        <f t="shared" ca="1" si="19"/>
        <v>11.994444760621123</v>
      </c>
      <c r="N99" s="681">
        <f t="shared" si="15"/>
        <v>1.079174010111892E-3</v>
      </c>
      <c r="O99" s="707">
        <f t="shared" ca="1" si="20"/>
        <v>6.2588482862952279</v>
      </c>
      <c r="P99" s="1954">
        <f t="shared" ca="1" si="21"/>
        <v>1.3198114605113285</v>
      </c>
    </row>
    <row r="100" spans="2:16" s="828" customFormat="1" hidden="1" outlineLevel="2">
      <c r="B100" s="957" t="s">
        <v>1845</v>
      </c>
      <c r="C100" s="681">
        <f t="shared" si="13"/>
        <v>1.0748941990412695</v>
      </c>
      <c r="D100" s="681">
        <f>C100*假设!$C$125</f>
        <v>0.21497883980825386</v>
      </c>
      <c r="E100" s="681">
        <f ca="1">假设!$C$126*P65</f>
        <v>0.8998861528956571</v>
      </c>
      <c r="F100" s="681">
        <f t="shared" si="14"/>
        <v>0</v>
      </c>
      <c r="G100" s="681">
        <f t="shared" ca="1" si="14"/>
        <v>1.7761568265516916E-5</v>
      </c>
      <c r="H100" s="681">
        <f t="shared" ca="1" si="22"/>
        <v>1.1148827542721764</v>
      </c>
      <c r="I100" s="1958">
        <f ca="1">J65*假设!$H$116</f>
        <v>5.2229704926430441E-2</v>
      </c>
      <c r="J100" s="1954">
        <f t="shared" ca="1" si="17"/>
        <v>11.508594034631834</v>
      </c>
      <c r="K100" s="707">
        <f t="shared" ca="1" si="18"/>
        <v>5.3781854227588086</v>
      </c>
      <c r="L100" s="1954">
        <f t="shared" ca="1" si="23"/>
        <v>0.50253567513087183</v>
      </c>
      <c r="M100" s="1954">
        <f t="shared" ca="1" si="19"/>
        <v>6.4166877306945569</v>
      </c>
      <c r="N100" s="681">
        <f t="shared" si="15"/>
        <v>8.8706804786345026E-4</v>
      </c>
      <c r="O100" s="707">
        <f t="shared" ca="1" si="20"/>
        <v>5.0910192358894131</v>
      </c>
      <c r="P100" s="1954">
        <f t="shared" ca="1" si="21"/>
        <v>1.0848691358886646</v>
      </c>
    </row>
    <row r="101" spans="2:16" s="828" customFormat="1" hidden="1" outlineLevel="2">
      <c r="B101" s="957" t="s">
        <v>1846</v>
      </c>
      <c r="C101" s="681">
        <f t="shared" si="13"/>
        <v>0.14446307637034395</v>
      </c>
      <c r="D101" s="681">
        <f>C101*假设!$C$125</f>
        <v>2.8892615274068782E-2</v>
      </c>
      <c r="E101" s="681">
        <f ca="1">假设!$C$126*P66</f>
        <v>0.12094243521486259</v>
      </c>
      <c r="F101" s="681">
        <f t="shared" si="14"/>
        <v>0</v>
      </c>
      <c r="G101" s="681">
        <f t="shared" ca="1" si="14"/>
        <v>2.3871100942651314E-6</v>
      </c>
      <c r="H101" s="681">
        <f t="shared" ca="1" si="22"/>
        <v>0.14983743759902562</v>
      </c>
      <c r="I101" s="1958">
        <f ca="1">J66*假设!$H$116</f>
        <v>1.997194592826745E-2</v>
      </c>
      <c r="J101" s="1954">
        <f t="shared" ca="1" si="17"/>
        <v>4.1242546773242479</v>
      </c>
      <c r="K101" s="707">
        <f t="shared" ca="1" si="18"/>
        <v>1.3732516819769385</v>
      </c>
      <c r="L101" s="1954">
        <f t="shared" ca="1" si="23"/>
        <v>0.20511961138761639</v>
      </c>
      <c r="M101" s="1954">
        <f t="shared" ca="1" si="19"/>
        <v>3.1875693697037559</v>
      </c>
      <c r="N101" s="681">
        <f t="shared" si="15"/>
        <v>1.1921971414348419E-4</v>
      </c>
      <c r="O101" s="707">
        <f t="shared" ca="1" si="20"/>
        <v>0.93656608790634843</v>
      </c>
      <c r="P101" s="1954">
        <f t="shared" ca="1" si="21"/>
        <v>0.14580368278989658</v>
      </c>
    </row>
    <row r="102" spans="2:16" s="828" customFormat="1" hidden="1" outlineLevel="2">
      <c r="B102" s="957" t="s">
        <v>1847</v>
      </c>
      <c r="C102" s="681">
        <f t="shared" si="13"/>
        <v>15.375945421254999</v>
      </c>
      <c r="D102" s="681">
        <f>C102*假设!$C$125</f>
        <v>3.075189084250999</v>
      </c>
      <c r="E102" s="681">
        <f ca="1">假设!$C$126*P67</f>
        <v>12.87252306748705</v>
      </c>
      <c r="F102" s="681">
        <f t="shared" si="14"/>
        <v>0</v>
      </c>
      <c r="G102" s="681">
        <f t="shared" ca="1" si="14"/>
        <v>2.5407235846101862E-4</v>
      </c>
      <c r="H102" s="681">
        <f t="shared" ca="1" si="22"/>
        <v>15.947966224096509</v>
      </c>
      <c r="I102" s="1958">
        <f ca="1">J67*假设!$H$116</f>
        <v>0.92471503749151407</v>
      </c>
      <c r="J102" s="1954">
        <f t="shared" ca="1" si="17"/>
        <v>199.96625868490781</v>
      </c>
      <c r="K102" s="707">
        <f t="shared" ca="1" si="18"/>
        <v>11.177186322413061</v>
      </c>
      <c r="L102" s="1954">
        <f t="shared" ca="1" si="23"/>
        <v>8.7258086966921855</v>
      </c>
      <c r="M102" s="1954">
        <f t="shared" ca="1" si="19"/>
        <v>83.914205818883602</v>
      </c>
      <c r="N102" s="681">
        <f t="shared" si="15"/>
        <v>1.2689165036943281E-2</v>
      </c>
      <c r="O102" s="707">
        <f t="shared" ca="1" si="20"/>
        <v>116.03936370098727</v>
      </c>
      <c r="P102" s="1954">
        <f t="shared" ca="1" si="21"/>
        <v>15.518633031517297</v>
      </c>
    </row>
    <row r="103" spans="2:16" s="828" customFormat="1" hidden="1" outlineLevel="2">
      <c r="B103" s="957" t="s">
        <v>1848</v>
      </c>
      <c r="C103" s="681">
        <f t="shared" si="13"/>
        <v>20.728844733222765</v>
      </c>
      <c r="D103" s="681">
        <f>C103*假设!$C$125</f>
        <v>4.1457689466445524</v>
      </c>
      <c r="E103" s="681">
        <f ca="1">假设!$C$126*P68</f>
        <v>17.353894325217261</v>
      </c>
      <c r="F103" s="681">
        <f t="shared" si="14"/>
        <v>0</v>
      </c>
      <c r="G103" s="681">
        <f t="shared" ca="1" si="14"/>
        <v>3.4252374896322349E-4</v>
      </c>
      <c r="H103" s="681">
        <f t="shared" ca="1" si="22"/>
        <v>21.500005795610775</v>
      </c>
      <c r="I103" s="1958">
        <f ca="1">J68*假设!$H$116</f>
        <v>1.7529320882572268</v>
      </c>
      <c r="J103" s="1954">
        <f t="shared" ca="1" si="17"/>
        <v>370.33349135879888</v>
      </c>
      <c r="K103" s="707">
        <f t="shared" ca="1" si="18"/>
        <v>101.02402326426562</v>
      </c>
      <c r="L103" s="1954">
        <f t="shared" ca="1" si="23"/>
        <v>21.184881579909433</v>
      </c>
      <c r="M103" s="1954">
        <f t="shared" ca="1" si="19"/>
        <v>229.56826689762786</v>
      </c>
      <c r="N103" s="681">
        <f t="shared" si="15"/>
        <v>1.7106703011668684E-2</v>
      </c>
      <c r="O103" s="707">
        <f t="shared" ca="1" si="20"/>
        <v>140.74811775815934</v>
      </c>
      <c r="P103" s="1954">
        <f t="shared" ca="1" si="21"/>
        <v>20.921206844133565</v>
      </c>
    </row>
    <row r="104" spans="2:16" s="828" customFormat="1" hidden="1" outlineLevel="2">
      <c r="B104" s="957" t="s">
        <v>1849</v>
      </c>
      <c r="C104" s="681">
        <f t="shared" si="13"/>
        <v>0</v>
      </c>
      <c r="D104" s="681">
        <f>C104*假设!$C$125</f>
        <v>0</v>
      </c>
      <c r="E104" s="681">
        <f ca="1">假设!$C$126*P69</f>
        <v>0</v>
      </c>
      <c r="F104" s="681">
        <f t="shared" si="14"/>
        <v>0</v>
      </c>
      <c r="G104" s="681">
        <f t="shared" ca="1" si="14"/>
        <v>0</v>
      </c>
      <c r="H104" s="681">
        <f t="shared" ca="1" si="22"/>
        <v>0</v>
      </c>
      <c r="I104" s="1958">
        <f ca="1">J69*假设!$H$116</f>
        <v>0</v>
      </c>
      <c r="J104" s="1954">
        <f t="shared" ca="1" si="17"/>
        <v>0</v>
      </c>
      <c r="K104" s="707">
        <f t="shared" ca="1" si="18"/>
        <v>0</v>
      </c>
      <c r="L104" s="1954">
        <f t="shared" ca="1" si="23"/>
        <v>0</v>
      </c>
      <c r="M104" s="1954">
        <f t="shared" ca="1" si="19"/>
        <v>0</v>
      </c>
      <c r="N104" s="681">
        <f t="shared" si="15"/>
        <v>0</v>
      </c>
      <c r="O104" s="707">
        <f t="shared" ca="1" si="20"/>
        <v>0</v>
      </c>
      <c r="P104" s="1954">
        <f t="shared" ca="1" si="21"/>
        <v>0</v>
      </c>
    </row>
    <row r="105" spans="2:16" s="827" customFormat="1" collapsed="1">
      <c r="B105" s="2150" t="s">
        <v>1874</v>
      </c>
      <c r="C105" s="728">
        <f>发展投入!H18*假设!H117*(1+假设!H115)</f>
        <v>159.09861744964024</v>
      </c>
      <c r="D105" s="728">
        <f>SUM(D74,D80,D86,D93:D104)</f>
        <v>31.819723489928045</v>
      </c>
      <c r="E105" s="728">
        <f ca="1">SUM(E74,E80,E86,E93:E104)</f>
        <v>133.19510228585557</v>
      </c>
      <c r="F105" s="728">
        <f>假设!$H$118</f>
        <v>0</v>
      </c>
      <c r="G105" s="2151">
        <f ca="1">债务!H38</f>
        <v>2.628947999999999E-3</v>
      </c>
      <c r="H105" s="728">
        <f t="shared" ref="H105:M105" ca="1" si="24">SUM(H74,H80,H86,H93:H104)</f>
        <v>165.0174547237836</v>
      </c>
      <c r="I105" s="728">
        <f t="shared" ca="1" si="24"/>
        <v>15.930415161586954</v>
      </c>
      <c r="J105" s="728">
        <f t="shared" ca="1" si="24"/>
        <v>3335.1700718795864</v>
      </c>
      <c r="K105" s="728">
        <f t="shared" ca="1" si="24"/>
        <v>685.20538528625298</v>
      </c>
      <c r="L105" s="2152">
        <f t="shared" ca="1" si="24"/>
        <v>159.98010170253076</v>
      </c>
      <c r="M105" s="728">
        <f t="shared" ca="1" si="24"/>
        <v>1893.0326647401339</v>
      </c>
      <c r="N105" s="728">
        <f>假设!H120</f>
        <v>0.13129785250000001</v>
      </c>
      <c r="O105" s="728">
        <f ca="1">SUM(O74,O80,O86,O93:O104)</f>
        <v>1442.0061092869532</v>
      </c>
      <c r="P105" s="728">
        <f ca="1">SUM(P74,P80,P86,P93:P104)</f>
        <v>160.57504058317608</v>
      </c>
    </row>
    <row r="106" spans="2:16">
      <c r="E106" s="1889"/>
    </row>
    <row r="107" spans="2:16" s="828" customFormat="1" ht="15" thickBot="1">
      <c r="K107" s="626"/>
    </row>
    <row r="108" spans="2:16" s="828" customFormat="1" ht="28.8">
      <c r="B108" s="961" t="s">
        <v>2232</v>
      </c>
      <c r="C108" s="962" t="s">
        <v>376</v>
      </c>
      <c r="D108" s="962" t="s">
        <v>1878</v>
      </c>
      <c r="E108" s="962" t="s">
        <v>1879</v>
      </c>
      <c r="F108" s="962" t="s">
        <v>1880</v>
      </c>
      <c r="G108" s="962" t="s">
        <v>1881</v>
      </c>
      <c r="H108" s="962" t="s">
        <v>1882</v>
      </c>
      <c r="I108" s="962" t="s">
        <v>379</v>
      </c>
      <c r="J108" s="962" t="s">
        <v>338</v>
      </c>
      <c r="K108" s="962" t="s">
        <v>1073</v>
      </c>
      <c r="L108" s="962" t="s">
        <v>1886</v>
      </c>
      <c r="M108" s="962" t="s">
        <v>1888</v>
      </c>
      <c r="N108" s="962" t="s">
        <v>1889</v>
      </c>
      <c r="O108" s="962" t="s">
        <v>1057</v>
      </c>
      <c r="P108" s="962" t="s">
        <v>1892</v>
      </c>
    </row>
    <row r="109" spans="2:16" s="828" customFormat="1" hidden="1" outlineLevel="1">
      <c r="B109" s="954" t="s">
        <v>1835</v>
      </c>
      <c r="C109" s="681">
        <f t="shared" ref="C109:C139" si="25">C$140*$H4</f>
        <v>18.318757876148535</v>
      </c>
      <c r="D109" s="681">
        <f>C109*假设!$C$125</f>
        <v>3.6637515752297061</v>
      </c>
      <c r="E109" s="681">
        <f ca="1">假设!$C$126*P74</f>
        <v>13.953777028949162</v>
      </c>
      <c r="F109" s="681">
        <f t="shared" ref="F109:G139" si="26">F$140*$H4</f>
        <v>0</v>
      </c>
      <c r="G109" s="681">
        <f t="shared" ca="1" si="26"/>
        <v>2.8556550631618906E-4</v>
      </c>
      <c r="H109" s="681">
        <f ca="1">SUM(D109:G109)</f>
        <v>17.617814169685186</v>
      </c>
      <c r="I109" s="1958">
        <f ca="1">J74*假设!$I$116</f>
        <v>2.7150251760875417</v>
      </c>
      <c r="J109" s="1954">
        <f t="shared" ref="J109:J139" ca="1" si="27">J74+H109-I109</f>
        <v>557.90782421110589</v>
      </c>
      <c r="K109" s="707">
        <f t="shared" ref="K109:K139" ca="1" si="28">IFERROR(K74*(J109/J74)*1.1,0)</f>
        <v>14.741007307925681</v>
      </c>
      <c r="L109" s="1959">
        <f ca="1">SUM(L110:L114)</f>
        <v>23.087790719384092</v>
      </c>
      <c r="M109" s="1954">
        <f ca="1">L109+M74-I109*(1-D4)</f>
        <v>227.2690469892261</v>
      </c>
      <c r="N109" s="681">
        <f t="shared" ref="N109:N139" si="29">H4*$N$140</f>
        <v>1.4262030944465551E-2</v>
      </c>
      <c r="O109" s="707">
        <f ca="1">J109-M109-N109</f>
        <v>330.62451519093531</v>
      </c>
      <c r="P109" s="1954">
        <f ca="1">P74+C109-D109-E109-G109</f>
        <v>18.143164992649808</v>
      </c>
    </row>
    <row r="110" spans="2:16" s="828" customFormat="1" hidden="1" outlineLevel="1">
      <c r="B110" s="955" t="s">
        <v>1865</v>
      </c>
      <c r="C110" s="681">
        <f t="shared" si="25"/>
        <v>0</v>
      </c>
      <c r="D110" s="681">
        <f>C110*假设!$C$125</f>
        <v>0</v>
      </c>
      <c r="E110" s="681">
        <f ca="1">假设!$C$126*P75</f>
        <v>0</v>
      </c>
      <c r="F110" s="681">
        <f t="shared" si="26"/>
        <v>0</v>
      </c>
      <c r="G110" s="681">
        <f t="shared" ca="1" si="26"/>
        <v>0</v>
      </c>
      <c r="H110" s="681">
        <f t="shared" ref="H110" ca="1" si="30">SUM(D110:G110)</f>
        <v>0</v>
      </c>
      <c r="I110" s="1958">
        <f ca="1">J75*假设!$I$116</f>
        <v>0.55468016632832218</v>
      </c>
      <c r="J110" s="1954">
        <f t="shared" ca="1" si="27"/>
        <v>110.38135309933611</v>
      </c>
      <c r="K110" s="707">
        <f t="shared" ca="1" si="28"/>
        <v>0</v>
      </c>
      <c r="L110" s="1954">
        <f ca="1">(AVERAGE(J110,J75)-AVERAGE(K110,K75))*F5</f>
        <v>4.7804555454840116</v>
      </c>
      <c r="M110" s="1954">
        <f t="shared" ref="M110:M139" ca="1" si="31">L110+M75-I110*(1-D5)</f>
        <v>18.610143672854754</v>
      </c>
      <c r="N110" s="681">
        <f t="shared" si="29"/>
        <v>0</v>
      </c>
      <c r="O110" s="707">
        <f t="shared" ref="O110:O139" ca="1" si="32">J110-M110-N110</f>
        <v>91.771209426481363</v>
      </c>
      <c r="P110" s="1954">
        <f t="shared" ref="P110:P139" ca="1" si="33">P75+C110-D110-E110-G110</f>
        <v>0</v>
      </c>
    </row>
    <row r="111" spans="2:16" s="828" customFormat="1" hidden="1" outlineLevel="1">
      <c r="B111" s="955" t="s">
        <v>1866</v>
      </c>
      <c r="C111" s="681">
        <f t="shared" si="25"/>
        <v>4.349191046454874</v>
      </c>
      <c r="D111" s="681">
        <f>C111*假设!$C$125</f>
        <v>0.86983820929097455</v>
      </c>
      <c r="E111" s="681">
        <f ca="1">假设!$C$126*P76</f>
        <v>3.3128688379876552</v>
      </c>
      <c r="F111" s="681">
        <f t="shared" si="26"/>
        <v>0</v>
      </c>
      <c r="G111" s="681">
        <f t="shared" ca="1" si="26"/>
        <v>6.7798207260755871E-5</v>
      </c>
      <c r="H111" s="681">
        <f ca="1">SUM(D111:G111)</f>
        <v>4.1827748454858904</v>
      </c>
      <c r="I111" s="1958">
        <f ca="1">J76*假设!$I$116</f>
        <v>0.32810725396477863</v>
      </c>
      <c r="J111" s="1954">
        <f t="shared" ca="1" si="27"/>
        <v>69.476118384476848</v>
      </c>
      <c r="K111" s="707">
        <f t="shared" ca="1" si="28"/>
        <v>11.567171683629288</v>
      </c>
      <c r="L111" s="1954">
        <f ca="1">(AVERAGE(J111,J76)-AVERAGE(K111,K76))*F6</f>
        <v>2.4196419371307116</v>
      </c>
      <c r="M111" s="1954">
        <f t="shared" ca="1" si="31"/>
        <v>32.448469552805257</v>
      </c>
      <c r="N111" s="681">
        <f t="shared" si="29"/>
        <v>3.3860536673555948E-3</v>
      </c>
      <c r="O111" s="707">
        <f t="shared" ca="1" si="32"/>
        <v>37.024262778004235</v>
      </c>
      <c r="P111" s="1954">
        <f t="shared" ca="1" si="33"/>
        <v>4.3075022484535532</v>
      </c>
    </row>
    <row r="112" spans="2:16" s="828" customFormat="1" hidden="1" outlineLevel="1">
      <c r="B112" s="955" t="s">
        <v>1867</v>
      </c>
      <c r="C112" s="681">
        <f t="shared" si="25"/>
        <v>4.289945953215609</v>
      </c>
      <c r="D112" s="681">
        <f>C112*假设!$C$125</f>
        <v>0.85798919064312162</v>
      </c>
      <c r="E112" s="681">
        <f ca="1">假设!$C$126*P77</f>
        <v>3.2677406242348881</v>
      </c>
      <c r="F112" s="681">
        <f t="shared" si="26"/>
        <v>0</v>
      </c>
      <c r="G112" s="681">
        <f t="shared" ca="1" si="26"/>
        <v>6.6874653646367593E-5</v>
      </c>
      <c r="H112" s="681">
        <f t="shared" ref="H112:H139" ca="1" si="34">SUM(D112:G112)</f>
        <v>4.1257966895316569</v>
      </c>
      <c r="I112" s="1958">
        <f ca="1">J77*假设!$I$116</f>
        <v>0.63701709854687727</v>
      </c>
      <c r="J112" s="1954">
        <f t="shared" ca="1" si="27"/>
        <v>130.89219930036026</v>
      </c>
      <c r="K112" s="707">
        <f t="shared" ca="1" si="28"/>
        <v>0.3570335690889761</v>
      </c>
      <c r="L112" s="1954">
        <f ca="1">(AVERAGE(J112,J77)-AVERAGE(K112,K77))*F7</f>
        <v>5.7321041997830662</v>
      </c>
      <c r="M112" s="1954">
        <f t="shared" ca="1" si="31"/>
        <v>66.378245887894977</v>
      </c>
      <c r="N112" s="681">
        <f t="shared" si="29"/>
        <v>3.3399285229108234E-3</v>
      </c>
      <c r="O112" s="707">
        <f t="shared" ca="1" si="32"/>
        <v>64.510613483942379</v>
      </c>
      <c r="P112" s="1954">
        <f t="shared" ca="1" si="33"/>
        <v>4.2488250439775621</v>
      </c>
    </row>
    <row r="113" spans="2:16" s="828" customFormat="1" hidden="1" outlineLevel="1">
      <c r="B113" s="955" t="s">
        <v>1868</v>
      </c>
      <c r="C113" s="681">
        <f t="shared" si="25"/>
        <v>5.2275223036942826</v>
      </c>
      <c r="D113" s="681">
        <f>C113*假设!$C$125</f>
        <v>1.0455044607388564</v>
      </c>
      <c r="E113" s="681">
        <f ca="1">假设!$C$126*P78</f>
        <v>3.9819119359933861</v>
      </c>
      <c r="F113" s="681">
        <f t="shared" si="26"/>
        <v>0</v>
      </c>
      <c r="G113" s="681">
        <f t="shared" ca="1" si="26"/>
        <v>8.1490244236334954E-5</v>
      </c>
      <c r="H113" s="681">
        <f t="shared" ca="1" si="34"/>
        <v>5.0274978869764784</v>
      </c>
      <c r="I113" s="1958">
        <f ca="1">J78*假设!$I$116</f>
        <v>0.37454876139232296</v>
      </c>
      <c r="J113" s="1954">
        <f t="shared" ca="1" si="27"/>
        <v>79.562701404048752</v>
      </c>
      <c r="K113" s="707">
        <f t="shared" ca="1" si="28"/>
        <v>0.57171341086258298</v>
      </c>
      <c r="L113" s="1954">
        <f ca="1">(AVERAGE(J113,J78)-AVERAGE(K113,K78))*F8</f>
        <v>3.2293098851756241</v>
      </c>
      <c r="M113" s="1954">
        <f t="shared" ca="1" si="31"/>
        <v>27.038296465345621</v>
      </c>
      <c r="N113" s="681">
        <f t="shared" si="29"/>
        <v>4.0698766456891836E-3</v>
      </c>
      <c r="O113" s="707">
        <f t="shared" ca="1" si="32"/>
        <v>52.520335062057441</v>
      </c>
      <c r="P113" s="1954">
        <f t="shared" ca="1" si="33"/>
        <v>5.1774143367095373</v>
      </c>
    </row>
    <row r="114" spans="2:16" s="828" customFormat="1" hidden="1" outlineLevel="1">
      <c r="B114" s="956" t="s">
        <v>1869</v>
      </c>
      <c r="C114" s="681">
        <f t="shared" si="25"/>
        <v>4.4520985727837674</v>
      </c>
      <c r="D114" s="681">
        <f>C114*假设!$C$125</f>
        <v>0.89041971455675328</v>
      </c>
      <c r="E114" s="681">
        <f ca="1">假设!$C$126*P79</f>
        <v>3.3912556307332347</v>
      </c>
      <c r="F114" s="681">
        <f t="shared" si="26"/>
        <v>0</v>
      </c>
      <c r="G114" s="681">
        <f t="shared" ca="1" si="26"/>
        <v>6.9402401172730625E-5</v>
      </c>
      <c r="H114" s="681">
        <f t="shared" ca="1" si="34"/>
        <v>4.2817447476911603</v>
      </c>
      <c r="I114" s="1958">
        <f ca="1">J79*假设!$I$116</f>
        <v>0.82067189585524036</v>
      </c>
      <c r="J114" s="1954">
        <f t="shared" ca="1" si="27"/>
        <v>167.59545202288399</v>
      </c>
      <c r="K114" s="707">
        <f t="shared" ca="1" si="28"/>
        <v>3.4663003049290095</v>
      </c>
      <c r="L114" s="1954">
        <f ca="1">(AVERAGE(J114,J79)-AVERAGE(K114,K79))*F9</f>
        <v>6.9262791518106779</v>
      </c>
      <c r="M114" s="1954">
        <f t="shared" ca="1" si="31"/>
        <v>82.7938914103255</v>
      </c>
      <c r="N114" s="681">
        <f t="shared" si="29"/>
        <v>3.4661721085099497E-3</v>
      </c>
      <c r="O114" s="707">
        <f t="shared" ca="1" si="32"/>
        <v>84.798094440449987</v>
      </c>
      <c r="P114" s="1954">
        <f t="shared" ca="1" si="33"/>
        <v>4.4094233635091502</v>
      </c>
    </row>
    <row r="115" spans="2:16" s="828" customFormat="1" hidden="1" outlineLevel="1">
      <c r="B115" s="954" t="s">
        <v>1836</v>
      </c>
      <c r="C115" s="681">
        <f t="shared" si="25"/>
        <v>14.696254001481698</v>
      </c>
      <c r="D115" s="681">
        <f>C115*假设!$C$125</f>
        <v>2.9392508002963389</v>
      </c>
      <c r="E115" s="681">
        <f ca="1">假设!$C$126*P80</f>
        <v>11.194440850407297</v>
      </c>
      <c r="F115" s="681">
        <f t="shared" si="26"/>
        <v>0</v>
      </c>
      <c r="G115" s="681">
        <f t="shared" ca="1" si="26"/>
        <v>2.2909540282470251E-4</v>
      </c>
      <c r="H115" s="681">
        <f t="shared" ca="1" si="34"/>
        <v>14.13392074610646</v>
      </c>
      <c r="I115" s="1958">
        <f ca="1">J80*假设!$I$116</f>
        <v>1.7267098768810316</v>
      </c>
      <c r="J115" s="1954">
        <f t="shared" ca="1" si="27"/>
        <v>357.74918624543176</v>
      </c>
      <c r="K115" s="707">
        <f t="shared" ca="1" si="28"/>
        <v>87.953371672668908</v>
      </c>
      <c r="L115" s="1959">
        <f ca="1">SUM(L116:L120)</f>
        <v>16.050907169641601</v>
      </c>
      <c r="M115" s="1954">
        <f t="shared" ca="1" si="31"/>
        <v>212.38797573044326</v>
      </c>
      <c r="N115" s="681">
        <f t="shared" si="29"/>
        <v>1.1441738067282384E-2</v>
      </c>
      <c r="O115" s="707">
        <f t="shared" ca="1" si="32"/>
        <v>145.34976877692122</v>
      </c>
      <c r="P115" s="1954">
        <f t="shared" ca="1" si="33"/>
        <v>14.555384318384357</v>
      </c>
    </row>
    <row r="116" spans="2:16" s="828" customFormat="1" hidden="1" outlineLevel="1">
      <c r="B116" s="955" t="s">
        <v>1865</v>
      </c>
      <c r="C116" s="681">
        <f t="shared" si="25"/>
        <v>0</v>
      </c>
      <c r="D116" s="681">
        <f>C116*假设!$C$125</f>
        <v>0</v>
      </c>
      <c r="E116" s="681">
        <f ca="1">假设!$C$126*P81</f>
        <v>0</v>
      </c>
      <c r="F116" s="681">
        <f t="shared" si="26"/>
        <v>0</v>
      </c>
      <c r="G116" s="681">
        <f t="shared" ca="1" si="26"/>
        <v>0</v>
      </c>
      <c r="H116" s="681">
        <f t="shared" ca="1" si="34"/>
        <v>0</v>
      </c>
      <c r="I116" s="1958">
        <f ca="1">J81*假设!$I$116</f>
        <v>0.17675537925759593</v>
      </c>
      <c r="J116" s="1954">
        <f t="shared" ca="1" si="27"/>
        <v>35.174320472261591</v>
      </c>
      <c r="K116" s="707">
        <f t="shared" ca="1" si="28"/>
        <v>0.10751233792793836</v>
      </c>
      <c r="L116" s="1954">
        <f ca="1">(AVERAGE(J116,J81)-AVERAGE(K116,K81))*F11</f>
        <v>2.1342015094812656</v>
      </c>
      <c r="M116" s="1954">
        <f t="shared" ca="1" si="31"/>
        <v>10.391266678344682</v>
      </c>
      <c r="N116" s="681">
        <f t="shared" si="29"/>
        <v>0</v>
      </c>
      <c r="O116" s="707">
        <f t="shared" ca="1" si="32"/>
        <v>24.78305379391691</v>
      </c>
      <c r="P116" s="1954">
        <f t="shared" ca="1" si="33"/>
        <v>0</v>
      </c>
    </row>
    <row r="117" spans="2:16" s="828" customFormat="1" hidden="1" outlineLevel="1">
      <c r="B117" s="955" t="s">
        <v>1866</v>
      </c>
      <c r="C117" s="681">
        <f t="shared" si="25"/>
        <v>4.4372823768370304E-2</v>
      </c>
      <c r="D117" s="681">
        <f>C117*假设!$C$125</f>
        <v>8.8745647536740586E-3</v>
      </c>
      <c r="E117" s="681">
        <f ca="1">假设!$C$126*P82</f>
        <v>3.3799698276206117E-2</v>
      </c>
      <c r="F117" s="681">
        <f t="shared" si="26"/>
        <v>0</v>
      </c>
      <c r="G117" s="681">
        <f t="shared" ca="1" si="26"/>
        <v>6.917143603165417E-7</v>
      </c>
      <c r="H117" s="681">
        <f t="shared" ca="1" si="34"/>
        <v>4.267495474424049E-2</v>
      </c>
      <c r="I117" s="1958">
        <f ca="1">J82*假设!$I$116</f>
        <v>0.15474908255015871</v>
      </c>
      <c r="J117" s="1954">
        <f t="shared" ca="1" si="27"/>
        <v>30.837742382225819</v>
      </c>
      <c r="K117" s="707">
        <f t="shared" ca="1" si="28"/>
        <v>6.9602259601755403</v>
      </c>
      <c r="L117" s="1954">
        <f ca="1">(AVERAGE(J117,J82)-AVERAGE(K117,K82))*F12</f>
        <v>1.456729604710584</v>
      </c>
      <c r="M117" s="1954">
        <f t="shared" ca="1" si="31"/>
        <v>19.937726766023051</v>
      </c>
      <c r="N117" s="681">
        <f t="shared" si="29"/>
        <v>3.4546369898899933E-5</v>
      </c>
      <c r="O117" s="707">
        <f t="shared" ca="1" si="32"/>
        <v>10.899981069832871</v>
      </c>
      <c r="P117" s="1954">
        <f t="shared" ca="1" si="33"/>
        <v>4.3947491869387456E-2</v>
      </c>
    </row>
    <row r="118" spans="2:16" s="828" customFormat="1" hidden="1" outlineLevel="1">
      <c r="B118" s="956" t="s">
        <v>1867</v>
      </c>
      <c r="C118" s="681">
        <f t="shared" si="25"/>
        <v>6.3243236159513598</v>
      </c>
      <c r="D118" s="681">
        <f>C118*假设!$C$125</f>
        <v>1.2648647231902717</v>
      </c>
      <c r="E118" s="681">
        <f ca="1">假设!$C$126*P83</f>
        <v>4.8173681967162238</v>
      </c>
      <c r="F118" s="681">
        <f t="shared" si="26"/>
        <v>0</v>
      </c>
      <c r="G118" s="681">
        <f t="shared" ca="1" si="26"/>
        <v>9.8587943991991329E-5</v>
      </c>
      <c r="H118" s="681">
        <f t="shared" ca="1" si="34"/>
        <v>6.0823315078504869</v>
      </c>
      <c r="I118" s="1958">
        <f ca="1">J83*假设!$I$116</f>
        <v>0.6403510404614966</v>
      </c>
      <c r="J118" s="1954">
        <f t="shared" ca="1" si="27"/>
        <v>133.5121885596883</v>
      </c>
      <c r="K118" s="707">
        <f t="shared" ca="1" si="28"/>
        <v>33.81985572449306</v>
      </c>
      <c r="L118" s="1954">
        <f ca="1">(AVERAGE(J118,J83)-AVERAGE(K118,K83))*F13</f>
        <v>5.7994092693704928</v>
      </c>
      <c r="M118" s="1954">
        <f t="shared" ca="1" si="31"/>
        <v>83.441028192480687</v>
      </c>
      <c r="N118" s="681">
        <f t="shared" si="29"/>
        <v>4.9237890321675226E-3</v>
      </c>
      <c r="O118" s="707">
        <f t="shared" ca="1" si="32"/>
        <v>50.066236578175442</v>
      </c>
      <c r="P118" s="1954">
        <f t="shared" ca="1" si="33"/>
        <v>6.2637023539961518</v>
      </c>
    </row>
    <row r="119" spans="2:16" s="828" customFormat="1" hidden="1" outlineLevel="1">
      <c r="B119" s="956" t="s">
        <v>1868</v>
      </c>
      <c r="C119" s="681">
        <f t="shared" si="25"/>
        <v>5.431336547021024</v>
      </c>
      <c r="D119" s="681">
        <f>C119*假设!$C$125</f>
        <v>1.0862673094042046</v>
      </c>
      <c r="E119" s="681">
        <f ca="1">假设!$C$126*P84</f>
        <v>4.1371614636050928</v>
      </c>
      <c r="F119" s="681">
        <f t="shared" si="26"/>
        <v>0</v>
      </c>
      <c r="G119" s="681">
        <f t="shared" ca="1" si="26"/>
        <v>8.4667442056381078E-5</v>
      </c>
      <c r="H119" s="681">
        <f t="shared" ca="1" si="34"/>
        <v>5.2235134404513541</v>
      </c>
      <c r="I119" s="1958">
        <f ca="1">J84*假设!$I$116</f>
        <v>0.28710643957739568</v>
      </c>
      <c r="J119" s="1954">
        <f t="shared" ca="1" si="27"/>
        <v>62.357694916353097</v>
      </c>
      <c r="K119" s="707">
        <f t="shared" ca="1" si="28"/>
        <v>12.523871507382744</v>
      </c>
      <c r="L119" s="1954">
        <f ca="1">(AVERAGE(J119,J84)-AVERAGE(K119,K84))*F14</f>
        <v>2.9418404765006025</v>
      </c>
      <c r="M119" s="1954">
        <f t="shared" ca="1" si="31"/>
        <v>29.811742102022361</v>
      </c>
      <c r="N119" s="681">
        <f t="shared" si="29"/>
        <v>4.2285558020436409E-3</v>
      </c>
      <c r="O119" s="707">
        <f t="shared" ca="1" si="32"/>
        <v>32.541724258528689</v>
      </c>
      <c r="P119" s="1954">
        <f t="shared" ca="1" si="33"/>
        <v>5.379274936076035</v>
      </c>
    </row>
    <row r="120" spans="2:16" s="828" customFormat="1" hidden="1" outlineLevel="1">
      <c r="B120" s="956" t="s">
        <v>1869</v>
      </c>
      <c r="C120" s="681">
        <f t="shared" si="25"/>
        <v>2.8962210147409437</v>
      </c>
      <c r="D120" s="681">
        <f>C120*假设!$C$125</f>
        <v>0.57924420294818857</v>
      </c>
      <c r="E120" s="681">
        <f ca="1">假设!$C$126*P85</f>
        <v>2.2061114918097697</v>
      </c>
      <c r="F120" s="681">
        <f t="shared" si="26"/>
        <v>0</v>
      </c>
      <c r="G120" s="681">
        <f t="shared" ca="1" si="26"/>
        <v>4.5148302416013566E-5</v>
      </c>
      <c r="H120" s="681">
        <f t="shared" ca="1" si="34"/>
        <v>2.7854008430603745</v>
      </c>
      <c r="I120" s="1958">
        <f ca="1">J85*假设!$I$116</f>
        <v>0.46774793503438472</v>
      </c>
      <c r="J120" s="1954">
        <f t="shared" ca="1" si="27"/>
        <v>95.867239914902939</v>
      </c>
      <c r="K120" s="707">
        <f t="shared" ca="1" si="28"/>
        <v>35.01432394239783</v>
      </c>
      <c r="L120" s="1954">
        <f ca="1">(AVERAGE(J120,J85)-AVERAGE(K120,K85))*F15</f>
        <v>3.7187263095786558</v>
      </c>
      <c r="M120" s="1954">
        <f t="shared" ca="1" si="31"/>
        <v>68.806211991572454</v>
      </c>
      <c r="N120" s="681">
        <f t="shared" si="29"/>
        <v>2.2548468631723205E-3</v>
      </c>
      <c r="O120" s="707">
        <f t="shared" ca="1" si="32"/>
        <v>27.058773076467311</v>
      </c>
      <c r="P120" s="1954">
        <f t="shared" ca="1" si="33"/>
        <v>2.868459536442781</v>
      </c>
    </row>
    <row r="121" spans="2:16" s="828" customFormat="1" hidden="1" outlineLevel="1">
      <c r="B121" s="957" t="s">
        <v>1837</v>
      </c>
      <c r="C121" s="681">
        <f t="shared" si="25"/>
        <v>72.038502262660231</v>
      </c>
      <c r="D121" s="681">
        <f>C121*假设!$C$125</f>
        <v>14.407700452532042</v>
      </c>
      <c r="E121" s="681">
        <f ca="1">假设!$C$126*P86</f>
        <v>54.873218199003389</v>
      </c>
      <c r="F121" s="681">
        <f t="shared" si="26"/>
        <v>0</v>
      </c>
      <c r="G121" s="681">
        <f t="shared" ca="1" si="26"/>
        <v>1.1229861496057747E-3</v>
      </c>
      <c r="H121" s="681">
        <f t="shared" ca="1" si="34"/>
        <v>69.28204163768504</v>
      </c>
      <c r="I121" s="1958">
        <f ca="1">J86*假设!$I$116</f>
        <v>7.48058795870738</v>
      </c>
      <c r="J121" s="1954">
        <f t="shared" ca="1" si="27"/>
        <v>1557.9190454204536</v>
      </c>
      <c r="K121" s="707">
        <f t="shared" ca="1" si="28"/>
        <v>374.31912274498484</v>
      </c>
      <c r="L121" s="1959">
        <f ca="1">SUM(L122,L125)</f>
        <v>74.278524804829232</v>
      </c>
      <c r="M121" s="1954">
        <f t="shared" ca="1" si="31"/>
        <v>1001.4896663303105</v>
      </c>
      <c r="N121" s="681">
        <f t="shared" si="29"/>
        <v>5.6085426501582381E-2</v>
      </c>
      <c r="O121" s="707">
        <f t="shared" ca="1" si="32"/>
        <v>556.37329366364156</v>
      </c>
      <c r="P121" s="1954">
        <f t="shared" ca="1" si="33"/>
        <v>71.34798337372942</v>
      </c>
    </row>
    <row r="122" spans="2:16" s="828" customFormat="1" hidden="1" outlineLevel="1">
      <c r="B122" s="956" t="s">
        <v>1870</v>
      </c>
      <c r="C122" s="681">
        <f t="shared" si="25"/>
        <v>65.151489289243912</v>
      </c>
      <c r="D122" s="681">
        <f>C122*假设!$C$125</f>
        <v>13.03029785784878</v>
      </c>
      <c r="E122" s="681">
        <f ca="1">假设!$C$126*P87</f>
        <v>49.627237872375687</v>
      </c>
      <c r="F122" s="681">
        <f t="shared" si="26"/>
        <v>0</v>
      </c>
      <c r="G122" s="681">
        <f t="shared" ca="1" si="26"/>
        <v>1.015626613546811E-3</v>
      </c>
      <c r="H122" s="681">
        <f t="shared" ca="1" si="34"/>
        <v>62.658551356838011</v>
      </c>
      <c r="I122" s="1958">
        <f ca="1">J87*假设!$I$116</f>
        <v>5.0354806174019755</v>
      </c>
      <c r="J122" s="1954">
        <f t="shared" ca="1" si="27"/>
        <v>1064.719194219831</v>
      </c>
      <c r="K122" s="707">
        <f t="shared" ca="1" si="28"/>
        <v>208.92788466667793</v>
      </c>
      <c r="L122" s="1959">
        <f ca="1">SUM(L123:L124)</f>
        <v>52.581564241786708</v>
      </c>
      <c r="M122" s="1954">
        <f t="shared" ca="1" si="31"/>
        <v>656.68553703707573</v>
      </c>
      <c r="N122" s="681">
        <f t="shared" si="29"/>
        <v>5.0723556837390368E-2</v>
      </c>
      <c r="O122" s="707">
        <f t="shared" ca="1" si="32"/>
        <v>407.98293362591789</v>
      </c>
      <c r="P122" s="1954">
        <f t="shared" ca="1" si="33"/>
        <v>64.526985272875493</v>
      </c>
    </row>
    <row r="123" spans="2:16" s="828" customFormat="1" hidden="1" outlineLevel="1">
      <c r="B123" s="956" t="s">
        <v>1871</v>
      </c>
      <c r="C123" s="681">
        <f t="shared" si="25"/>
        <v>50.147849188733318</v>
      </c>
      <c r="D123" s="681">
        <f>C123*假设!$C$125</f>
        <v>10.029569837746662</v>
      </c>
      <c r="E123" s="681">
        <f ca="1">假设!$C$126*P88</f>
        <v>38.198654668177454</v>
      </c>
      <c r="F123" s="681">
        <f t="shared" si="26"/>
        <v>0</v>
      </c>
      <c r="G123" s="681">
        <f t="shared" ca="1" si="26"/>
        <v>7.8173946296294212E-4</v>
      </c>
      <c r="H123" s="681">
        <f t="shared" ca="1" si="34"/>
        <v>48.229006245387083</v>
      </c>
      <c r="I123" s="1958">
        <f ca="1">J88*假设!$I$116</f>
        <v>3.1327151250995291</v>
      </c>
      <c r="J123" s="1954">
        <f t="shared" ca="1" si="27"/>
        <v>671.63931614019339</v>
      </c>
      <c r="K123" s="707">
        <f t="shared" ca="1" si="28"/>
        <v>97.260313786818088</v>
      </c>
      <c r="L123" s="1954">
        <f ca="1">(AVERAGE(J123,J88)-AVERAGE(K123,K88))*F18</f>
        <v>34.839415212161072</v>
      </c>
      <c r="M123" s="1954">
        <f t="shared" ca="1" si="31"/>
        <v>403.18088421567597</v>
      </c>
      <c r="N123" s="681">
        <f t="shared" si="29"/>
        <v>3.9042503960343693E-2</v>
      </c>
      <c r="O123" s="707">
        <f t="shared" ca="1" si="32"/>
        <v>268.41938942055708</v>
      </c>
      <c r="P123" s="1954">
        <f t="shared" ca="1" si="33"/>
        <v>49.667161278568059</v>
      </c>
    </row>
    <row r="124" spans="2:16" s="828" customFormat="1" hidden="1" outlineLevel="1">
      <c r="B124" s="956" t="s">
        <v>1872</v>
      </c>
      <c r="C124" s="681">
        <f t="shared" si="25"/>
        <v>15.003640100510596</v>
      </c>
      <c r="D124" s="681">
        <f>C124*假设!$C$125</f>
        <v>3.0007280201021187</v>
      </c>
      <c r="E124" s="681">
        <f ca="1">假设!$C$126*P89</f>
        <v>11.428583204198233</v>
      </c>
      <c r="F124" s="681">
        <f t="shared" si="26"/>
        <v>0</v>
      </c>
      <c r="G124" s="681">
        <f t="shared" ca="1" si="26"/>
        <v>2.3388715058386887E-4</v>
      </c>
      <c r="H124" s="681">
        <f t="shared" ca="1" si="34"/>
        <v>14.429545111450937</v>
      </c>
      <c r="I124" s="1958">
        <f ca="1">J89*假设!$I$116</f>
        <v>1.9027654923024471</v>
      </c>
      <c r="J124" s="1954">
        <f t="shared" ca="1" si="27"/>
        <v>393.07987807963792</v>
      </c>
      <c r="K124" s="707">
        <f t="shared" ca="1" si="28"/>
        <v>107.07062088726117</v>
      </c>
      <c r="L124" s="1954">
        <f ca="1">(AVERAGE(J124,J89)-AVERAGE(K124,K89))*F19</f>
        <v>17.742149029625637</v>
      </c>
      <c r="M124" s="1954">
        <f t="shared" ca="1" si="31"/>
        <v>253.50465282139959</v>
      </c>
      <c r="N124" s="681">
        <f t="shared" si="29"/>
        <v>1.1681052877046679E-2</v>
      </c>
      <c r="O124" s="707">
        <f t="shared" ca="1" si="32"/>
        <v>139.5635442053613</v>
      </c>
      <c r="P124" s="1954">
        <f t="shared" ca="1" si="33"/>
        <v>14.859823994307453</v>
      </c>
    </row>
    <row r="125" spans="2:16" s="828" customFormat="1" hidden="1" outlineLevel="1">
      <c r="B125" s="956" t="s">
        <v>1873</v>
      </c>
      <c r="C125" s="681">
        <f t="shared" si="25"/>
        <v>6.8870129734163212</v>
      </c>
      <c r="D125" s="681">
        <f>C125*假设!$C$125</f>
        <v>1.377402594683264</v>
      </c>
      <c r="E125" s="681">
        <f ca="1">假设!$C$126*P90</f>
        <v>5.2459803266277047</v>
      </c>
      <c r="F125" s="681">
        <f t="shared" si="26"/>
        <v>0</v>
      </c>
      <c r="G125" s="681">
        <f t="shared" ca="1" si="26"/>
        <v>1.0735953605896372E-4</v>
      </c>
      <c r="H125" s="681">
        <f t="shared" ca="1" si="34"/>
        <v>6.6234902808470268</v>
      </c>
      <c r="I125" s="1958">
        <f ca="1">J90*假设!$I$116</f>
        <v>2.4451073413054041</v>
      </c>
      <c r="J125" s="1954">
        <f t="shared" ca="1" si="27"/>
        <v>493.19985120062245</v>
      </c>
      <c r="K125" s="707">
        <f t="shared" ca="1" si="28"/>
        <v>157.969273053671</v>
      </c>
      <c r="L125" s="1959">
        <f ca="1">SUM(L126:L127)</f>
        <v>21.696960563042531</v>
      </c>
      <c r="M125" s="1954">
        <f t="shared" ca="1" si="31"/>
        <v>344.80412929323489</v>
      </c>
      <c r="N125" s="681">
        <f t="shared" si="29"/>
        <v>5.3618696641920104E-3</v>
      </c>
      <c r="O125" s="707">
        <f t="shared" ca="1" si="32"/>
        <v>148.39036003772335</v>
      </c>
      <c r="P125" s="1954">
        <f t="shared" ca="1" si="33"/>
        <v>6.8209981008539238</v>
      </c>
    </row>
    <row r="126" spans="2:16" s="828" customFormat="1" hidden="1" outlineLevel="1">
      <c r="B126" s="956" t="s">
        <v>1871</v>
      </c>
      <c r="C126" s="681">
        <f t="shared" si="25"/>
        <v>4.9178673012703618</v>
      </c>
      <c r="D126" s="681">
        <f>C126*假设!$C$125</f>
        <v>0.98357346025407211</v>
      </c>
      <c r="E126" s="681">
        <f ca="1">假设!$C$126*P91</f>
        <v>3.7460413115255577</v>
      </c>
      <c r="F126" s="681">
        <f t="shared" si="26"/>
        <v>0</v>
      </c>
      <c r="G126" s="681">
        <f t="shared" ca="1" si="26"/>
        <v>7.6663127237007098E-5</v>
      </c>
      <c r="H126" s="681">
        <f t="shared" ca="1" si="34"/>
        <v>4.7296914349068668</v>
      </c>
      <c r="I126" s="1958">
        <f ca="1">J91*假设!$I$116</f>
        <v>2.2324827801330556</v>
      </c>
      <c r="J126" s="1954">
        <f t="shared" ca="1" si="27"/>
        <v>448.99376468138485</v>
      </c>
      <c r="K126" s="707">
        <f t="shared" ca="1" si="28"/>
        <v>144.26484428759477</v>
      </c>
      <c r="L126" s="1954">
        <f t="shared" ref="L126:L139" ca="1" si="35">(AVERAGE(J126,J91)-AVERAGE(K126,K91))*F21</f>
        <v>19.648479700791224</v>
      </c>
      <c r="M126" s="1954">
        <f t="shared" ca="1" si="31"/>
        <v>317.89455662659691</v>
      </c>
      <c r="N126" s="681">
        <f t="shared" si="29"/>
        <v>3.828795385893253E-3</v>
      </c>
      <c r="O126" s="707">
        <f t="shared" ca="1" si="32"/>
        <v>131.09537925940205</v>
      </c>
      <c r="P126" s="1954">
        <f t="shared" ca="1" si="33"/>
        <v>4.8707275057704411</v>
      </c>
    </row>
    <row r="127" spans="2:16" s="828" customFormat="1" hidden="1" outlineLevel="1">
      <c r="B127" s="956" t="s">
        <v>1872</v>
      </c>
      <c r="C127" s="681">
        <f t="shared" si="25"/>
        <v>1.9691456721459593</v>
      </c>
      <c r="D127" s="681">
        <f>C127*假设!$C$125</f>
        <v>0.39382913442919176</v>
      </c>
      <c r="E127" s="681">
        <f ca="1">假设!$C$126*P92</f>
        <v>1.4999390151021481</v>
      </c>
      <c r="F127" s="681">
        <f t="shared" si="26"/>
        <v>0</v>
      </c>
      <c r="G127" s="681">
        <f t="shared" ca="1" si="26"/>
        <v>3.069640882195662E-5</v>
      </c>
      <c r="H127" s="681">
        <f t="shared" ca="1" si="34"/>
        <v>1.8937988459401618</v>
      </c>
      <c r="I127" s="1958">
        <f ca="1">J92*假设!$I$116</f>
        <v>0.21262456117234849</v>
      </c>
      <c r="J127" s="1954">
        <f t="shared" ca="1" si="27"/>
        <v>44.206086519237509</v>
      </c>
      <c r="K127" s="707">
        <f t="shared" ca="1" si="28"/>
        <v>13.64741151388443</v>
      </c>
      <c r="L127" s="1954">
        <f t="shared" ca="1" si="35"/>
        <v>2.0484808622513078</v>
      </c>
      <c r="M127" s="1954">
        <f t="shared" ca="1" si="31"/>
        <v>26.915798596467013</v>
      </c>
      <c r="N127" s="681">
        <f t="shared" si="29"/>
        <v>1.5330742782987572E-3</v>
      </c>
      <c r="O127" s="707">
        <f t="shared" ca="1" si="32"/>
        <v>17.288754848492196</v>
      </c>
      <c r="P127" s="1954">
        <f t="shared" ca="1" si="33"/>
        <v>1.9502705950834829</v>
      </c>
    </row>
    <row r="128" spans="2:16" s="828" customFormat="1" hidden="1" outlineLevel="1">
      <c r="B128" s="957" t="s">
        <v>1838</v>
      </c>
      <c r="C128" s="681">
        <f t="shared" si="25"/>
        <v>3.4059919708599118</v>
      </c>
      <c r="D128" s="681">
        <f>C128*假设!$C$125</f>
        <v>0.68119839417198225</v>
      </c>
      <c r="E128" s="681">
        <f ca="1">假设!$C$126*P93</f>
        <v>2.594414580131053</v>
      </c>
      <c r="F128" s="681">
        <f t="shared" si="26"/>
        <v>0</v>
      </c>
      <c r="G128" s="681">
        <f t="shared" ca="1" si="26"/>
        <v>5.309496573093955E-5</v>
      </c>
      <c r="H128" s="681">
        <f t="shared" ca="1" si="34"/>
        <v>3.2756660692687665</v>
      </c>
      <c r="I128" s="1958">
        <f ca="1">J93*假设!$I$116</f>
        <v>0.36817752789816388</v>
      </c>
      <c r="J128" s="1954">
        <f t="shared" ca="1" si="27"/>
        <v>76.542994121003375</v>
      </c>
      <c r="K128" s="707">
        <f t="shared" ca="1" si="28"/>
        <v>22.551816388650494</v>
      </c>
      <c r="L128" s="1954">
        <f t="shared" ca="1" si="35"/>
        <v>4.1165295141884881</v>
      </c>
      <c r="M128" s="1954">
        <f t="shared" ca="1" si="31"/>
        <v>48.114372751393596</v>
      </c>
      <c r="N128" s="681">
        <f t="shared" si="29"/>
        <v>2.6517279836015999E-3</v>
      </c>
      <c r="O128" s="707">
        <f t="shared" ca="1" si="32"/>
        <v>28.425969641626178</v>
      </c>
      <c r="P128" s="1954">
        <f t="shared" ca="1" si="33"/>
        <v>3.3733441267549611</v>
      </c>
    </row>
    <row r="129" spans="2:16" s="828" customFormat="1" hidden="1" outlineLevel="1">
      <c r="B129" s="957" t="s">
        <v>1839</v>
      </c>
      <c r="C129" s="681">
        <f t="shared" si="25"/>
        <v>4.5163336702291215</v>
      </c>
      <c r="D129" s="681">
        <f>C129*假设!$C$125</f>
        <v>0.90326673404582414</v>
      </c>
      <c r="E129" s="681">
        <f ca="1">假设!$C$126*P94</f>
        <v>3.4401848339709882</v>
      </c>
      <c r="F129" s="681">
        <f t="shared" si="26"/>
        <v>0</v>
      </c>
      <c r="G129" s="681">
        <f t="shared" ca="1" si="26"/>
        <v>7.0403742434472797E-5</v>
      </c>
      <c r="H129" s="681">
        <f t="shared" ca="1" si="34"/>
        <v>4.3435219717592464</v>
      </c>
      <c r="I129" s="1958">
        <f ca="1">J94*假设!$I$116</f>
        <v>0.28994368123287834</v>
      </c>
      <c r="J129" s="1954">
        <f t="shared" ca="1" si="27"/>
        <v>62.042314537102037</v>
      </c>
      <c r="K129" s="707">
        <f t="shared" ca="1" si="28"/>
        <v>19.494960931185656</v>
      </c>
      <c r="L129" s="1954">
        <f t="shared" ca="1" si="35"/>
        <v>4.0894034124385659</v>
      </c>
      <c r="M129" s="1954">
        <f t="shared" ca="1" si="31"/>
        <v>35.772768357619903</v>
      </c>
      <c r="N129" s="681">
        <f t="shared" si="29"/>
        <v>3.5161822103782214E-3</v>
      </c>
      <c r="O129" s="707">
        <f t="shared" ca="1" si="32"/>
        <v>26.266029997271755</v>
      </c>
      <c r="P129" s="1954">
        <f t="shared" ca="1" si="33"/>
        <v>4.4730427409336091</v>
      </c>
    </row>
    <row r="130" spans="2:16" s="828" customFormat="1" hidden="1" outlineLevel="1">
      <c r="B130" s="958" t="s">
        <v>1840</v>
      </c>
      <c r="C130" s="681">
        <f t="shared" si="25"/>
        <v>13.374208087638428</v>
      </c>
      <c r="D130" s="681">
        <f>C130*假设!$C$125</f>
        <v>2.6748416175276848</v>
      </c>
      <c r="E130" s="681">
        <f ca="1">假设!$C$126*P95</f>
        <v>10.187411114629112</v>
      </c>
      <c r="F130" s="681">
        <f t="shared" si="26"/>
        <v>0</v>
      </c>
      <c r="G130" s="681">
        <f t="shared" ca="1" si="26"/>
        <v>2.0848643395725237E-4</v>
      </c>
      <c r="H130" s="681">
        <f t="shared" ca="1" si="34"/>
        <v>12.862461218590754</v>
      </c>
      <c r="I130" s="1958">
        <f ca="1">J95*假设!$I$116</f>
        <v>0.92279473097998332</v>
      </c>
      <c r="J130" s="1954">
        <f t="shared" ca="1" si="27"/>
        <v>196.49861268360746</v>
      </c>
      <c r="K130" s="707">
        <f t="shared" ca="1" si="28"/>
        <v>100.6154811947516</v>
      </c>
      <c r="L130" s="1954">
        <f t="shared" ca="1" si="35"/>
        <v>7.9466029080601013</v>
      </c>
      <c r="M130" s="1954">
        <f t="shared" ca="1" si="31"/>
        <v>125.03325137709612</v>
      </c>
      <c r="N130" s="681">
        <f t="shared" si="29"/>
        <v>1.0412461963481334E-2</v>
      </c>
      <c r="O130" s="707">
        <f t="shared" ca="1" si="32"/>
        <v>71.454948844547857</v>
      </c>
      <c r="P130" s="1954">
        <f t="shared" ca="1" si="33"/>
        <v>13.246010762334066</v>
      </c>
    </row>
    <row r="131" spans="2:16" s="828" customFormat="1" hidden="1" outlineLevel="1">
      <c r="B131" s="957" t="s">
        <v>1841</v>
      </c>
      <c r="C131" s="681">
        <f t="shared" si="25"/>
        <v>1.080665803211603</v>
      </c>
      <c r="D131" s="681">
        <f>C131*假设!$C$125</f>
        <v>0.21613316064232055</v>
      </c>
      <c r="E131" s="681">
        <f ca="1">假设!$C$126*P96</f>
        <v>0.82316550951626832</v>
      </c>
      <c r="F131" s="681">
        <f t="shared" si="26"/>
        <v>0</v>
      </c>
      <c r="G131" s="681">
        <f t="shared" ca="1" si="26"/>
        <v>1.6846168246730219E-5</v>
      </c>
      <c r="H131" s="681">
        <f t="shared" ca="1" si="34"/>
        <v>1.0393155163268357</v>
      </c>
      <c r="I131" s="1958">
        <f ca="1">J96*假设!$I$116</f>
        <v>0.12595911367880816</v>
      </c>
      <c r="J131" s="1954">
        <f t="shared" ca="1" si="27"/>
        <v>26.105179138409657</v>
      </c>
      <c r="K131" s="707">
        <f t="shared" ca="1" si="28"/>
        <v>19.599938448911264</v>
      </c>
      <c r="L131" s="1954">
        <f t="shared" ca="1" si="35"/>
        <v>0.57936889165874406</v>
      </c>
      <c r="M131" s="1954">
        <f t="shared" ca="1" si="31"/>
        <v>21.855428155385766</v>
      </c>
      <c r="N131" s="681">
        <f t="shared" si="29"/>
        <v>8.4135011938211361E-4</v>
      </c>
      <c r="O131" s="707">
        <f t="shared" ca="1" si="32"/>
        <v>4.2489096329045086</v>
      </c>
      <c r="P131" s="1954">
        <f t="shared" ca="1" si="33"/>
        <v>1.0703071737801031</v>
      </c>
    </row>
    <row r="132" spans="2:16" s="828" customFormat="1" hidden="1" outlineLevel="1">
      <c r="B132" s="957" t="s">
        <v>1842</v>
      </c>
      <c r="C132" s="681">
        <f t="shared" si="25"/>
        <v>0</v>
      </c>
      <c r="D132" s="681">
        <f>C132*假设!$C$125</f>
        <v>0</v>
      </c>
      <c r="E132" s="681">
        <f ca="1">假设!$C$126*P97</f>
        <v>0</v>
      </c>
      <c r="F132" s="681">
        <f t="shared" si="26"/>
        <v>0</v>
      </c>
      <c r="G132" s="681">
        <f t="shared" ca="1" si="26"/>
        <v>0</v>
      </c>
      <c r="H132" s="681">
        <f t="shared" ca="1" si="34"/>
        <v>0</v>
      </c>
      <c r="I132" s="1958">
        <f ca="1">J97*假设!$I$116</f>
        <v>0</v>
      </c>
      <c r="J132" s="1954">
        <f t="shared" ca="1" si="27"/>
        <v>0</v>
      </c>
      <c r="K132" s="707">
        <f t="shared" ca="1" si="28"/>
        <v>0</v>
      </c>
      <c r="L132" s="1954">
        <f t="shared" ca="1" si="35"/>
        <v>0</v>
      </c>
      <c r="M132" s="1954">
        <f t="shared" ca="1" si="31"/>
        <v>0</v>
      </c>
      <c r="N132" s="681">
        <f t="shared" si="29"/>
        <v>0</v>
      </c>
      <c r="O132" s="707">
        <f t="shared" ca="1" si="32"/>
        <v>0</v>
      </c>
      <c r="P132" s="1954">
        <f t="shared" ca="1" si="33"/>
        <v>0</v>
      </c>
    </row>
    <row r="133" spans="2:16" s="828" customFormat="1" hidden="1" outlineLevel="1">
      <c r="B133" s="957" t="s">
        <v>1843</v>
      </c>
      <c r="C133" s="681">
        <f t="shared" si="25"/>
        <v>0.26408764615371594</v>
      </c>
      <c r="D133" s="681">
        <f>C133*假设!$C$125</f>
        <v>5.2817529230743177E-2</v>
      </c>
      <c r="E133" s="681">
        <f ca="1">假设!$C$126*P98</f>
        <v>0.20116102606099517</v>
      </c>
      <c r="F133" s="681">
        <f t="shared" si="26"/>
        <v>0</v>
      </c>
      <c r="G133" s="681">
        <f t="shared" ca="1" si="26"/>
        <v>4.1167814376720237E-6</v>
      </c>
      <c r="H133" s="681">
        <f t="shared" ca="1" si="34"/>
        <v>0.25398267207317604</v>
      </c>
      <c r="I133" s="1958">
        <f ca="1">J98*假设!$I$116</f>
        <v>2.5717439049201637E-2</v>
      </c>
      <c r="J133" s="1954">
        <f t="shared" ca="1" si="27"/>
        <v>5.3717530428643023</v>
      </c>
      <c r="K133" s="707">
        <f t="shared" ca="1" si="28"/>
        <v>1.7897934431801921</v>
      </c>
      <c r="L133" s="1954">
        <f t="shared" ca="1" si="35"/>
        <v>0.28239962571865995</v>
      </c>
      <c r="M133" s="1954">
        <f t="shared" ca="1" si="31"/>
        <v>3.48833778775791</v>
      </c>
      <c r="N133" s="681">
        <f t="shared" si="29"/>
        <v>2.0560488909563809E-4</v>
      </c>
      <c r="O133" s="707">
        <f t="shared" ca="1" si="32"/>
        <v>1.8832096502172966</v>
      </c>
      <c r="P133" s="1954">
        <f t="shared" ca="1" si="33"/>
        <v>0.26155625665678384</v>
      </c>
    </row>
    <row r="134" spans="2:16" s="828" customFormat="1" hidden="1" outlineLevel="1">
      <c r="B134" s="957" t="s">
        <v>1844</v>
      </c>
      <c r="C134" s="681">
        <f t="shared" si="25"/>
        <v>1.3861369025526846</v>
      </c>
      <c r="D134" s="681">
        <f>C134*假设!$C$125</f>
        <v>0.27722738051053686</v>
      </c>
      <c r="E134" s="681">
        <f ca="1">假设!$C$126*P99</f>
        <v>1.0558491684090627</v>
      </c>
      <c r="F134" s="681">
        <f t="shared" si="26"/>
        <v>0</v>
      </c>
      <c r="G134" s="681">
        <f t="shared" ca="1" si="26"/>
        <v>2.1608063662241827E-5</v>
      </c>
      <c r="H134" s="681">
        <f t="shared" ca="1" si="34"/>
        <v>1.3330981569832618</v>
      </c>
      <c r="I134" s="1958">
        <f ca="1">J99*假设!$I$116</f>
        <v>9.1271861104632313E-2</v>
      </c>
      <c r="J134" s="1954">
        <f t="shared" ca="1" si="27"/>
        <v>19.496198516805091</v>
      </c>
      <c r="K134" s="707">
        <f t="shared" ca="1" si="28"/>
        <v>9.7311708843250493</v>
      </c>
      <c r="L134" s="1954">
        <f t="shared" ca="1" si="35"/>
        <v>0.86346606164880979</v>
      </c>
      <c r="M134" s="1954">
        <f t="shared" ca="1" si="31"/>
        <v>12.771202554220531</v>
      </c>
      <c r="N134" s="681">
        <f t="shared" si="29"/>
        <v>1.079174010111892E-3</v>
      </c>
      <c r="O134" s="707">
        <f t="shared" ca="1" si="32"/>
        <v>6.7239167885744475</v>
      </c>
      <c r="P134" s="1954">
        <f t="shared" ca="1" si="33"/>
        <v>1.3728502060807513</v>
      </c>
    </row>
    <row r="135" spans="2:16" s="828" customFormat="1" hidden="1" outlineLevel="1">
      <c r="B135" s="957" t="s">
        <v>1845</v>
      </c>
      <c r="C135" s="681">
        <f t="shared" si="25"/>
        <v>1.1393878509837456</v>
      </c>
      <c r="D135" s="681">
        <f>C135*假设!$C$125</f>
        <v>0.22787757019674906</v>
      </c>
      <c r="E135" s="681">
        <f ca="1">假设!$C$126*P100</f>
        <v>0.86789530871093179</v>
      </c>
      <c r="F135" s="681">
        <f t="shared" si="26"/>
        <v>0</v>
      </c>
      <c r="G135" s="681">
        <f t="shared" ca="1" si="26"/>
        <v>1.7761568265516916E-5</v>
      </c>
      <c r="H135" s="681">
        <f t="shared" ca="1" si="34"/>
        <v>1.0957906404759463</v>
      </c>
      <c r="I135" s="1958">
        <f ca="1">J100*假设!$I$116</f>
        <v>5.7542970173159173E-2</v>
      </c>
      <c r="J135" s="1954">
        <f t="shared" ca="1" si="27"/>
        <v>12.546841704934621</v>
      </c>
      <c r="K135" s="707">
        <f t="shared" ca="1" si="28"/>
        <v>6.4497161904999274</v>
      </c>
      <c r="L135" s="1954">
        <f t="shared" ca="1" si="35"/>
        <v>0.50621991282913947</v>
      </c>
      <c r="M135" s="1954">
        <f t="shared" ca="1" si="31"/>
        <v>6.8682418218591952</v>
      </c>
      <c r="N135" s="681">
        <f t="shared" si="29"/>
        <v>8.8706804786345026E-4</v>
      </c>
      <c r="O135" s="707">
        <f t="shared" ca="1" si="32"/>
        <v>5.6777128150275624</v>
      </c>
      <c r="P135" s="1954">
        <f t="shared" ca="1" si="33"/>
        <v>1.1284663463964637</v>
      </c>
    </row>
    <row r="136" spans="2:16" s="828" customFormat="1" hidden="1" outlineLevel="1">
      <c r="B136" s="957" t="s">
        <v>1846</v>
      </c>
      <c r="C136" s="681">
        <f t="shared" si="25"/>
        <v>0.15313086095256456</v>
      </c>
      <c r="D136" s="681">
        <f>C136*假设!$C$125</f>
        <v>3.0626172190512904E-2</v>
      </c>
      <c r="E136" s="681">
        <f ca="1">假设!$C$126*P101</f>
        <v>0.11664294623191727</v>
      </c>
      <c r="F136" s="681">
        <f t="shared" si="26"/>
        <v>0</v>
      </c>
      <c r="G136" s="681">
        <f t="shared" ca="1" si="26"/>
        <v>2.3871100942651314E-6</v>
      </c>
      <c r="H136" s="681">
        <f t="shared" ca="1" si="34"/>
        <v>0.14727150553252444</v>
      </c>
      <c r="I136" s="1958">
        <f ca="1">J101*假设!$I$116</f>
        <v>2.0621273386621241E-2</v>
      </c>
      <c r="J136" s="1954">
        <f t="shared" ca="1" si="27"/>
        <v>4.250904909470151</v>
      </c>
      <c r="K136" s="707">
        <f t="shared" ca="1" si="28"/>
        <v>1.5569646035305833</v>
      </c>
      <c r="L136" s="1954">
        <f t="shared" ca="1" si="35"/>
        <v>0.20173514931267883</v>
      </c>
      <c r="M136" s="1954">
        <f t="shared" ca="1" si="31"/>
        <v>3.3697143092991446</v>
      </c>
      <c r="N136" s="681">
        <f t="shared" si="29"/>
        <v>1.1921971414348419E-4</v>
      </c>
      <c r="O136" s="707">
        <f t="shared" ca="1" si="32"/>
        <v>0.88107138045686284</v>
      </c>
      <c r="P136" s="1954">
        <f t="shared" ca="1" si="33"/>
        <v>0.15166303820993671</v>
      </c>
    </row>
    <row r="137" spans="2:16" s="828" customFormat="1" hidden="1" outlineLevel="1">
      <c r="B137" s="957" t="s">
        <v>1847</v>
      </c>
      <c r="C137" s="681">
        <f t="shared" si="25"/>
        <v>16.2985021465303</v>
      </c>
      <c r="D137" s="681">
        <f>C137*假设!$C$125</f>
        <v>3.2597004293060592</v>
      </c>
      <c r="E137" s="681">
        <f ca="1">假设!$C$126*P102</f>
        <v>12.414906425213838</v>
      </c>
      <c r="F137" s="681">
        <f t="shared" si="26"/>
        <v>0</v>
      </c>
      <c r="G137" s="681">
        <f t="shared" ca="1" si="26"/>
        <v>2.5407235846101862E-4</v>
      </c>
      <c r="H137" s="681">
        <f t="shared" ca="1" si="34"/>
        <v>15.674860926878358</v>
      </c>
      <c r="I137" s="1958">
        <f ca="1">J102*假设!$I$116</f>
        <v>0.99983129342453914</v>
      </c>
      <c r="J137" s="1954">
        <f t="shared" ca="1" si="27"/>
        <v>214.64128831836163</v>
      </c>
      <c r="K137" s="707">
        <f t="shared" ca="1" si="28"/>
        <v>13.197197650115339</v>
      </c>
      <c r="L137" s="1954">
        <f t="shared" ca="1" si="35"/>
        <v>9.3460842545862484</v>
      </c>
      <c r="M137" s="1954">
        <f t="shared" ca="1" si="31"/>
        <v>92.310450344716529</v>
      </c>
      <c r="N137" s="681">
        <f t="shared" si="29"/>
        <v>1.2689165036943281E-2</v>
      </c>
      <c r="O137" s="707">
        <f t="shared" ca="1" si="32"/>
        <v>122.31814880860816</v>
      </c>
      <c r="P137" s="1954">
        <f t="shared" ca="1" si="33"/>
        <v>16.142274251169237</v>
      </c>
    </row>
    <row r="138" spans="2:16" s="828" customFormat="1" hidden="1" outlineLevel="1">
      <c r="B138" s="957" t="s">
        <v>1848</v>
      </c>
      <c r="C138" s="681">
        <f t="shared" si="25"/>
        <v>21.972575417216131</v>
      </c>
      <c r="D138" s="681">
        <f>C138*假设!$C$125</f>
        <v>4.3945150834432249</v>
      </c>
      <c r="E138" s="681">
        <f ca="1">假设!$C$126*P103</f>
        <v>16.736965475306853</v>
      </c>
      <c r="F138" s="681">
        <f t="shared" si="26"/>
        <v>0</v>
      </c>
      <c r="G138" s="681">
        <f t="shared" ca="1" si="26"/>
        <v>3.4252374896322349E-4</v>
      </c>
      <c r="H138" s="681">
        <f t="shared" ca="1" si="34"/>
        <v>21.131823082499039</v>
      </c>
      <c r="I138" s="1958">
        <f ca="1">J103*假设!$I$116</f>
        <v>1.8516674567939944</v>
      </c>
      <c r="J138" s="1954">
        <f t="shared" ca="1" si="27"/>
        <v>389.61364698450387</v>
      </c>
      <c r="K138" s="707">
        <f t="shared" ca="1" si="28"/>
        <v>116.91184556892762</v>
      </c>
      <c r="L138" s="1954">
        <f t="shared" ca="1" si="35"/>
        <v>21.544947963026853</v>
      </c>
      <c r="M138" s="1954">
        <f t="shared" ca="1" si="31"/>
        <v>249.35413077670043</v>
      </c>
      <c r="N138" s="681">
        <f t="shared" si="29"/>
        <v>1.7106703011668684E-2</v>
      </c>
      <c r="O138" s="707">
        <f t="shared" ca="1" si="32"/>
        <v>140.24240950479177</v>
      </c>
      <c r="P138" s="1954">
        <f t="shared" ca="1" si="33"/>
        <v>21.76195917885066</v>
      </c>
    </row>
    <row r="139" spans="2:16" s="828" customFormat="1" hidden="1" outlineLevel="1">
      <c r="B139" s="957" t="s">
        <v>1849</v>
      </c>
      <c r="C139" s="681">
        <f t="shared" si="25"/>
        <v>0</v>
      </c>
      <c r="D139" s="681">
        <f>C139*假设!$C$125</f>
        <v>0</v>
      </c>
      <c r="E139" s="681">
        <f ca="1">假设!$C$126*P104</f>
        <v>0</v>
      </c>
      <c r="F139" s="681">
        <f t="shared" si="26"/>
        <v>0</v>
      </c>
      <c r="G139" s="681">
        <f t="shared" ca="1" si="26"/>
        <v>0</v>
      </c>
      <c r="H139" s="681">
        <f t="shared" ca="1" si="34"/>
        <v>0</v>
      </c>
      <c r="I139" s="1958">
        <f ca="1">J104*假设!$I$116</f>
        <v>0</v>
      </c>
      <c r="J139" s="1954">
        <f t="shared" ca="1" si="27"/>
        <v>0</v>
      </c>
      <c r="K139" s="707">
        <f t="shared" ca="1" si="28"/>
        <v>0</v>
      </c>
      <c r="L139" s="1954">
        <f t="shared" ca="1" si="35"/>
        <v>0</v>
      </c>
      <c r="M139" s="1954">
        <f t="shared" ca="1" si="31"/>
        <v>0</v>
      </c>
      <c r="N139" s="681">
        <f t="shared" si="29"/>
        <v>0</v>
      </c>
      <c r="O139" s="707">
        <f t="shared" ca="1" si="32"/>
        <v>0</v>
      </c>
      <c r="P139" s="1954">
        <f t="shared" ca="1" si="33"/>
        <v>0</v>
      </c>
    </row>
    <row r="140" spans="2:16" s="827" customFormat="1" collapsed="1">
      <c r="B140" s="2150" t="s">
        <v>1874</v>
      </c>
      <c r="C140" s="728">
        <f>发展投入!I18*假设!I117*(1+假设!H115)*(1+假设!I115)</f>
        <v>168.64453449661866</v>
      </c>
      <c r="D140" s="728">
        <f>SUM(D109,D115,D121,D128:D139)</f>
        <v>33.728906899323725</v>
      </c>
      <c r="E140" s="728">
        <f ca="1">SUM(E109,E115,E121,E128:E139)</f>
        <v>128.46003246654089</v>
      </c>
      <c r="F140" s="728">
        <f>假设!$I$118</f>
        <v>0</v>
      </c>
      <c r="G140" s="2151">
        <f ca="1">债务!I38</f>
        <v>2.628947999999999E-3</v>
      </c>
      <c r="H140" s="728">
        <f t="shared" ref="H140:M140" ca="1" si="36">SUM(H109,H115,H121,H128:H139)</f>
        <v>162.19156831386459</v>
      </c>
      <c r="I140" s="728">
        <f t="shared" ca="1" si="36"/>
        <v>16.675850359397934</v>
      </c>
      <c r="J140" s="728">
        <f t="shared" ca="1" si="36"/>
        <v>3480.6857898340531</v>
      </c>
      <c r="K140" s="728">
        <f t="shared" ca="1" si="36"/>
        <v>788.91238702965711</v>
      </c>
      <c r="L140" s="2152">
        <f t="shared" ca="1" si="36"/>
        <v>162.89398038732321</v>
      </c>
      <c r="M140" s="728">
        <f t="shared" ca="1" si="36"/>
        <v>2040.0845872860289</v>
      </c>
      <c r="N140" s="728">
        <f>假设!I120</f>
        <v>0.13129785250000001</v>
      </c>
      <c r="O140" s="728">
        <f ca="1">SUM(O109,O115,O121,O128:O139)</f>
        <v>1440.4699046955243</v>
      </c>
      <c r="P140" s="728">
        <f ca="1">SUM(P109,P115,P121,P128:P139)</f>
        <v>167.02800676593012</v>
      </c>
    </row>
    <row r="141" spans="2:16" s="828" customFormat="1">
      <c r="K141" s="626"/>
    </row>
    <row r="142" spans="2:16" ht="15" thickBot="1"/>
    <row r="143" spans="2:16" s="828" customFormat="1" ht="28.8">
      <c r="B143" s="961" t="s">
        <v>2233</v>
      </c>
      <c r="C143" s="962" t="s">
        <v>376</v>
      </c>
      <c r="D143" s="962" t="s">
        <v>1878</v>
      </c>
      <c r="E143" s="962" t="s">
        <v>1879</v>
      </c>
      <c r="F143" s="962" t="s">
        <v>1880</v>
      </c>
      <c r="G143" s="962" t="s">
        <v>1881</v>
      </c>
      <c r="H143" s="962" t="s">
        <v>1882</v>
      </c>
      <c r="I143" s="962" t="s">
        <v>379</v>
      </c>
      <c r="J143" s="962" t="s">
        <v>338</v>
      </c>
      <c r="K143" s="962" t="s">
        <v>1073</v>
      </c>
      <c r="L143" s="962" t="s">
        <v>1886</v>
      </c>
      <c r="M143" s="962" t="s">
        <v>1888</v>
      </c>
      <c r="N143" s="962" t="s">
        <v>1889</v>
      </c>
      <c r="O143" s="962" t="s">
        <v>1057</v>
      </c>
      <c r="P143" s="962" t="s">
        <v>1892</v>
      </c>
    </row>
    <row r="144" spans="2:16" s="828" customFormat="1" hidden="1" outlineLevel="1">
      <c r="B144" s="954" t="s">
        <v>1835</v>
      </c>
      <c r="C144" s="681">
        <f t="shared" ref="C144:C174" si="37">C$175*$H4</f>
        <v>19.417883348717446</v>
      </c>
      <c r="D144" s="681">
        <f>C144*假设!$C$125</f>
        <v>3.8835766697434884</v>
      </c>
      <c r="E144" s="681">
        <f ca="1">假设!$C$126*P109</f>
        <v>14.514531994119848</v>
      </c>
      <c r="F144" s="681">
        <f t="shared" ref="F144:G174" si="38">F$175*$H4</f>
        <v>0</v>
      </c>
      <c r="G144" s="681">
        <f t="shared" ca="1" si="38"/>
        <v>2.8556550631618906E-4</v>
      </c>
      <c r="H144" s="681">
        <f ca="1">SUM(D144:G144)</f>
        <v>18.398394229369654</v>
      </c>
      <c r="I144" s="1958">
        <f ca="1">J109*假设!$J$116</f>
        <v>2.7895391210555296</v>
      </c>
      <c r="J144" s="1954">
        <f t="shared" ref="J144:J174" ca="1" si="39">J109+H144-I144</f>
        <v>573.51667931941995</v>
      </c>
      <c r="K144" s="707">
        <f ca="1">IFERROR(K109*(J144/J109)*1.1,0)</f>
        <v>16.668765902900205</v>
      </c>
      <c r="L144" s="1959">
        <f ca="1">SUM(L145:L149)</f>
        <v>23.643678665124742</v>
      </c>
      <c r="M144" s="1954">
        <f ca="1">L144+M109-I144*(1-D4)</f>
        <v>248.26266348934809</v>
      </c>
      <c r="N144" s="681">
        <f t="shared" ref="N144:N174" si="40">H4*$N$175</f>
        <v>1.4262030944465551E-2</v>
      </c>
      <c r="O144" s="707">
        <f ca="1">J144-M144-N144</f>
        <v>325.23975379912741</v>
      </c>
      <c r="P144" s="1954">
        <f ca="1">P109+C144-D144-E144-G144</f>
        <v>19.162654111997597</v>
      </c>
    </row>
    <row r="145" spans="2:16" s="828" customFormat="1" hidden="1" outlineLevel="1">
      <c r="B145" s="955" t="s">
        <v>1865</v>
      </c>
      <c r="C145" s="681">
        <f t="shared" si="37"/>
        <v>0</v>
      </c>
      <c r="D145" s="681">
        <f>C145*假设!$C$125</f>
        <v>0</v>
      </c>
      <c r="E145" s="681">
        <f ca="1">假设!$C$126*P110</f>
        <v>0</v>
      </c>
      <c r="F145" s="681">
        <f t="shared" si="38"/>
        <v>0</v>
      </c>
      <c r="G145" s="681">
        <f t="shared" ca="1" si="38"/>
        <v>0</v>
      </c>
      <c r="H145" s="681">
        <f t="shared" ref="H145" ca="1" si="41">SUM(D145:G145)</f>
        <v>0</v>
      </c>
      <c r="I145" s="1958">
        <f ca="1">J110*假设!$J$116</f>
        <v>0.55190676549668061</v>
      </c>
      <c r="J145" s="1954">
        <f t="shared" ca="1" si="39"/>
        <v>109.82944633383943</v>
      </c>
      <c r="K145" s="707">
        <f t="shared" ref="K145:K174" ca="1" si="42">IFERROR(K110*(J145/J110)*1.1,0)</f>
        <v>0</v>
      </c>
      <c r="L145" s="1954">
        <f ca="1">(AVERAGE(J145,J110)-AVERAGE(K145,K110))*F5</f>
        <v>4.7565532677565923</v>
      </c>
      <c r="M145" s="1954">
        <f t="shared" ref="M145:M174" ca="1" si="43">L145+M110-I145*(1-D5)</f>
        <v>22.842385513389502</v>
      </c>
      <c r="N145" s="681">
        <f t="shared" si="40"/>
        <v>0</v>
      </c>
      <c r="O145" s="707">
        <f t="shared" ref="O145:O174" ca="1" si="44">J145-M145-N145</f>
        <v>86.987060820449926</v>
      </c>
      <c r="P145" s="1954">
        <f t="shared" ref="P145:P174" ca="1" si="45">P110+C145-D145-E145-G145</f>
        <v>0</v>
      </c>
    </row>
    <row r="146" spans="2:16" s="828" customFormat="1" hidden="1" outlineLevel="1">
      <c r="B146" s="955" t="s">
        <v>1866</v>
      </c>
      <c r="C146" s="681">
        <f t="shared" si="37"/>
        <v>4.6101425092421673</v>
      </c>
      <c r="D146" s="681">
        <f>C146*假设!$C$125</f>
        <v>0.92202850184843321</v>
      </c>
      <c r="E146" s="681">
        <f ca="1">假设!$C$126*P111</f>
        <v>3.4460017987628428</v>
      </c>
      <c r="F146" s="681">
        <f t="shared" si="38"/>
        <v>0</v>
      </c>
      <c r="G146" s="681">
        <f t="shared" ca="1" si="38"/>
        <v>6.7798207260755871E-5</v>
      </c>
      <c r="H146" s="681">
        <f ca="1">SUM(D146:G146)</f>
        <v>4.3680980988185372</v>
      </c>
      <c r="I146" s="1958">
        <f ca="1">J111*假设!$J$116</f>
        <v>0.34738059192238424</v>
      </c>
      <c r="J146" s="1954">
        <f t="shared" ca="1" si="39"/>
        <v>73.496835891372996</v>
      </c>
      <c r="K146" s="707">
        <f t="shared" ca="1" si="42"/>
        <v>13.460244938840564</v>
      </c>
      <c r="L146" s="1954">
        <f ca="1">(AVERAGE(J146,J111)-AVERAGE(K146,K111))*F6</f>
        <v>2.5122399520169938</v>
      </c>
      <c r="M146" s="1954">
        <f t="shared" ca="1" si="43"/>
        <v>34.630697942495985</v>
      </c>
      <c r="N146" s="681">
        <f t="shared" si="40"/>
        <v>3.3860536673555948E-3</v>
      </c>
      <c r="O146" s="707">
        <f t="shared" ca="1" si="44"/>
        <v>38.862751895209655</v>
      </c>
      <c r="P146" s="1954">
        <f t="shared" ca="1" si="45"/>
        <v>4.5495466588771842</v>
      </c>
    </row>
    <row r="147" spans="2:16" s="828" customFormat="1" hidden="1" outlineLevel="1">
      <c r="B147" s="955" t="s">
        <v>1867</v>
      </c>
      <c r="C147" s="681">
        <f t="shared" si="37"/>
        <v>4.5473427104085458</v>
      </c>
      <c r="D147" s="681">
        <f>C147*假设!$C$125</f>
        <v>0.90946854208170891</v>
      </c>
      <c r="E147" s="681">
        <f ca="1">假设!$C$126*P112</f>
        <v>3.3990600351820497</v>
      </c>
      <c r="F147" s="681">
        <f t="shared" si="38"/>
        <v>0</v>
      </c>
      <c r="G147" s="681">
        <f t="shared" ca="1" si="38"/>
        <v>6.6874653646367593E-5</v>
      </c>
      <c r="H147" s="681">
        <f t="shared" ref="H147:H174" ca="1" si="46">SUM(D147:G147)</f>
        <v>4.3085954519174052</v>
      </c>
      <c r="I147" s="1958">
        <f ca="1">J112*假设!$J$116</f>
        <v>0.65446099650180134</v>
      </c>
      <c r="J147" s="1954">
        <f t="shared" ca="1" si="39"/>
        <v>134.54633375577586</v>
      </c>
      <c r="K147" s="707">
        <f t="shared" ca="1" si="42"/>
        <v>0.40370101355140059</v>
      </c>
      <c r="L147" s="1954">
        <f ca="1">(AVERAGE(J147,J112)-AVERAGE(K147,K112))*F7</f>
        <v>5.8890810160352798</v>
      </c>
      <c r="M147" s="1954">
        <f t="shared" ca="1" si="43"/>
        <v>71.645588957253537</v>
      </c>
      <c r="N147" s="681">
        <f t="shared" si="40"/>
        <v>3.3399285229108234E-3</v>
      </c>
      <c r="O147" s="707">
        <f t="shared" ca="1" si="44"/>
        <v>62.897404869999413</v>
      </c>
      <c r="P147" s="1954">
        <f t="shared" ca="1" si="45"/>
        <v>4.4875723024687026</v>
      </c>
    </row>
    <row r="148" spans="2:16" s="828" customFormat="1" hidden="1" outlineLevel="1">
      <c r="B148" s="955" t="s">
        <v>1868</v>
      </c>
      <c r="C148" s="681">
        <f t="shared" si="37"/>
        <v>5.5411736419159396</v>
      </c>
      <c r="D148" s="681">
        <f>C148*假设!$C$125</f>
        <v>1.1082347283831877</v>
      </c>
      <c r="E148" s="681">
        <f ca="1">假设!$C$126*P113</f>
        <v>4.1419314693676297</v>
      </c>
      <c r="F148" s="681">
        <f t="shared" si="38"/>
        <v>0</v>
      </c>
      <c r="G148" s="681">
        <f t="shared" ca="1" si="38"/>
        <v>8.1490244236334954E-5</v>
      </c>
      <c r="H148" s="681">
        <f t="shared" ca="1" si="46"/>
        <v>5.2502476879950537</v>
      </c>
      <c r="I148" s="1958">
        <f ca="1">J113*假设!$J$116</f>
        <v>0.39781350702024376</v>
      </c>
      <c r="J148" s="1954">
        <f t="shared" ca="1" si="39"/>
        <v>84.415135585023563</v>
      </c>
      <c r="K148" s="707">
        <f t="shared" ca="1" si="42"/>
        <v>0.66723968224153163</v>
      </c>
      <c r="L148" s="1954">
        <f ca="1">(AVERAGE(J148,J113)-AVERAGE(K148,K113))*F8</f>
        <v>3.4256535060101312</v>
      </c>
      <c r="M148" s="1954">
        <f t="shared" ca="1" si="43"/>
        <v>30.086027139686522</v>
      </c>
      <c r="N148" s="681">
        <f t="shared" si="40"/>
        <v>4.0698766456891836E-3</v>
      </c>
      <c r="O148" s="707">
        <f t="shared" ca="1" si="44"/>
        <v>54.325038568691355</v>
      </c>
      <c r="P148" s="1954">
        <f t="shared" ca="1" si="45"/>
        <v>5.4683402906304233</v>
      </c>
    </row>
    <row r="149" spans="2:16" s="828" customFormat="1" hidden="1" outlineLevel="1">
      <c r="B149" s="956" t="s">
        <v>1869</v>
      </c>
      <c r="C149" s="681">
        <f t="shared" si="37"/>
        <v>4.719224487150794</v>
      </c>
      <c r="D149" s="681">
        <f>C149*假设!$C$125</f>
        <v>0.94384489743015865</v>
      </c>
      <c r="E149" s="681">
        <f ca="1">假设!$C$126*P114</f>
        <v>3.5275386908073205</v>
      </c>
      <c r="F149" s="681">
        <f t="shared" si="38"/>
        <v>0</v>
      </c>
      <c r="G149" s="681">
        <f t="shared" ca="1" si="38"/>
        <v>6.9402401172730625E-5</v>
      </c>
      <c r="H149" s="681">
        <f t="shared" ca="1" si="46"/>
        <v>4.4714529906386522</v>
      </c>
      <c r="I149" s="1958">
        <f ca="1">J114*假设!$J$116</f>
        <v>0.83797726011441998</v>
      </c>
      <c r="J149" s="1954">
        <f t="shared" ca="1" si="39"/>
        <v>171.22892775340821</v>
      </c>
      <c r="K149" s="707">
        <f t="shared" ca="1" si="42"/>
        <v>3.8955948091216119</v>
      </c>
      <c r="L149" s="1954">
        <f ca="1">(AVERAGE(J149,J114)-AVERAGE(K149,K114))*F9</f>
        <v>7.0601509233057449</v>
      </c>
      <c r="M149" s="1954">
        <f t="shared" ca="1" si="43"/>
        <v>89.05796393652254</v>
      </c>
      <c r="N149" s="681">
        <f t="shared" si="40"/>
        <v>3.4661721085099497E-3</v>
      </c>
      <c r="O149" s="707">
        <f t="shared" ca="1" si="44"/>
        <v>82.167497644777171</v>
      </c>
      <c r="P149" s="1954">
        <f t="shared" ca="1" si="45"/>
        <v>4.6571948600212929</v>
      </c>
    </row>
    <row r="150" spans="2:16" s="828" customFormat="1" hidden="1" outlineLevel="1">
      <c r="B150" s="954" t="s">
        <v>1836</v>
      </c>
      <c r="C150" s="681">
        <f t="shared" si="37"/>
        <v>15.578029241570601</v>
      </c>
      <c r="D150" s="681">
        <f>C150*假设!$C$125</f>
        <v>3.1156058483141194</v>
      </c>
      <c r="E150" s="681">
        <f ca="1">假设!$C$126*P115</f>
        <v>11.644307454707487</v>
      </c>
      <c r="F150" s="681">
        <f t="shared" si="38"/>
        <v>0</v>
      </c>
      <c r="G150" s="681">
        <f t="shared" ca="1" si="38"/>
        <v>2.2909540282470251E-4</v>
      </c>
      <c r="H150" s="681">
        <f t="shared" ca="1" si="46"/>
        <v>14.760142398424431</v>
      </c>
      <c r="I150" s="1958">
        <f ca="1">J115*假设!$J$116</f>
        <v>1.7887459312271587</v>
      </c>
      <c r="J150" s="1954">
        <f t="shared" ca="1" si="39"/>
        <v>370.72058271262904</v>
      </c>
      <c r="K150" s="707">
        <f t="shared" ca="1" si="42"/>
        <v>100.25665772787899</v>
      </c>
      <c r="L150" s="1959">
        <f ca="1">SUM(L151:L155)</f>
        <v>16.108888077484515</v>
      </c>
      <c r="M150" s="1954">
        <f t="shared" ca="1" si="43"/>
        <v>226.79755517326197</v>
      </c>
      <c r="N150" s="681">
        <f t="shared" si="40"/>
        <v>1.1441738067282384E-2</v>
      </c>
      <c r="O150" s="707">
        <f t="shared" ca="1" si="44"/>
        <v>143.91158580129979</v>
      </c>
      <c r="P150" s="1954">
        <f t="shared" ca="1" si="45"/>
        <v>15.37327116153053</v>
      </c>
    </row>
    <row r="151" spans="2:16" s="828" customFormat="1" hidden="1" outlineLevel="1">
      <c r="B151" s="955" t="s">
        <v>1865</v>
      </c>
      <c r="C151" s="681">
        <f t="shared" si="37"/>
        <v>0</v>
      </c>
      <c r="D151" s="681">
        <f>C151*假设!$C$125</f>
        <v>0</v>
      </c>
      <c r="E151" s="681">
        <f ca="1">假设!$C$126*P116</f>
        <v>0</v>
      </c>
      <c r="F151" s="681">
        <f t="shared" si="38"/>
        <v>0</v>
      </c>
      <c r="G151" s="681">
        <f t="shared" ca="1" si="38"/>
        <v>0</v>
      </c>
      <c r="H151" s="681">
        <f t="shared" ca="1" si="46"/>
        <v>0</v>
      </c>
      <c r="I151" s="1958">
        <f ca="1">J116*假设!$J$116</f>
        <v>0.17587160236130797</v>
      </c>
      <c r="J151" s="1954">
        <f t="shared" ca="1" si="39"/>
        <v>34.998448869900287</v>
      </c>
      <c r="K151" s="707">
        <f t="shared" ca="1" si="42"/>
        <v>0.11767225386212855</v>
      </c>
      <c r="L151" s="1954">
        <f ca="1">(AVERAGE(J151,J116)-AVERAGE(K151,K116))*F11</f>
        <v>2.1229091971737839</v>
      </c>
      <c r="M151" s="1954">
        <f t="shared" ca="1" si="43"/>
        <v>12.347097853275223</v>
      </c>
      <c r="N151" s="681">
        <f t="shared" si="40"/>
        <v>0</v>
      </c>
      <c r="O151" s="707">
        <f t="shared" ca="1" si="44"/>
        <v>22.651351016625064</v>
      </c>
      <c r="P151" s="1954">
        <f t="shared" ca="1" si="45"/>
        <v>0</v>
      </c>
    </row>
    <row r="152" spans="2:16" s="828" customFormat="1" hidden="1" outlineLevel="1">
      <c r="B152" s="955" t="s">
        <v>1866</v>
      </c>
      <c r="C152" s="681">
        <f t="shared" si="37"/>
        <v>4.7035193194472517E-2</v>
      </c>
      <c r="D152" s="681">
        <f>C152*假设!$C$125</f>
        <v>9.4070386388945011E-3</v>
      </c>
      <c r="E152" s="681">
        <f ca="1">假设!$C$126*P117</f>
        <v>3.5157993495509965E-2</v>
      </c>
      <c r="F152" s="681">
        <f t="shared" si="38"/>
        <v>0</v>
      </c>
      <c r="G152" s="681">
        <f t="shared" ca="1" si="38"/>
        <v>6.917143603165417E-7</v>
      </c>
      <c r="H152" s="681">
        <f t="shared" ca="1" si="46"/>
        <v>4.4565723848764782E-2</v>
      </c>
      <c r="I152" s="1958">
        <f ca="1">J117*假设!$J$116</f>
        <v>0.15418871191112909</v>
      </c>
      <c r="J152" s="1954">
        <f t="shared" ca="1" si="39"/>
        <v>30.728119394163457</v>
      </c>
      <c r="K152" s="707">
        <f t="shared" ca="1" si="42"/>
        <v>7.6290318801577639</v>
      </c>
      <c r="L152" s="1954">
        <f ca="1">(AVERAGE(J152,J117)-AVERAGE(K152,K117))*F12</f>
        <v>1.4116469482784819</v>
      </c>
      <c r="M152" s="1954">
        <f t="shared" ca="1" si="43"/>
        <v>21.202894437985957</v>
      </c>
      <c r="N152" s="681">
        <f t="shared" si="40"/>
        <v>3.4546369898899933E-5</v>
      </c>
      <c r="O152" s="707">
        <f t="shared" ca="1" si="44"/>
        <v>9.5251904098076015</v>
      </c>
      <c r="P152" s="1954">
        <f t="shared" ca="1" si="45"/>
        <v>4.6416961215095198E-2</v>
      </c>
    </row>
    <row r="153" spans="2:16" s="828" customFormat="1" hidden="1" outlineLevel="1">
      <c r="B153" s="956" t="s">
        <v>1867</v>
      </c>
      <c r="C153" s="681">
        <f t="shared" si="37"/>
        <v>6.7037830329084418</v>
      </c>
      <c r="D153" s="681">
        <f>C153*假设!$C$125</f>
        <v>1.340756606581688</v>
      </c>
      <c r="E153" s="681">
        <f ca="1">假设!$C$126*P118</f>
        <v>5.0109618831969218</v>
      </c>
      <c r="F153" s="681">
        <f t="shared" si="38"/>
        <v>0</v>
      </c>
      <c r="G153" s="681">
        <f t="shared" ca="1" si="38"/>
        <v>9.8587943991991329E-5</v>
      </c>
      <c r="H153" s="681">
        <f t="shared" ca="1" si="46"/>
        <v>6.3518170777226013</v>
      </c>
      <c r="I153" s="1958">
        <f ca="1">J118*假设!$J$116</f>
        <v>0.66756094279844147</v>
      </c>
      <c r="J153" s="1954">
        <f t="shared" ca="1" si="39"/>
        <v>139.19644469461247</v>
      </c>
      <c r="K153" s="707">
        <f t="shared" ca="1" si="42"/>
        <v>38.785702642515943</v>
      </c>
      <c r="L153" s="1954">
        <f ca="1">(AVERAGE(J153,J118)-AVERAGE(K153,K118))*F13</f>
        <v>5.853014940453285</v>
      </c>
      <c r="M153" s="1954">
        <f t="shared" ca="1" si="43"/>
        <v>88.659860237275453</v>
      </c>
      <c r="N153" s="681">
        <f t="shared" si="40"/>
        <v>4.9237890321675226E-3</v>
      </c>
      <c r="O153" s="707">
        <f t="shared" ca="1" si="44"/>
        <v>50.531660668304845</v>
      </c>
      <c r="P153" s="1954">
        <f t="shared" ca="1" si="45"/>
        <v>6.6156683091819914</v>
      </c>
    </row>
    <row r="154" spans="2:16" s="828" customFormat="1" hidden="1" outlineLevel="1">
      <c r="B154" s="956" t="s">
        <v>1868</v>
      </c>
      <c r="C154" s="681">
        <f t="shared" si="37"/>
        <v>5.7572167398422858</v>
      </c>
      <c r="D154" s="681">
        <f>C154*假设!$C$125</f>
        <v>1.1514433479684569</v>
      </c>
      <c r="E154" s="681">
        <f ca="1">假设!$C$126*P119</f>
        <v>4.303419948860828</v>
      </c>
      <c r="F154" s="681">
        <f t="shared" si="38"/>
        <v>0</v>
      </c>
      <c r="G154" s="681">
        <f t="shared" ca="1" si="38"/>
        <v>8.4667442056381078E-5</v>
      </c>
      <c r="H154" s="681">
        <f t="shared" ca="1" si="46"/>
        <v>5.4549479642713417</v>
      </c>
      <c r="I154" s="1958">
        <f ca="1">J119*假设!$J$116</f>
        <v>0.31178847458176551</v>
      </c>
      <c r="J154" s="1954">
        <f t="shared" ca="1" si="39"/>
        <v>67.500854406042677</v>
      </c>
      <c r="K154" s="707">
        <f t="shared" ca="1" si="42"/>
        <v>14.912501675842833</v>
      </c>
      <c r="L154" s="1954">
        <f ca="1">(AVERAGE(J154,J119)-AVERAGE(K154,K119))*F14</f>
        <v>3.1136341546307742</v>
      </c>
      <c r="M154" s="1954">
        <f t="shared" ca="1" si="43"/>
        <v>32.62917720580046</v>
      </c>
      <c r="N154" s="681">
        <f t="shared" si="40"/>
        <v>4.2285558020436409E-3</v>
      </c>
      <c r="O154" s="707">
        <f t="shared" ca="1" si="44"/>
        <v>34.867448644440174</v>
      </c>
      <c r="P154" s="1954">
        <f t="shared" ca="1" si="45"/>
        <v>5.6815437116469809</v>
      </c>
    </row>
    <row r="155" spans="2:16" s="828" customFormat="1" hidden="1" outlineLevel="1">
      <c r="B155" s="956" t="s">
        <v>1869</v>
      </c>
      <c r="C155" s="681">
        <f t="shared" si="37"/>
        <v>3.0699942756254002</v>
      </c>
      <c r="D155" s="681">
        <f>C155*假设!$C$125</f>
        <v>0.6139988551250799</v>
      </c>
      <c r="E155" s="681">
        <f ca="1">假设!$C$126*P120</f>
        <v>2.2947676291542249</v>
      </c>
      <c r="F155" s="681">
        <f t="shared" si="38"/>
        <v>0</v>
      </c>
      <c r="G155" s="681">
        <f t="shared" ca="1" si="38"/>
        <v>4.5148302416013566E-5</v>
      </c>
      <c r="H155" s="681">
        <f t="shared" ca="1" si="46"/>
        <v>2.9088116325817208</v>
      </c>
      <c r="I155" s="1958">
        <f ca="1">J120*假设!$J$116</f>
        <v>0.47933619957451468</v>
      </c>
      <c r="J155" s="1954">
        <f t="shared" ca="1" si="39"/>
        <v>98.296715347910137</v>
      </c>
      <c r="K155" s="707">
        <f t="shared" ca="1" si="42"/>
        <v>39.491825783161929</v>
      </c>
      <c r="L155" s="1954">
        <f ca="1">(AVERAGE(J155,J120)-AVERAGE(K155,K120))*F15</f>
        <v>3.6076828369481877</v>
      </c>
      <c r="M155" s="1954">
        <f t="shared" ca="1" si="43"/>
        <v>71.958525438924852</v>
      </c>
      <c r="N155" s="681">
        <f t="shared" si="40"/>
        <v>2.2548468631723205E-3</v>
      </c>
      <c r="O155" s="707">
        <f t="shared" ca="1" si="44"/>
        <v>26.335935062122111</v>
      </c>
      <c r="P155" s="1954">
        <f t="shared" ca="1" si="45"/>
        <v>3.0296421794864599</v>
      </c>
    </row>
    <row r="156" spans="2:16" s="828" customFormat="1" hidden="1" outlineLevel="1">
      <c r="B156" s="957" t="s">
        <v>1837</v>
      </c>
      <c r="C156" s="681">
        <f t="shared" si="37"/>
        <v>76.360812398419853</v>
      </c>
      <c r="D156" s="681">
        <f>C156*假设!$C$125</f>
        <v>15.272162479683967</v>
      </c>
      <c r="E156" s="681">
        <f ca="1">假设!$C$126*P121</f>
        <v>57.078386698983536</v>
      </c>
      <c r="F156" s="681">
        <f t="shared" si="38"/>
        <v>0</v>
      </c>
      <c r="G156" s="681">
        <f t="shared" ca="1" si="38"/>
        <v>1.1229861496057747E-3</v>
      </c>
      <c r="H156" s="681">
        <f t="shared" ca="1" si="46"/>
        <v>72.351672164817117</v>
      </c>
      <c r="I156" s="1958">
        <f ca="1">J121*假设!$J$116</f>
        <v>7.7895952271022679</v>
      </c>
      <c r="J156" s="1954">
        <f t="shared" ca="1" si="39"/>
        <v>1622.4811223581682</v>
      </c>
      <c r="K156" s="707">
        <f t="shared" ca="1" si="42"/>
        <v>428.81450316325788</v>
      </c>
      <c r="L156" s="1959">
        <f ca="1">SUM(L157,L160)</f>
        <v>75.325491038345746</v>
      </c>
      <c r="M156" s="1954">
        <f t="shared" ca="1" si="43"/>
        <v>1069.415041902909</v>
      </c>
      <c r="N156" s="681">
        <f t="shared" si="40"/>
        <v>5.6085426501582381E-2</v>
      </c>
      <c r="O156" s="707">
        <f t="shared" ca="1" si="44"/>
        <v>553.00999502875766</v>
      </c>
      <c r="P156" s="1954">
        <f t="shared" ca="1" si="45"/>
        <v>75.357123607332156</v>
      </c>
    </row>
    <row r="157" spans="2:16" s="828" customFormat="1" hidden="1" outlineLevel="1">
      <c r="B157" s="956" t="s">
        <v>1870</v>
      </c>
      <c r="C157" s="681">
        <f t="shared" si="37"/>
        <v>69.060578646598557</v>
      </c>
      <c r="D157" s="681">
        <f>C157*假设!$C$125</f>
        <v>13.812115729319709</v>
      </c>
      <c r="E157" s="681">
        <f ca="1">假设!$C$126*P122</f>
        <v>51.621588218300396</v>
      </c>
      <c r="F157" s="681">
        <f t="shared" si="38"/>
        <v>0</v>
      </c>
      <c r="G157" s="681">
        <f t="shared" ca="1" si="38"/>
        <v>1.015626613546811E-3</v>
      </c>
      <c r="H157" s="681">
        <f t="shared" ca="1" si="46"/>
        <v>65.434719574233654</v>
      </c>
      <c r="I157" s="1958">
        <f ca="1">J122*假设!$J$116</f>
        <v>5.3235959710991549</v>
      </c>
      <c r="J157" s="1954">
        <f t="shared" ca="1" si="39"/>
        <v>1124.8303178229655</v>
      </c>
      <c r="K157" s="707">
        <f t="shared" ca="1" si="42"/>
        <v>242.79571759978538</v>
      </c>
      <c r="L157" s="1959">
        <f ca="1">SUM(L158:L159)</f>
        <v>54.397037382213611</v>
      </c>
      <c r="M157" s="1954">
        <f t="shared" ca="1" si="43"/>
        <v>706.02515824674515</v>
      </c>
      <c r="N157" s="681">
        <f t="shared" si="40"/>
        <v>5.0723556837390368E-2</v>
      </c>
      <c r="O157" s="707">
        <f t="shared" ca="1" si="44"/>
        <v>418.75443601938298</v>
      </c>
      <c r="P157" s="1954">
        <f t="shared" ca="1" si="45"/>
        <v>68.15284434524041</v>
      </c>
    </row>
    <row r="158" spans="2:16" s="828" customFormat="1" hidden="1" outlineLevel="1">
      <c r="B158" s="956" t="s">
        <v>1871</v>
      </c>
      <c r="C158" s="681">
        <f t="shared" si="37"/>
        <v>53.156720140057324</v>
      </c>
      <c r="D158" s="681">
        <f>C158*假设!$C$125</f>
        <v>10.631344028011462</v>
      </c>
      <c r="E158" s="681">
        <f ca="1">假设!$C$126*P123</f>
        <v>39.733729022854448</v>
      </c>
      <c r="F158" s="681">
        <f t="shared" si="38"/>
        <v>0</v>
      </c>
      <c r="G158" s="681">
        <f t="shared" ca="1" si="38"/>
        <v>7.8173946296294212E-4</v>
      </c>
      <c r="H158" s="681">
        <f t="shared" ca="1" si="46"/>
        <v>50.365854790328875</v>
      </c>
      <c r="I158" s="1958">
        <f ca="1">J123*假设!$J$116</f>
        <v>3.3581965807009668</v>
      </c>
      <c r="J158" s="1954">
        <f t="shared" ca="1" si="39"/>
        <v>718.64697434982122</v>
      </c>
      <c r="K158" s="707">
        <f t="shared" ca="1" si="42"/>
        <v>114.47425932683726</v>
      </c>
      <c r="L158" s="1954">
        <f ca="1">(AVERAGE(J158,J123)-AVERAGE(K158,K123))*F18</f>
        <v>36.711885996273587</v>
      </c>
      <c r="M158" s="1954">
        <f t="shared" ca="1" si="43"/>
        <v>436.70248346028364</v>
      </c>
      <c r="N158" s="681">
        <f t="shared" si="40"/>
        <v>3.9042503960343693E-2</v>
      </c>
      <c r="O158" s="707">
        <f t="shared" ca="1" si="44"/>
        <v>281.90544838557724</v>
      </c>
      <c r="P158" s="1954">
        <f t="shared" ca="1" si="45"/>
        <v>52.458026628296508</v>
      </c>
    </row>
    <row r="159" spans="2:16" s="828" customFormat="1" hidden="1" outlineLevel="1">
      <c r="B159" s="956" t="s">
        <v>1872</v>
      </c>
      <c r="C159" s="681">
        <f t="shared" si="37"/>
        <v>15.903858506541232</v>
      </c>
      <c r="D159" s="681">
        <f>C159*假设!$C$125</f>
        <v>3.1807717013082457</v>
      </c>
      <c r="E159" s="681">
        <f ca="1">假设!$C$126*P124</f>
        <v>11.887859195445962</v>
      </c>
      <c r="F159" s="681">
        <f t="shared" si="38"/>
        <v>0</v>
      </c>
      <c r="G159" s="681">
        <f t="shared" ca="1" si="38"/>
        <v>2.3388715058386887E-4</v>
      </c>
      <c r="H159" s="681">
        <f t="shared" ca="1" si="46"/>
        <v>15.068864783904791</v>
      </c>
      <c r="I159" s="1958">
        <f ca="1">J124*假设!$J$116</f>
        <v>1.9653993903981897</v>
      </c>
      <c r="J159" s="1954">
        <f t="shared" ca="1" si="39"/>
        <v>406.18334347314453</v>
      </c>
      <c r="K159" s="707">
        <f t="shared" ca="1" si="42"/>
        <v>121.70384628035917</v>
      </c>
      <c r="L159" s="1954">
        <f ca="1">(AVERAGE(J159,J124)-AVERAGE(K159,K124))*F19</f>
        <v>17.685151385940024</v>
      </c>
      <c r="M159" s="1954">
        <f t="shared" ca="1" si="43"/>
        <v>269.32267478646133</v>
      </c>
      <c r="N159" s="681">
        <f t="shared" si="40"/>
        <v>1.1681052877046679E-2</v>
      </c>
      <c r="O159" s="707">
        <f t="shared" ca="1" si="44"/>
        <v>136.84898763380616</v>
      </c>
      <c r="P159" s="1954">
        <f t="shared" ca="1" si="45"/>
        <v>15.694817716943893</v>
      </c>
    </row>
    <row r="160" spans="2:16" s="828" customFormat="1" hidden="1" outlineLevel="1">
      <c r="B160" s="956" t="s">
        <v>1873</v>
      </c>
      <c r="C160" s="681">
        <f t="shared" si="37"/>
        <v>7.3002337518213007</v>
      </c>
      <c r="D160" s="681">
        <f>C160*假设!$C$125</f>
        <v>1.4600467503642598</v>
      </c>
      <c r="E160" s="681">
        <f ca="1">假设!$C$126*P125</f>
        <v>5.4567984806831396</v>
      </c>
      <c r="F160" s="681">
        <f t="shared" si="38"/>
        <v>0</v>
      </c>
      <c r="G160" s="681">
        <f t="shared" ca="1" si="38"/>
        <v>1.0735953605896372E-4</v>
      </c>
      <c r="H160" s="681">
        <f t="shared" ca="1" si="46"/>
        <v>6.9169525905834579</v>
      </c>
      <c r="I160" s="1958">
        <f ca="1">J125*假设!$J$116</f>
        <v>2.4659992560031121</v>
      </c>
      <c r="J160" s="1954">
        <f t="shared" ca="1" si="39"/>
        <v>497.65080453520278</v>
      </c>
      <c r="K160" s="707">
        <f t="shared" ca="1" si="42"/>
        <v>175.33437854693219</v>
      </c>
      <c r="L160" s="1959">
        <f ca="1">SUM(L161:L162)</f>
        <v>20.928453656132135</v>
      </c>
      <c r="M160" s="1954">
        <f t="shared" ca="1" si="43"/>
        <v>363.3898836561641</v>
      </c>
      <c r="N160" s="681">
        <f t="shared" si="40"/>
        <v>5.3618696641920104E-3</v>
      </c>
      <c r="O160" s="707">
        <f t="shared" ca="1" si="44"/>
        <v>134.25555900937448</v>
      </c>
      <c r="P160" s="1954">
        <f t="shared" ca="1" si="45"/>
        <v>7.2042792620917666</v>
      </c>
    </row>
    <row r="161" spans="2:16" s="828" customFormat="1" hidden="1" outlineLevel="1">
      <c r="B161" s="956" t="s">
        <v>1871</v>
      </c>
      <c r="C161" s="681">
        <f t="shared" si="37"/>
        <v>5.2129393393465842</v>
      </c>
      <c r="D161" s="681">
        <f>C161*假设!$C$125</f>
        <v>1.0425878678693166</v>
      </c>
      <c r="E161" s="681">
        <f ca="1">假设!$C$126*P126</f>
        <v>3.8965820046163531</v>
      </c>
      <c r="F161" s="681">
        <f t="shared" si="38"/>
        <v>0</v>
      </c>
      <c r="G161" s="681">
        <f t="shared" ca="1" si="38"/>
        <v>7.6663127237007098E-5</v>
      </c>
      <c r="H161" s="681">
        <f t="shared" ca="1" si="46"/>
        <v>4.9392465356129058</v>
      </c>
      <c r="I161" s="1958">
        <f ca="1">J126*假设!$J$116</f>
        <v>2.2449688234069245</v>
      </c>
      <c r="J161" s="1954">
        <f t="shared" ca="1" si="39"/>
        <v>451.68804239359082</v>
      </c>
      <c r="K161" s="707">
        <f t="shared" ca="1" si="42"/>
        <v>159.64358806539943</v>
      </c>
      <c r="L161" s="1954">
        <f t="shared" ref="L161:L174" ca="1" si="47">(AVERAGE(J161,J126)-AVERAGE(K161,K126))*F21</f>
        <v>18.887877309950714</v>
      </c>
      <c r="M161" s="1954">
        <f t="shared" ca="1" si="43"/>
        <v>334.64971355431106</v>
      </c>
      <c r="N161" s="681">
        <f t="shared" si="40"/>
        <v>3.828795385893253E-3</v>
      </c>
      <c r="O161" s="707">
        <f t="shared" ca="1" si="44"/>
        <v>117.03450004389386</v>
      </c>
      <c r="P161" s="1954">
        <f t="shared" ca="1" si="45"/>
        <v>5.1444203095041194</v>
      </c>
    </row>
    <row r="162" spans="2:16" s="828" customFormat="1" hidden="1" outlineLevel="1">
      <c r="B162" s="956" t="s">
        <v>1872</v>
      </c>
      <c r="C162" s="681">
        <f t="shared" si="37"/>
        <v>2.0872944124747166</v>
      </c>
      <c r="D162" s="681">
        <f>C162*假设!$C$125</f>
        <v>0.41745888249494323</v>
      </c>
      <c r="E162" s="681">
        <f ca="1">假设!$C$126*P127</f>
        <v>1.5602164760667865</v>
      </c>
      <c r="F162" s="681">
        <f t="shared" si="38"/>
        <v>0</v>
      </c>
      <c r="G162" s="681">
        <f t="shared" ca="1" si="38"/>
        <v>3.069640882195662E-5</v>
      </c>
      <c r="H162" s="681">
        <f t="shared" ca="1" si="46"/>
        <v>1.9777060549705516</v>
      </c>
      <c r="I162" s="1958">
        <f ca="1">J127*假设!$J$116</f>
        <v>0.22103043259618754</v>
      </c>
      <c r="J162" s="1954">
        <f t="shared" ca="1" si="39"/>
        <v>45.962762141611876</v>
      </c>
      <c r="K162" s="707">
        <f t="shared" ca="1" si="42"/>
        <v>15.608710395280733</v>
      </c>
      <c r="L162" s="1954">
        <f t="shared" ca="1" si="47"/>
        <v>2.0405763461814219</v>
      </c>
      <c r="M162" s="1954">
        <f t="shared" ca="1" si="43"/>
        <v>28.746396031682057</v>
      </c>
      <c r="N162" s="681">
        <f t="shared" si="40"/>
        <v>1.5330742782987572E-3</v>
      </c>
      <c r="O162" s="707">
        <f t="shared" ca="1" si="44"/>
        <v>17.21483303565152</v>
      </c>
      <c r="P162" s="1954">
        <f t="shared" ca="1" si="45"/>
        <v>2.0598589525876476</v>
      </c>
    </row>
    <row r="163" spans="2:16" s="828" customFormat="1" hidden="1" outlineLevel="1">
      <c r="B163" s="957" t="s">
        <v>1838</v>
      </c>
      <c r="C163" s="681">
        <f t="shared" si="37"/>
        <v>3.6103514891115069</v>
      </c>
      <c r="D163" s="681">
        <f>C163*假设!$C$125</f>
        <v>0.72207029782230125</v>
      </c>
      <c r="E163" s="681">
        <f ca="1">假设!$C$126*P128</f>
        <v>2.6986753014039691</v>
      </c>
      <c r="F163" s="681">
        <f t="shared" si="38"/>
        <v>0</v>
      </c>
      <c r="G163" s="681">
        <f t="shared" ca="1" si="38"/>
        <v>5.309496573093955E-5</v>
      </c>
      <c r="H163" s="681">
        <f t="shared" ca="1" si="46"/>
        <v>3.4207986941920017</v>
      </c>
      <c r="I163" s="1958">
        <f ca="1">J128*假设!$J$116</f>
        <v>0.38271497060501686</v>
      </c>
      <c r="J163" s="1954">
        <f t="shared" ca="1" si="39"/>
        <v>79.581077844590354</v>
      </c>
      <c r="K163" s="707">
        <f t="shared" ca="1" si="42"/>
        <v>25.791617688712847</v>
      </c>
      <c r="L163" s="1954">
        <f t="shared" ca="1" si="47"/>
        <v>4.1118313354359888</v>
      </c>
      <c r="M163" s="1954">
        <f t="shared" ca="1" si="43"/>
        <v>51.862624864754814</v>
      </c>
      <c r="N163" s="681">
        <f t="shared" si="40"/>
        <v>2.6517279836015999E-3</v>
      </c>
      <c r="O163" s="707">
        <f t="shared" ca="1" si="44"/>
        <v>27.715801251851939</v>
      </c>
      <c r="P163" s="1954">
        <f t="shared" ca="1" si="45"/>
        <v>3.5628969216744664</v>
      </c>
    </row>
    <row r="164" spans="2:16" s="828" customFormat="1" hidden="1" outlineLevel="1">
      <c r="B164" s="957" t="s">
        <v>1839</v>
      </c>
      <c r="C164" s="681">
        <f t="shared" si="37"/>
        <v>4.7873136904428684</v>
      </c>
      <c r="D164" s="681">
        <f>C164*假设!$C$125</f>
        <v>0.95746273808857341</v>
      </c>
      <c r="E164" s="681">
        <f ca="1">假设!$C$126*P129</f>
        <v>3.5784341927468875</v>
      </c>
      <c r="F164" s="681">
        <f t="shared" si="38"/>
        <v>0</v>
      </c>
      <c r="G164" s="681">
        <f t="shared" ca="1" si="38"/>
        <v>7.0403742434472797E-5</v>
      </c>
      <c r="H164" s="681">
        <f t="shared" ca="1" si="46"/>
        <v>4.5359673345778955</v>
      </c>
      <c r="I164" s="1958">
        <f ca="1">J129*假设!$J$116</f>
        <v>0.3102115726855102</v>
      </c>
      <c r="J164" s="1954">
        <f t="shared" ca="1" si="39"/>
        <v>66.268070298994431</v>
      </c>
      <c r="K164" s="707">
        <f t="shared" ca="1" si="42"/>
        <v>22.905057559716486</v>
      </c>
      <c r="L164" s="1954">
        <f t="shared" ca="1" si="47"/>
        <v>4.1838348410109631</v>
      </c>
      <c r="M164" s="1954">
        <f t="shared" ca="1" si="43"/>
        <v>39.661902204579633</v>
      </c>
      <c r="N164" s="681">
        <f t="shared" si="40"/>
        <v>3.5161822103782214E-3</v>
      </c>
      <c r="O164" s="707">
        <f t="shared" ca="1" si="44"/>
        <v>26.602651912204418</v>
      </c>
      <c r="P164" s="1954">
        <f t="shared" ca="1" si="45"/>
        <v>4.7243890967985829</v>
      </c>
    </row>
    <row r="165" spans="2:16" s="828" customFormat="1" hidden="1" outlineLevel="1">
      <c r="B165" s="958" t="s">
        <v>1840</v>
      </c>
      <c r="C165" s="681">
        <f t="shared" si="37"/>
        <v>14.176660572896735</v>
      </c>
      <c r="D165" s="681">
        <f>C165*假设!$C$125</f>
        <v>2.8353321145793462</v>
      </c>
      <c r="E165" s="681">
        <f ca="1">假设!$C$126*P130</f>
        <v>10.596808609867253</v>
      </c>
      <c r="F165" s="681">
        <f t="shared" si="38"/>
        <v>0</v>
      </c>
      <c r="G165" s="681">
        <f t="shared" ca="1" si="38"/>
        <v>2.0848643395725237E-4</v>
      </c>
      <c r="H165" s="681">
        <f t="shared" ca="1" si="46"/>
        <v>13.432349210880556</v>
      </c>
      <c r="I165" s="1958">
        <f ca="1">J130*假设!$J$116</f>
        <v>0.98249306341803733</v>
      </c>
      <c r="J165" s="1954">
        <f t="shared" ca="1" si="39"/>
        <v>208.94846883106996</v>
      </c>
      <c r="K165" s="707">
        <f t="shared" ca="1" si="42"/>
        <v>117.68935919774233</v>
      </c>
      <c r="L165" s="1954">
        <f t="shared" ca="1" si="47"/>
        <v>7.6447605498411955</v>
      </c>
      <c r="M165" s="1954">
        <f t="shared" ca="1" si="43"/>
        <v>131.74464351669019</v>
      </c>
      <c r="N165" s="681">
        <f t="shared" si="40"/>
        <v>1.0412461963481334E-2</v>
      </c>
      <c r="O165" s="707">
        <f t="shared" ca="1" si="44"/>
        <v>77.193412852416287</v>
      </c>
      <c r="P165" s="1954">
        <f t="shared" ca="1" si="45"/>
        <v>13.990322124350248</v>
      </c>
    </row>
    <row r="166" spans="2:16" s="828" customFormat="1" hidden="1" outlineLevel="1">
      <c r="B166" s="957" t="s">
        <v>1841</v>
      </c>
      <c r="C166" s="681">
        <f t="shared" si="37"/>
        <v>1.1455057514042992</v>
      </c>
      <c r="D166" s="681">
        <f>C166*假设!$C$125</f>
        <v>0.22910115028085978</v>
      </c>
      <c r="E166" s="681">
        <f ca="1">假设!$C$126*P131</f>
        <v>0.85624573902408252</v>
      </c>
      <c r="F166" s="681">
        <f t="shared" si="38"/>
        <v>0</v>
      </c>
      <c r="G166" s="681">
        <f t="shared" ca="1" si="38"/>
        <v>1.6846168246730219E-5</v>
      </c>
      <c r="H166" s="681">
        <f t="shared" ca="1" si="46"/>
        <v>1.0853637354731891</v>
      </c>
      <c r="I166" s="1958">
        <f ca="1">J131*假设!$J$116</f>
        <v>0.13052589569204828</v>
      </c>
      <c r="J166" s="1954">
        <f t="shared" ca="1" si="39"/>
        <v>27.060016978190799</v>
      </c>
      <c r="K166" s="707">
        <f t="shared" ca="1" si="42"/>
        <v>22.348520606799358</v>
      </c>
      <c r="L166" s="1954">
        <f t="shared" ca="1" si="47"/>
        <v>0.44810864558254887</v>
      </c>
      <c r="M166" s="1954">
        <f t="shared" ca="1" si="43"/>
        <v>22.179537200060871</v>
      </c>
      <c r="N166" s="681">
        <f t="shared" si="40"/>
        <v>8.4135011938211361E-4</v>
      </c>
      <c r="O166" s="707">
        <f t="shared" ca="1" si="44"/>
        <v>4.879638428010546</v>
      </c>
      <c r="P166" s="1954">
        <f t="shared" ca="1" si="45"/>
        <v>1.1304491897112134</v>
      </c>
    </row>
    <row r="167" spans="2:16" s="828" customFormat="1" hidden="1" outlineLevel="1">
      <c r="B167" s="957" t="s">
        <v>1842</v>
      </c>
      <c r="C167" s="681">
        <f t="shared" si="37"/>
        <v>0</v>
      </c>
      <c r="D167" s="681">
        <f>C167*假设!$C$125</f>
        <v>0</v>
      </c>
      <c r="E167" s="681">
        <f ca="1">假设!$C$126*P132</f>
        <v>0</v>
      </c>
      <c r="F167" s="681">
        <f t="shared" si="38"/>
        <v>0</v>
      </c>
      <c r="G167" s="681">
        <f t="shared" ca="1" si="38"/>
        <v>0</v>
      </c>
      <c r="H167" s="681">
        <f t="shared" ca="1" si="46"/>
        <v>0</v>
      </c>
      <c r="I167" s="1958">
        <f ca="1">J132*假设!$J$116</f>
        <v>0</v>
      </c>
      <c r="J167" s="1954">
        <f t="shared" ca="1" si="39"/>
        <v>0</v>
      </c>
      <c r="K167" s="707">
        <f t="shared" ca="1" si="42"/>
        <v>0</v>
      </c>
      <c r="L167" s="1954">
        <f t="shared" ca="1" si="47"/>
        <v>0</v>
      </c>
      <c r="M167" s="1954">
        <f t="shared" ca="1" si="43"/>
        <v>0</v>
      </c>
      <c r="N167" s="681">
        <f t="shared" si="40"/>
        <v>0</v>
      </c>
      <c r="O167" s="707">
        <f t="shared" ca="1" si="44"/>
        <v>0</v>
      </c>
      <c r="P167" s="1954">
        <f t="shared" ca="1" si="45"/>
        <v>0</v>
      </c>
    </row>
    <row r="168" spans="2:16" s="828" customFormat="1" hidden="1" outlineLevel="1">
      <c r="B168" s="957" t="s">
        <v>1843</v>
      </c>
      <c r="C168" s="681">
        <f t="shared" si="37"/>
        <v>0.27993290492293893</v>
      </c>
      <c r="D168" s="681">
        <f>C168*假设!$C$125</f>
        <v>5.5986580984587773E-2</v>
      </c>
      <c r="E168" s="681">
        <f ca="1">假设!$C$126*P133</f>
        <v>0.20924500532542709</v>
      </c>
      <c r="F168" s="681">
        <f t="shared" si="38"/>
        <v>0</v>
      </c>
      <c r="G168" s="681">
        <f t="shared" ca="1" si="38"/>
        <v>4.1167814376720237E-6</v>
      </c>
      <c r="H168" s="681">
        <f t="shared" ca="1" si="46"/>
        <v>0.26523570309145256</v>
      </c>
      <c r="I168" s="1958">
        <f ca="1">J133*假设!$J$116</f>
        <v>2.6858765214321512E-2</v>
      </c>
      <c r="J168" s="1954">
        <f t="shared" ca="1" si="39"/>
        <v>5.6101299807414335</v>
      </c>
      <c r="K168" s="707">
        <f t="shared" ca="1" si="42"/>
        <v>2.0561390578227692</v>
      </c>
      <c r="L168" s="1954">
        <f t="shared" ca="1" si="47"/>
        <v>0.28115645059054928</v>
      </c>
      <c r="M168" s="1954">
        <f t="shared" ca="1" si="43"/>
        <v>3.7439784113948535</v>
      </c>
      <c r="N168" s="681">
        <f t="shared" si="40"/>
        <v>2.0560488909563809E-4</v>
      </c>
      <c r="O168" s="707">
        <f t="shared" ca="1" si="44"/>
        <v>1.8659459644574843</v>
      </c>
      <c r="P168" s="1954">
        <f t="shared" ca="1" si="45"/>
        <v>0.27625345848827026</v>
      </c>
    </row>
    <row r="169" spans="2:16" s="828" customFormat="1" hidden="1" outlineLevel="1">
      <c r="B169" s="957" t="s">
        <v>1844</v>
      </c>
      <c r="C169" s="681">
        <f t="shared" si="37"/>
        <v>1.4693051167058457</v>
      </c>
      <c r="D169" s="681">
        <f>C169*假设!$C$125</f>
        <v>0.29386102334116909</v>
      </c>
      <c r="E169" s="681">
        <f ca="1">假设!$C$126*P134</f>
        <v>1.098280164864601</v>
      </c>
      <c r="F169" s="681">
        <f t="shared" si="38"/>
        <v>0</v>
      </c>
      <c r="G169" s="681">
        <f t="shared" ca="1" si="38"/>
        <v>2.1608063662241827E-5</v>
      </c>
      <c r="H169" s="681">
        <f t="shared" ca="1" si="46"/>
        <v>1.3921627962694323</v>
      </c>
      <c r="I169" s="1958">
        <f ca="1">J134*假设!$J$116</f>
        <v>9.7480992584025455E-2</v>
      </c>
      <c r="J169" s="1954">
        <f t="shared" ca="1" si="39"/>
        <v>20.790880320490498</v>
      </c>
      <c r="K169" s="707">
        <f t="shared" ca="1" si="42"/>
        <v>11.415126388143616</v>
      </c>
      <c r="L169" s="1954">
        <f t="shared" ca="1" si="47"/>
        <v>0.83740919346117804</v>
      </c>
      <c r="M169" s="1954">
        <f t="shared" ca="1" si="43"/>
        <v>13.516004804726887</v>
      </c>
      <c r="N169" s="681">
        <f t="shared" si="40"/>
        <v>1.079174010111892E-3</v>
      </c>
      <c r="O169" s="707">
        <f t="shared" ca="1" si="44"/>
        <v>7.2737963417534992</v>
      </c>
      <c r="P169" s="1954">
        <f t="shared" ca="1" si="45"/>
        <v>1.4499925265171647</v>
      </c>
    </row>
    <row r="170" spans="2:16" s="828" customFormat="1" hidden="1" outlineLevel="1">
      <c r="B170" s="957" t="s">
        <v>1845</v>
      </c>
      <c r="C170" s="681">
        <f t="shared" si="37"/>
        <v>1.2077511220427704</v>
      </c>
      <c r="D170" s="681">
        <f>C170*假设!$C$125</f>
        <v>0.241550224408554</v>
      </c>
      <c r="E170" s="681">
        <f ca="1">假设!$C$126*P135</f>
        <v>0.90277307711717103</v>
      </c>
      <c r="F170" s="681">
        <f t="shared" si="38"/>
        <v>0</v>
      </c>
      <c r="G170" s="681">
        <f t="shared" ca="1" si="38"/>
        <v>1.7761568265516916E-5</v>
      </c>
      <c r="H170" s="681">
        <f t="shared" ca="1" si="46"/>
        <v>1.1443410630939905</v>
      </c>
      <c r="I170" s="1958">
        <f ca="1">J135*假设!$J$116</f>
        <v>6.273420852467311E-2</v>
      </c>
      <c r="J170" s="1954">
        <f t="shared" ca="1" si="39"/>
        <v>13.628448559503939</v>
      </c>
      <c r="K170" s="707">
        <f t="shared" ca="1" si="42"/>
        <v>7.7062889715236587</v>
      </c>
      <c r="L170" s="1954">
        <f t="shared" ca="1" si="47"/>
        <v>0.49759840323997978</v>
      </c>
      <c r="M170" s="1954">
        <f t="shared" ca="1" si="43"/>
        <v>7.3062427270007362</v>
      </c>
      <c r="N170" s="681">
        <f t="shared" si="40"/>
        <v>8.8706804786345026E-4</v>
      </c>
      <c r="O170" s="707">
        <f t="shared" ca="1" si="44"/>
        <v>6.3213187644553388</v>
      </c>
      <c r="P170" s="1954">
        <f t="shared" ca="1" si="45"/>
        <v>1.1918764053452433</v>
      </c>
    </row>
    <row r="171" spans="2:16" s="828" customFormat="1" hidden="1" outlineLevel="1">
      <c r="B171" s="957" t="s">
        <v>1846</v>
      </c>
      <c r="C171" s="681">
        <f t="shared" si="37"/>
        <v>0.16231871260971845</v>
      </c>
      <c r="D171" s="681">
        <f>C171*假设!$C$125</f>
        <v>3.246374252194368E-2</v>
      </c>
      <c r="E171" s="681">
        <f ca="1">假设!$C$126*P136</f>
        <v>0.12133043056794937</v>
      </c>
      <c r="F171" s="681">
        <f t="shared" si="38"/>
        <v>0</v>
      </c>
      <c r="G171" s="681">
        <f t="shared" ca="1" si="38"/>
        <v>2.3871100942651314E-6</v>
      </c>
      <c r="H171" s="681">
        <f t="shared" ca="1" si="46"/>
        <v>0.1537965601999873</v>
      </c>
      <c r="I171" s="1958">
        <f ca="1">J136*假设!$J$116</f>
        <v>2.1254524547350755E-2</v>
      </c>
      <c r="J171" s="1954">
        <f t="shared" ca="1" si="39"/>
        <v>4.3834469451227882</v>
      </c>
      <c r="K171" s="707">
        <f t="shared" ca="1" si="42"/>
        <v>1.7660613606732594</v>
      </c>
      <c r="L171" s="1954">
        <f t="shared" ca="1" si="47"/>
        <v>0.19678462423891604</v>
      </c>
      <c r="M171" s="1954">
        <f t="shared" ca="1" si="43"/>
        <v>3.5463071352180777</v>
      </c>
      <c r="N171" s="681">
        <f t="shared" si="40"/>
        <v>1.1921971414348419E-4</v>
      </c>
      <c r="O171" s="707">
        <f t="shared" ca="1" si="44"/>
        <v>0.83702059019056696</v>
      </c>
      <c r="P171" s="1954">
        <f t="shared" ca="1" si="45"/>
        <v>0.16018519061966788</v>
      </c>
    </row>
    <row r="172" spans="2:16" s="828" customFormat="1" hidden="1" outlineLevel="1">
      <c r="B172" s="957" t="s">
        <v>1847</v>
      </c>
      <c r="C172" s="681">
        <f t="shared" si="37"/>
        <v>17.276412275322116</v>
      </c>
      <c r="D172" s="681">
        <f>C172*假设!$C$125</f>
        <v>3.4552824550644226</v>
      </c>
      <c r="E172" s="681">
        <f ca="1">假设!$C$126*P137</f>
        <v>12.91381940093539</v>
      </c>
      <c r="F172" s="681">
        <f t="shared" si="38"/>
        <v>0</v>
      </c>
      <c r="G172" s="681">
        <f t="shared" ca="1" si="38"/>
        <v>2.5407235846101862E-4</v>
      </c>
      <c r="H172" s="681">
        <f t="shared" ca="1" si="46"/>
        <v>16.369355928358274</v>
      </c>
      <c r="I172" s="1958">
        <f ca="1">J137*假设!$J$116</f>
        <v>1.0732064415918081</v>
      </c>
      <c r="J172" s="1954">
        <f t="shared" ca="1" si="39"/>
        <v>229.93743780512807</v>
      </c>
      <c r="K172" s="707">
        <f t="shared" ca="1" si="42"/>
        <v>15.551447819824542</v>
      </c>
      <c r="L172" s="1954">
        <f t="shared" ca="1" si="47"/>
        <v>9.9591304316525164</v>
      </c>
      <c r="M172" s="1954">
        <f t="shared" ca="1" si="43"/>
        <v>101.25003465685683</v>
      </c>
      <c r="N172" s="681">
        <f t="shared" si="40"/>
        <v>1.2689165036943281E-2</v>
      </c>
      <c r="O172" s="707">
        <f t="shared" ca="1" si="44"/>
        <v>128.67471398323431</v>
      </c>
      <c r="P172" s="1954">
        <f t="shared" ca="1" si="45"/>
        <v>17.049330598133078</v>
      </c>
    </row>
    <row r="173" spans="2:16" s="828" customFormat="1" hidden="1" outlineLevel="1">
      <c r="B173" s="957" t="s">
        <v>1848</v>
      </c>
      <c r="C173" s="681">
        <f t="shared" si="37"/>
        <v>23.2909299422491</v>
      </c>
      <c r="D173" s="681">
        <f>C173*假设!$C$125</f>
        <v>4.6581859884498193</v>
      </c>
      <c r="E173" s="681">
        <f ca="1">假设!$C$126*P138</f>
        <v>17.409567343080528</v>
      </c>
      <c r="F173" s="681">
        <f t="shared" si="38"/>
        <v>0</v>
      </c>
      <c r="G173" s="681">
        <f t="shared" ca="1" si="38"/>
        <v>3.4252374896322349E-4</v>
      </c>
      <c r="H173" s="681">
        <f t="shared" ca="1" si="46"/>
        <v>22.06809585527931</v>
      </c>
      <c r="I173" s="1958">
        <f ca="1">J138*假设!$J$116</f>
        <v>1.9480682349225193</v>
      </c>
      <c r="J173" s="1954">
        <f t="shared" ca="1" si="39"/>
        <v>409.73367460486065</v>
      </c>
      <c r="K173" s="707">
        <f t="shared" ca="1" si="42"/>
        <v>135.24421566492958</v>
      </c>
      <c r="L173" s="1954">
        <f t="shared" ca="1" si="47"/>
        <v>21.75085259913142</v>
      </c>
      <c r="M173" s="1954">
        <f t="shared" ca="1" si="43"/>
        <v>269.25431855265549</v>
      </c>
      <c r="N173" s="681">
        <f t="shared" si="40"/>
        <v>1.7106703011668684E-2</v>
      </c>
      <c r="O173" s="707">
        <f t="shared" ca="1" si="44"/>
        <v>140.46224934919348</v>
      </c>
      <c r="P173" s="1954">
        <f t="shared" ca="1" si="45"/>
        <v>22.984793265820446</v>
      </c>
    </row>
    <row r="174" spans="2:16" s="828" customFormat="1" hidden="1" outlineLevel="1">
      <c r="B174" s="957" t="s">
        <v>1849</v>
      </c>
      <c r="C174" s="681">
        <f t="shared" si="37"/>
        <v>0</v>
      </c>
      <c r="D174" s="681">
        <f>C174*假设!$C$125</f>
        <v>0</v>
      </c>
      <c r="E174" s="681">
        <f ca="1">假设!$C$126*P139</f>
        <v>0</v>
      </c>
      <c r="F174" s="681">
        <f t="shared" si="38"/>
        <v>0</v>
      </c>
      <c r="G174" s="681">
        <f t="shared" ca="1" si="38"/>
        <v>0</v>
      </c>
      <c r="H174" s="681">
        <f t="shared" ca="1" si="46"/>
        <v>0</v>
      </c>
      <c r="I174" s="1958">
        <f ca="1">J139*假设!$J$116</f>
        <v>0</v>
      </c>
      <c r="J174" s="1954">
        <f t="shared" ca="1" si="39"/>
        <v>0</v>
      </c>
      <c r="K174" s="707">
        <f t="shared" ca="1" si="42"/>
        <v>0</v>
      </c>
      <c r="L174" s="1954">
        <f t="shared" ca="1" si="47"/>
        <v>0</v>
      </c>
      <c r="M174" s="1954">
        <f t="shared" ca="1" si="43"/>
        <v>0</v>
      </c>
      <c r="N174" s="681">
        <f t="shared" si="40"/>
        <v>0</v>
      </c>
      <c r="O174" s="707">
        <f t="shared" ca="1" si="44"/>
        <v>0</v>
      </c>
      <c r="P174" s="1954">
        <f t="shared" ca="1" si="45"/>
        <v>0</v>
      </c>
    </row>
    <row r="175" spans="2:16" s="827" customFormat="1" collapsed="1">
      <c r="B175" s="2150" t="s">
        <v>1874</v>
      </c>
      <c r="C175" s="728">
        <f>发展投入!J18*假设!J117*(1+假设!H115)*(1+假设!J115)*(1+假设!I115)</f>
        <v>178.76320656641579</v>
      </c>
      <c r="D175" s="728">
        <f>SUM(D144,D150,D156,D163:D174)</f>
        <v>35.752641313283149</v>
      </c>
      <c r="E175" s="728">
        <f ca="1">SUM(E144,E150,E156,E163:E174)</f>
        <v>133.62240541274414</v>
      </c>
      <c r="F175" s="728">
        <f>假设!$J$118</f>
        <v>0</v>
      </c>
      <c r="G175" s="2151">
        <f ca="1">债务!J38</f>
        <v>2.628947999999999E-3</v>
      </c>
      <c r="H175" s="728">
        <f t="shared" ref="H175:M175" ca="1" si="48">SUM(H144,H150,H156,H163:H174)</f>
        <v>169.37767567402733</v>
      </c>
      <c r="I175" s="728">
        <f t="shared" ca="1" si="48"/>
        <v>17.403428949170266</v>
      </c>
      <c r="J175" s="728">
        <f t="shared" ca="1" si="48"/>
        <v>3632.6600365589102</v>
      </c>
      <c r="K175" s="728">
        <f t="shared" ca="1" si="48"/>
        <v>908.21376110992549</v>
      </c>
      <c r="L175" s="2152">
        <f t="shared" ca="1" si="48"/>
        <v>164.98952485514025</v>
      </c>
      <c r="M175" s="728">
        <f t="shared" ca="1" si="48"/>
        <v>2188.5408546394574</v>
      </c>
      <c r="N175" s="728">
        <f>假设!J120</f>
        <v>0.13129785250000001</v>
      </c>
      <c r="O175" s="728">
        <f ca="1">SUM(O144,O150,O156,O163:O174)</f>
        <v>1443.987884066953</v>
      </c>
      <c r="P175" s="728">
        <f ca="1">SUM(P144,P150,P156,P163:P174)</f>
        <v>176.41353765831872</v>
      </c>
    </row>
    <row r="177" spans="2:16" ht="15" thickBot="1"/>
    <row r="178" spans="2:16" s="828" customFormat="1" ht="28.8">
      <c r="B178" s="961" t="s">
        <v>2234</v>
      </c>
      <c r="C178" s="962" t="s">
        <v>376</v>
      </c>
      <c r="D178" s="962" t="s">
        <v>1878</v>
      </c>
      <c r="E178" s="962" t="s">
        <v>1879</v>
      </c>
      <c r="F178" s="962" t="s">
        <v>1880</v>
      </c>
      <c r="G178" s="962" t="s">
        <v>1881</v>
      </c>
      <c r="H178" s="962" t="s">
        <v>1882</v>
      </c>
      <c r="I178" s="962" t="s">
        <v>379</v>
      </c>
      <c r="J178" s="962" t="s">
        <v>338</v>
      </c>
      <c r="K178" s="962" t="s">
        <v>1073</v>
      </c>
      <c r="L178" s="962" t="s">
        <v>1886</v>
      </c>
      <c r="M178" s="962" t="s">
        <v>1888</v>
      </c>
      <c r="N178" s="962" t="s">
        <v>1889</v>
      </c>
      <c r="O178" s="962" t="s">
        <v>1057</v>
      </c>
      <c r="P178" s="962" t="s">
        <v>1892</v>
      </c>
    </row>
    <row r="179" spans="2:16" s="828" customFormat="1" hidden="1" outlineLevel="1">
      <c r="B179" s="954" t="s">
        <v>1835</v>
      </c>
      <c r="C179" s="681">
        <f t="shared" ref="C179:C209" si="49">C$210*$H4</f>
        <v>20.582956349640494</v>
      </c>
      <c r="D179" s="681">
        <f>C179*假设!$C$125</f>
        <v>4.1165912699280982</v>
      </c>
      <c r="E179" s="681">
        <f ca="1">假设!$C$126*P144</f>
        <v>15.330123289598077</v>
      </c>
      <c r="F179" s="681">
        <f t="shared" ref="F179:G209" si="50">F$210*$H4</f>
        <v>0</v>
      </c>
      <c r="G179" s="681">
        <f t="shared" ca="1" si="50"/>
        <v>2.8556550631618906E-4</v>
      </c>
      <c r="H179" s="681">
        <f ca="1">SUM(D179:G179)</f>
        <v>19.447000125032492</v>
      </c>
      <c r="I179" s="1958">
        <f ca="1">J144*假设!$K$116</f>
        <v>2.8675833965970998</v>
      </c>
      <c r="J179" s="1954">
        <f t="shared" ref="J179:J209" ca="1" si="51">J144+H179-I179</f>
        <v>590.09609604785533</v>
      </c>
      <c r="K179" s="707">
        <f t="shared" ref="K179:K209" ca="1" si="52">IFERROR(K144*(J179/J144)*1.1,0)</f>
        <v>18.86569553059962</v>
      </c>
      <c r="L179" s="1959">
        <f ca="1">SUM(L180:L184)</f>
        <v>24.220314746017387</v>
      </c>
      <c r="M179" s="1954">
        <f ca="1">L179+M144-I179*(1-D4)</f>
        <v>269.75877400859821</v>
      </c>
      <c r="N179" s="681">
        <f t="shared" ref="N179:N209" si="53">H4*$N$210</f>
        <v>1.4262030944465551E-2</v>
      </c>
      <c r="O179" s="707">
        <f ca="1">J179-M179-N179</f>
        <v>320.32306000831267</v>
      </c>
      <c r="P179" s="1954">
        <f ca="1">P144+C179-D179-E179-G179</f>
        <v>20.298610336605599</v>
      </c>
    </row>
    <row r="180" spans="2:16" s="828" customFormat="1" hidden="1" outlineLevel="1">
      <c r="B180" s="955" t="s">
        <v>1865</v>
      </c>
      <c r="C180" s="681">
        <f t="shared" si="49"/>
        <v>0</v>
      </c>
      <c r="D180" s="681">
        <f>C180*假设!$C$125</f>
        <v>0</v>
      </c>
      <c r="E180" s="681">
        <f ca="1">假设!$C$126*P145</f>
        <v>0</v>
      </c>
      <c r="F180" s="681">
        <f t="shared" si="50"/>
        <v>0</v>
      </c>
      <c r="G180" s="681">
        <f t="shared" ca="1" si="50"/>
        <v>0</v>
      </c>
      <c r="H180" s="681">
        <f t="shared" ref="H180" ca="1" si="54">SUM(D180:G180)</f>
        <v>0</v>
      </c>
      <c r="I180" s="1958">
        <f ca="1">J145*假设!$K$116</f>
        <v>0.5491472316691971</v>
      </c>
      <c r="J180" s="1954">
        <f t="shared" ca="1" si="51"/>
        <v>109.28029910217023</v>
      </c>
      <c r="K180" s="707">
        <f t="shared" ca="1" si="52"/>
        <v>0</v>
      </c>
      <c r="L180" s="1954">
        <f ca="1">(AVERAGE(J180,J145)-AVERAGE(K180,K145))*F5</f>
        <v>4.732770501417809</v>
      </c>
      <c r="M180" s="1954">
        <f t="shared" ref="M180:M209" ca="1" si="55">L180+M145-I180*(1-D5)</f>
        <v>27.053466144721575</v>
      </c>
      <c r="N180" s="681">
        <f t="shared" si="53"/>
        <v>0</v>
      </c>
      <c r="O180" s="707">
        <f t="shared" ref="O180:O209" ca="1" si="56">J180-M180-N180</f>
        <v>82.226832957448664</v>
      </c>
      <c r="P180" s="1954">
        <f t="shared" ref="P180:P209" ca="1" si="57">P145+C180-D180-E180-G180</f>
        <v>0</v>
      </c>
    </row>
    <row r="181" spans="2:16" s="828" customFormat="1" hidden="1" outlineLevel="1">
      <c r="B181" s="955" t="s">
        <v>1866</v>
      </c>
      <c r="C181" s="681">
        <f t="shared" si="49"/>
        <v>4.8867510597966968</v>
      </c>
      <c r="D181" s="681">
        <f>C181*假设!$C$125</f>
        <v>0.97735021195933913</v>
      </c>
      <c r="E181" s="681">
        <f ca="1">假设!$C$126*P146</f>
        <v>3.6396373271017475</v>
      </c>
      <c r="F181" s="681">
        <f t="shared" si="50"/>
        <v>0</v>
      </c>
      <c r="G181" s="681">
        <f t="shared" ca="1" si="50"/>
        <v>6.7798207260755871E-5</v>
      </c>
      <c r="H181" s="681">
        <f ca="1">SUM(D181:G181)</f>
        <v>4.6170553372683472</v>
      </c>
      <c r="I181" s="1958">
        <f ca="1">J146*假设!$K$116</f>
        <v>0.36748417945686501</v>
      </c>
      <c r="J181" s="1954">
        <f t="shared" ca="1" si="51"/>
        <v>77.746407049184469</v>
      </c>
      <c r="K181" s="707">
        <f t="shared" ca="1" si="52"/>
        <v>15.662364729521986</v>
      </c>
      <c r="L181" s="1954">
        <f ca="1">(AVERAGE(J181,J146)-AVERAGE(K181,K146))*F6</f>
        <v>2.6011694886977521</v>
      </c>
      <c r="M181" s="1954">
        <f t="shared" ca="1" si="55"/>
        <v>36.882757460709712</v>
      </c>
      <c r="N181" s="681">
        <f t="shared" si="53"/>
        <v>3.3860536673555948E-3</v>
      </c>
      <c r="O181" s="707">
        <f t="shared" ca="1" si="56"/>
        <v>40.860263534807402</v>
      </c>
      <c r="P181" s="1954">
        <f t="shared" ca="1" si="57"/>
        <v>4.8192423814055347</v>
      </c>
    </row>
    <row r="182" spans="2:16" s="828" customFormat="1" hidden="1" outlineLevel="1">
      <c r="B182" s="955" t="s">
        <v>1867</v>
      </c>
      <c r="C182" s="681">
        <f t="shared" si="49"/>
        <v>4.8201832730330594</v>
      </c>
      <c r="D182" s="681">
        <f>C182*假设!$C$125</f>
        <v>0.9640366546066117</v>
      </c>
      <c r="E182" s="681">
        <f ca="1">假设!$C$126*P147</f>
        <v>3.5900578419749625</v>
      </c>
      <c r="F182" s="681">
        <f t="shared" si="50"/>
        <v>0</v>
      </c>
      <c r="G182" s="681">
        <f t="shared" ca="1" si="50"/>
        <v>6.6874653646367593E-5</v>
      </c>
      <c r="H182" s="681">
        <f t="shared" ref="H182:H209" ca="1" si="58">SUM(D182:G182)</f>
        <v>4.5541613712352209</v>
      </c>
      <c r="I182" s="1958">
        <f ca="1">J147*假设!$K$116</f>
        <v>0.67273166877887935</v>
      </c>
      <c r="J182" s="1954">
        <f t="shared" ca="1" si="51"/>
        <v>138.42776345823219</v>
      </c>
      <c r="K182" s="707">
        <f t="shared" ca="1" si="52"/>
        <v>0.45688180076684676</v>
      </c>
      <c r="L182" s="1954">
        <f ca="1">(AVERAGE(J182,J147)-AVERAGE(K182,K147))*F7</f>
        <v>6.0545256953930977</v>
      </c>
      <c r="M182" s="1954">
        <f t="shared" ca="1" si="55"/>
        <v>77.061019567306701</v>
      </c>
      <c r="N182" s="681">
        <f t="shared" si="53"/>
        <v>3.3399285229108234E-3</v>
      </c>
      <c r="O182" s="707">
        <f t="shared" ca="1" si="56"/>
        <v>61.363403962402579</v>
      </c>
      <c r="P182" s="1954">
        <f t="shared" ca="1" si="57"/>
        <v>4.7535942042665402</v>
      </c>
    </row>
    <row r="183" spans="2:16" s="828" customFormat="1" hidden="1" outlineLevel="1">
      <c r="B183" s="955" t="s">
        <v>1868</v>
      </c>
      <c r="C183" s="681">
        <f t="shared" si="49"/>
        <v>5.8736440604308964</v>
      </c>
      <c r="D183" s="681">
        <f>C183*假设!$C$125</f>
        <v>1.174728812086179</v>
      </c>
      <c r="E183" s="681">
        <f ca="1">假设!$C$126*P148</f>
        <v>4.3746722325043388</v>
      </c>
      <c r="F183" s="681">
        <f t="shared" si="50"/>
        <v>0</v>
      </c>
      <c r="G183" s="681">
        <f t="shared" ca="1" si="50"/>
        <v>8.1490244236334954E-5</v>
      </c>
      <c r="H183" s="681">
        <f t="shared" ca="1" si="58"/>
        <v>5.5494825348347536</v>
      </c>
      <c r="I183" s="1958">
        <f ca="1">J148*假设!$K$116</f>
        <v>0.4220756779251178</v>
      </c>
      <c r="J183" s="1954">
        <f t="shared" ca="1" si="51"/>
        <v>89.542542441933193</v>
      </c>
      <c r="K183" s="707">
        <f t="shared" ca="1" si="52"/>
        <v>0.778544876664507</v>
      </c>
      <c r="L183" s="1954">
        <f ca="1">(AVERAGE(J183,J148)-AVERAGE(K183,K148))*F8</f>
        <v>3.6313753575024674</v>
      </c>
      <c r="M183" s="1954">
        <f t="shared" ca="1" si="55"/>
        <v>33.316430603160128</v>
      </c>
      <c r="N183" s="681">
        <f t="shared" si="53"/>
        <v>4.0698766456891836E-3</v>
      </c>
      <c r="O183" s="707">
        <f t="shared" ca="1" si="56"/>
        <v>56.222041962127378</v>
      </c>
      <c r="P183" s="1954">
        <f t="shared" ca="1" si="57"/>
        <v>5.792501816226566</v>
      </c>
    </row>
    <row r="184" spans="2:16" s="828" customFormat="1" hidden="1" outlineLevel="1">
      <c r="B184" s="956" t="s">
        <v>1869</v>
      </c>
      <c r="C184" s="681">
        <f t="shared" si="49"/>
        <v>5.0023779563798421</v>
      </c>
      <c r="D184" s="681">
        <f>C184*假设!$C$125</f>
        <v>1.0004755912759682</v>
      </c>
      <c r="E184" s="681">
        <f ca="1">假设!$C$126*P149</f>
        <v>3.7257558880170345</v>
      </c>
      <c r="F184" s="681">
        <f t="shared" si="50"/>
        <v>0</v>
      </c>
      <c r="G184" s="681">
        <f t="shared" ca="1" si="50"/>
        <v>6.9402401172730625E-5</v>
      </c>
      <c r="H184" s="681">
        <f t="shared" ca="1" si="58"/>
        <v>4.7263008816941756</v>
      </c>
      <c r="I184" s="1958">
        <f ca="1">J149*假设!$K$116</f>
        <v>0.85614463876704106</v>
      </c>
      <c r="J184" s="1954">
        <f t="shared" ca="1" si="51"/>
        <v>175.09908399633537</v>
      </c>
      <c r="K184" s="707">
        <f t="shared" ca="1" si="52"/>
        <v>4.3820083487788217</v>
      </c>
      <c r="L184" s="1954">
        <f ca="1">(AVERAGE(J184,J149)-AVERAGE(K184,K149))*F9</f>
        <v>7.2004737030062591</v>
      </c>
      <c r="M184" s="1954">
        <f t="shared" ca="1" si="55"/>
        <v>95.445100232700099</v>
      </c>
      <c r="N184" s="681">
        <f t="shared" si="53"/>
        <v>3.4661721085099497E-3</v>
      </c>
      <c r="O184" s="707">
        <f t="shared" ca="1" si="56"/>
        <v>79.650517591526764</v>
      </c>
      <c r="P184" s="1954">
        <f t="shared" ca="1" si="57"/>
        <v>4.9332719347069585</v>
      </c>
    </row>
    <row r="185" spans="2:16" s="828" customFormat="1" hidden="1" outlineLevel="1">
      <c r="B185" s="954" t="s">
        <v>1836</v>
      </c>
      <c r="C185" s="681">
        <f t="shared" si="49"/>
        <v>16.51271099606484</v>
      </c>
      <c r="D185" s="681">
        <f>C185*假设!$C$125</f>
        <v>3.3025421992129673</v>
      </c>
      <c r="E185" s="681">
        <f ca="1">假设!$C$126*P150</f>
        <v>12.298616929224425</v>
      </c>
      <c r="F185" s="681">
        <f t="shared" si="50"/>
        <v>0</v>
      </c>
      <c r="G185" s="681">
        <f t="shared" ca="1" si="50"/>
        <v>2.2909540282470251E-4</v>
      </c>
      <c r="H185" s="681">
        <f t="shared" ca="1" si="58"/>
        <v>15.601388223840216</v>
      </c>
      <c r="I185" s="1958">
        <f ca="1">J150*假设!$K$116</f>
        <v>1.8536029135631453</v>
      </c>
      <c r="J185" s="1954">
        <f t="shared" ca="1" si="51"/>
        <v>384.46836802290613</v>
      </c>
      <c r="K185" s="707">
        <f t="shared" ca="1" si="52"/>
        <v>114.37202819392088</v>
      </c>
      <c r="L185" s="1959">
        <f ca="1">SUM(L186:L190)</f>
        <v>16.104554497769939</v>
      </c>
      <c r="M185" s="1954">
        <f t="shared" ca="1" si="55"/>
        <v>241.14118690314692</v>
      </c>
      <c r="N185" s="681">
        <f t="shared" si="53"/>
        <v>1.1441738067282384E-2</v>
      </c>
      <c r="O185" s="707">
        <f t="shared" ca="1" si="56"/>
        <v>143.31573938169194</v>
      </c>
      <c r="P185" s="1954">
        <f t="shared" ca="1" si="57"/>
        <v>16.284593933755151</v>
      </c>
    </row>
    <row r="186" spans="2:16" s="828" customFormat="1" hidden="1" outlineLevel="1">
      <c r="B186" s="955" t="s">
        <v>1865</v>
      </c>
      <c r="C186" s="681">
        <f t="shared" si="49"/>
        <v>0</v>
      </c>
      <c r="D186" s="681">
        <f>C186*假设!$C$125</f>
        <v>0</v>
      </c>
      <c r="E186" s="681">
        <f ca="1">假设!$C$126*P151</f>
        <v>0</v>
      </c>
      <c r="F186" s="681">
        <f t="shared" si="50"/>
        <v>0</v>
      </c>
      <c r="G186" s="681">
        <f t="shared" ca="1" si="50"/>
        <v>0</v>
      </c>
      <c r="H186" s="681">
        <f t="shared" ca="1" si="58"/>
        <v>0</v>
      </c>
      <c r="I186" s="1958">
        <f ca="1">J151*假设!$K$116</f>
        <v>0.17499224434950145</v>
      </c>
      <c r="J186" s="1954">
        <f t="shared" ca="1" si="51"/>
        <v>34.823456625550783</v>
      </c>
      <c r="K186" s="707">
        <f t="shared" ca="1" si="52"/>
        <v>0.1287922818520997</v>
      </c>
      <c r="L186" s="1954">
        <f ca="1">(AVERAGE(J186,J151)-AVERAGE(K186,K151))*F11</f>
        <v>2.111614633128013</v>
      </c>
      <c r="M186" s="1954">
        <f t="shared" ca="1" si="55"/>
        <v>14.292469854271209</v>
      </c>
      <c r="N186" s="681">
        <f t="shared" si="53"/>
        <v>0</v>
      </c>
      <c r="O186" s="707">
        <f t="shared" ca="1" si="56"/>
        <v>20.530986771279572</v>
      </c>
      <c r="P186" s="1954">
        <f t="shared" ca="1" si="57"/>
        <v>0</v>
      </c>
    </row>
    <row r="187" spans="2:16" s="828" customFormat="1" hidden="1" outlineLevel="1">
      <c r="B187" s="955" t="s">
        <v>1866</v>
      </c>
      <c r="C187" s="681">
        <f t="shared" si="49"/>
        <v>4.9857304786140873E-2</v>
      </c>
      <c r="D187" s="681">
        <f>C187*假设!$C$125</f>
        <v>9.9714609572281732E-3</v>
      </c>
      <c r="E187" s="681">
        <f ca="1">假设!$C$126*P152</f>
        <v>3.7133568972076161E-2</v>
      </c>
      <c r="F187" s="681">
        <f t="shared" si="50"/>
        <v>0</v>
      </c>
      <c r="G187" s="681">
        <f t="shared" ca="1" si="50"/>
        <v>6.917143603165417E-7</v>
      </c>
      <c r="H187" s="681">
        <f t="shared" ca="1" si="58"/>
        <v>4.7105721643664653E-2</v>
      </c>
      <c r="I187" s="1958">
        <f ca="1">J152*假设!$K$116</f>
        <v>0.15364059697081728</v>
      </c>
      <c r="J187" s="1954">
        <f t="shared" ca="1" si="51"/>
        <v>30.621584518836304</v>
      </c>
      <c r="K187" s="707">
        <f t="shared" ca="1" si="52"/>
        <v>8.36284009673148</v>
      </c>
      <c r="L187" s="1954">
        <f ca="1">(AVERAGE(J187,J152)-AVERAGE(K187,K152))*F12</f>
        <v>1.363002849680121</v>
      </c>
      <c r="M187" s="1954">
        <f t="shared" ca="1" si="55"/>
        <v>22.419938720543804</v>
      </c>
      <c r="N187" s="681">
        <f t="shared" si="53"/>
        <v>3.4546369898899933E-5</v>
      </c>
      <c r="O187" s="707">
        <f t="shared" ca="1" si="56"/>
        <v>8.2016112519226017</v>
      </c>
      <c r="P187" s="1954">
        <f t="shared" ca="1" si="57"/>
        <v>4.9168544357571412E-2</v>
      </c>
    </row>
    <row r="188" spans="2:16" s="828" customFormat="1" hidden="1" outlineLevel="1">
      <c r="B188" s="956" t="s">
        <v>1867</v>
      </c>
      <c r="C188" s="681">
        <f t="shared" si="49"/>
        <v>7.1060100148829486</v>
      </c>
      <c r="D188" s="681">
        <f>C188*假设!$C$125</f>
        <v>1.4212020029765895</v>
      </c>
      <c r="E188" s="681">
        <f ca="1">假设!$C$126*P153</f>
        <v>5.2925346473455939</v>
      </c>
      <c r="F188" s="681">
        <f t="shared" si="50"/>
        <v>0</v>
      </c>
      <c r="G188" s="681">
        <f t="shared" ca="1" si="50"/>
        <v>9.8587943991991329E-5</v>
      </c>
      <c r="H188" s="681">
        <f t="shared" ca="1" si="58"/>
        <v>6.7138352382661752</v>
      </c>
      <c r="I188" s="1958">
        <f ca="1">J153*假设!$K$116</f>
        <v>0.69598222347306238</v>
      </c>
      <c r="J188" s="1954">
        <f t="shared" ca="1" si="51"/>
        <v>145.21429770940557</v>
      </c>
      <c r="K188" s="707">
        <f t="shared" ca="1" si="52"/>
        <v>44.508769178918982</v>
      </c>
      <c r="L188" s="1954">
        <f ca="1">(AVERAGE(J188,J153)-AVERAGE(K188,K153))*F13</f>
        <v>5.882650914540557</v>
      </c>
      <c r="M188" s="1954">
        <f t="shared" ca="1" si="55"/>
        <v>93.881328039516603</v>
      </c>
      <c r="N188" s="681">
        <f t="shared" si="53"/>
        <v>4.9237890321675226E-3</v>
      </c>
      <c r="O188" s="707">
        <f t="shared" ca="1" si="56"/>
        <v>51.328045880856799</v>
      </c>
      <c r="P188" s="1954">
        <f t="shared" ca="1" si="57"/>
        <v>7.0078430857987648</v>
      </c>
    </row>
    <row r="189" spans="2:16" s="828" customFormat="1" hidden="1" outlineLevel="1">
      <c r="B189" s="956" t="s">
        <v>1868</v>
      </c>
      <c r="C189" s="681">
        <f t="shared" si="49"/>
        <v>6.1026497442328225</v>
      </c>
      <c r="D189" s="681">
        <f>C189*假设!$C$125</f>
        <v>1.2205299488465642</v>
      </c>
      <c r="E189" s="681">
        <f ca="1">假设!$C$126*P154</f>
        <v>4.5452349693175851</v>
      </c>
      <c r="F189" s="681">
        <f t="shared" si="50"/>
        <v>0</v>
      </c>
      <c r="G189" s="681">
        <f t="shared" ca="1" si="50"/>
        <v>8.4667442056381078E-5</v>
      </c>
      <c r="H189" s="681">
        <f t="shared" ca="1" si="58"/>
        <v>5.7658495856062055</v>
      </c>
      <c r="I189" s="1958">
        <f ca="1">J154*假设!$K$116</f>
        <v>0.33750427203021338</v>
      </c>
      <c r="J189" s="1954">
        <f t="shared" ca="1" si="51"/>
        <v>72.929199719618666</v>
      </c>
      <c r="K189" s="707">
        <f t="shared" ca="1" si="52"/>
        <v>17.722923729884897</v>
      </c>
      <c r="L189" s="1954">
        <f ca="1">(AVERAGE(J189,J154)-AVERAGE(K189,K154))*F14</f>
        <v>3.276956713085982</v>
      </c>
      <c r="M189" s="1954">
        <f t="shared" ca="1" si="55"/>
        <v>35.585504860457739</v>
      </c>
      <c r="N189" s="681">
        <f t="shared" si="53"/>
        <v>4.2285558020436409E-3</v>
      </c>
      <c r="O189" s="707">
        <f t="shared" ca="1" si="56"/>
        <v>37.339466303358883</v>
      </c>
      <c r="P189" s="1954">
        <f t="shared" ca="1" si="57"/>
        <v>6.018343870273597</v>
      </c>
    </row>
    <row r="190" spans="2:16" s="828" customFormat="1" hidden="1" outlineLevel="1">
      <c r="B190" s="956" t="s">
        <v>1869</v>
      </c>
      <c r="C190" s="681">
        <f t="shared" si="49"/>
        <v>3.2541939321629245</v>
      </c>
      <c r="D190" s="681">
        <f>C190*假设!$C$125</f>
        <v>0.65083878643258475</v>
      </c>
      <c r="E190" s="681">
        <f ca="1">假设!$C$126*P155</f>
        <v>2.4237137435891682</v>
      </c>
      <c r="F190" s="681">
        <f t="shared" si="50"/>
        <v>0</v>
      </c>
      <c r="G190" s="681">
        <f t="shared" ca="1" si="50"/>
        <v>4.5148302416013566E-5</v>
      </c>
      <c r="H190" s="681">
        <f t="shared" ca="1" si="58"/>
        <v>3.0745976783241691</v>
      </c>
      <c r="I190" s="1958">
        <f ca="1">J155*假设!$K$116</f>
        <v>0.49148357673955068</v>
      </c>
      <c r="J190" s="1954">
        <f t="shared" ca="1" si="51"/>
        <v>100.87982944949475</v>
      </c>
      <c r="K190" s="707">
        <f t="shared" ca="1" si="52"/>
        <v>44.582583447567451</v>
      </c>
      <c r="L190" s="1954">
        <f ca="1">(AVERAGE(J190,J155)-AVERAGE(K190,K155))*F15</f>
        <v>3.4703293873352665</v>
      </c>
      <c r="M190" s="1954">
        <f t="shared" ca="1" si="55"/>
        <v>74.961945428357552</v>
      </c>
      <c r="N190" s="681">
        <f t="shared" si="53"/>
        <v>2.2548468631723205E-3</v>
      </c>
      <c r="O190" s="707">
        <f t="shared" ca="1" si="56"/>
        <v>25.915629174274024</v>
      </c>
      <c r="P190" s="1954">
        <f t="shared" ca="1" si="57"/>
        <v>3.2092384333252144</v>
      </c>
    </row>
    <row r="191" spans="2:16" s="828" customFormat="1" hidden="1" outlineLevel="1">
      <c r="B191" s="957" t="s">
        <v>1837</v>
      </c>
      <c r="C191" s="681">
        <f t="shared" si="49"/>
        <v>80.942461142325044</v>
      </c>
      <c r="D191" s="681">
        <f>C191*假设!$C$125</f>
        <v>16.188492228465005</v>
      </c>
      <c r="E191" s="681">
        <f ca="1">假设!$C$126*P156</f>
        <v>60.285698885865727</v>
      </c>
      <c r="F191" s="681">
        <f t="shared" si="50"/>
        <v>0</v>
      </c>
      <c r="G191" s="681">
        <f t="shared" ca="1" si="50"/>
        <v>1.1229861496057747E-3</v>
      </c>
      <c r="H191" s="681">
        <f t="shared" ca="1" si="58"/>
        <v>76.475314100480347</v>
      </c>
      <c r="I191" s="1958">
        <f ca="1">J156*假设!$K$116</f>
        <v>8.112405611790841</v>
      </c>
      <c r="J191" s="1954">
        <f t="shared" ca="1" si="51"/>
        <v>1690.8440308468578</v>
      </c>
      <c r="K191" s="707">
        <f t="shared" ca="1" si="52"/>
        <v>491.57076549301524</v>
      </c>
      <c r="L191" s="1959">
        <f ca="1">SUM(L192,L195)</f>
        <v>76.16698654862995</v>
      </c>
      <c r="M191" s="1954">
        <f t="shared" ca="1" si="55"/>
        <v>1137.8752431203377</v>
      </c>
      <c r="N191" s="681">
        <f t="shared" si="53"/>
        <v>5.6085426501582381E-2</v>
      </c>
      <c r="O191" s="707">
        <f t="shared" ca="1" si="56"/>
        <v>552.91270230001851</v>
      </c>
      <c r="P191" s="1954">
        <f t="shared" ca="1" si="57"/>
        <v>79.824270649176839</v>
      </c>
    </row>
    <row r="192" spans="2:16" s="828" customFormat="1" hidden="1" outlineLevel="1">
      <c r="B192" s="956" t="s">
        <v>1870</v>
      </c>
      <c r="C192" s="681">
        <f t="shared" si="49"/>
        <v>73.204213365394466</v>
      </c>
      <c r="D192" s="681">
        <f>C192*假设!$C$125</f>
        <v>14.64084267307889</v>
      </c>
      <c r="E192" s="681">
        <f ca="1">假设!$C$126*P157</f>
        <v>54.522275476192334</v>
      </c>
      <c r="F192" s="681">
        <f t="shared" si="50"/>
        <v>0</v>
      </c>
      <c r="G192" s="681">
        <f t="shared" ca="1" si="50"/>
        <v>1.015626613546811E-3</v>
      </c>
      <c r="H192" s="681">
        <f t="shared" ca="1" si="58"/>
        <v>69.164133775884778</v>
      </c>
      <c r="I192" s="1958">
        <f ca="1">J157*假设!$K$116</f>
        <v>5.6241515891148275</v>
      </c>
      <c r="J192" s="1954">
        <f t="shared" ca="1" si="51"/>
        <v>1188.3703000097355</v>
      </c>
      <c r="K192" s="707">
        <f t="shared" ca="1" si="52"/>
        <v>282.16197297733402</v>
      </c>
      <c r="L192" s="1959">
        <f ca="1">SUM(L193:L194)</f>
        <v>56.108059412234972</v>
      </c>
      <c r="M192" s="1954">
        <f t="shared" ca="1" si="55"/>
        <v>756.79027364932108</v>
      </c>
      <c r="N192" s="681">
        <f t="shared" si="53"/>
        <v>5.0723556837390368E-2</v>
      </c>
      <c r="O192" s="707">
        <f t="shared" ca="1" si="56"/>
        <v>431.52930280357702</v>
      </c>
      <c r="P192" s="1954">
        <f t="shared" ca="1" si="57"/>
        <v>72.192923934750098</v>
      </c>
    </row>
    <row r="193" spans="2:16" s="828" customFormat="1" hidden="1" outlineLevel="1">
      <c r="B193" s="956" t="s">
        <v>1871</v>
      </c>
      <c r="C193" s="681">
        <f t="shared" si="49"/>
        <v>56.346123348460765</v>
      </c>
      <c r="D193" s="681">
        <f>C193*假设!$C$125</f>
        <v>11.26922466969215</v>
      </c>
      <c r="E193" s="681">
        <f ca="1">假设!$C$126*P158</f>
        <v>41.966421302637208</v>
      </c>
      <c r="F193" s="681">
        <f t="shared" si="50"/>
        <v>0</v>
      </c>
      <c r="G193" s="681">
        <f t="shared" ca="1" si="50"/>
        <v>7.8173946296294212E-4</v>
      </c>
      <c r="H193" s="681">
        <f t="shared" ca="1" si="58"/>
        <v>53.236427711792324</v>
      </c>
      <c r="I193" s="1958">
        <f ca="1">J158*假设!$K$116</f>
        <v>3.5932348717491061</v>
      </c>
      <c r="J193" s="1954">
        <f t="shared" ca="1" si="51"/>
        <v>768.29016718986441</v>
      </c>
      <c r="K193" s="707">
        <f t="shared" ca="1" si="52"/>
        <v>134.62019054403459</v>
      </c>
      <c r="L193" s="1954">
        <f ca="1">(AVERAGE(J193,J158)-AVERAGE(K193,K158))*F18</f>
        <v>38.558799845483549</v>
      </c>
      <c r="M193" s="1954">
        <f t="shared" ca="1" si="55"/>
        <v>471.84771017760551</v>
      </c>
      <c r="N193" s="681">
        <f t="shared" si="53"/>
        <v>3.9042503960343693E-2</v>
      </c>
      <c r="O193" s="707">
        <f t="shared" ca="1" si="56"/>
        <v>296.40341450829857</v>
      </c>
      <c r="P193" s="1954">
        <f t="shared" ca="1" si="57"/>
        <v>55.567722264964949</v>
      </c>
    </row>
    <row r="194" spans="2:16" s="828" customFormat="1" hidden="1" outlineLevel="1">
      <c r="B194" s="956" t="s">
        <v>1872</v>
      </c>
      <c r="C194" s="681">
        <f t="shared" si="49"/>
        <v>16.858090016933708</v>
      </c>
      <c r="D194" s="681">
        <f>C194*假设!$C$125</f>
        <v>3.3716180033867409</v>
      </c>
      <c r="E194" s="681">
        <f ca="1">假设!$C$126*P159</f>
        <v>12.555854173555115</v>
      </c>
      <c r="F194" s="681">
        <f t="shared" si="50"/>
        <v>0</v>
      </c>
      <c r="G194" s="681">
        <f t="shared" ca="1" si="50"/>
        <v>2.3388715058386887E-4</v>
      </c>
      <c r="H194" s="681">
        <f t="shared" ca="1" si="58"/>
        <v>15.92770606409244</v>
      </c>
      <c r="I194" s="1958">
        <f ca="1">J159*假设!$K$116</f>
        <v>2.0309167173657228</v>
      </c>
      <c r="J194" s="1954">
        <f t="shared" ca="1" si="51"/>
        <v>420.08013281987127</v>
      </c>
      <c r="K194" s="707">
        <f t="shared" ca="1" si="52"/>
        <v>138.45448269809467</v>
      </c>
      <c r="L194" s="1954">
        <f ca="1">(AVERAGE(J194,J159)-AVERAGE(K194,K159))*F19</f>
        <v>17.549259566751424</v>
      </c>
      <c r="M194" s="1954">
        <f t="shared" ca="1" si="55"/>
        <v>284.94256347171529</v>
      </c>
      <c r="N194" s="681">
        <f t="shared" si="53"/>
        <v>1.1681052877046679E-2</v>
      </c>
      <c r="O194" s="707">
        <f t="shared" ca="1" si="56"/>
        <v>135.12588829527894</v>
      </c>
      <c r="P194" s="1954">
        <f t="shared" ca="1" si="57"/>
        <v>16.625201669785163</v>
      </c>
    </row>
    <row r="195" spans="2:16" s="828" customFormat="1" hidden="1" outlineLevel="1">
      <c r="B195" s="956" t="s">
        <v>1873</v>
      </c>
      <c r="C195" s="681">
        <f t="shared" si="49"/>
        <v>7.7382477769305789</v>
      </c>
      <c r="D195" s="681">
        <f>C195*假设!$C$125</f>
        <v>1.5476495553861154</v>
      </c>
      <c r="E195" s="681">
        <f ca="1">假设!$C$126*P160</f>
        <v>5.7634234096734138</v>
      </c>
      <c r="F195" s="681">
        <f t="shared" si="50"/>
        <v>0</v>
      </c>
      <c r="G195" s="681">
        <f t="shared" ca="1" si="50"/>
        <v>1.0735953605896372E-4</v>
      </c>
      <c r="H195" s="681">
        <f t="shared" ca="1" si="58"/>
        <v>7.311180324595588</v>
      </c>
      <c r="I195" s="1958">
        <f ca="1">J160*假设!$K$116</f>
        <v>2.4882540226760139</v>
      </c>
      <c r="J195" s="1954">
        <f t="shared" ca="1" si="51"/>
        <v>502.47373083712233</v>
      </c>
      <c r="K195" s="707">
        <f t="shared" ca="1" si="52"/>
        <v>194.73697295887436</v>
      </c>
      <c r="L195" s="1959">
        <f ca="1">SUM(L196:L197)</f>
        <v>20.058927136394985</v>
      </c>
      <c r="M195" s="1954">
        <f t="shared" ca="1" si="55"/>
        <v>381.08496947101685</v>
      </c>
      <c r="N195" s="681">
        <f t="shared" si="53"/>
        <v>5.3618696641920104E-3</v>
      </c>
      <c r="O195" s="707">
        <f t="shared" ca="1" si="56"/>
        <v>121.38339949644129</v>
      </c>
      <c r="P195" s="1954">
        <f t="shared" ca="1" si="57"/>
        <v>7.6313467144267566</v>
      </c>
    </row>
    <row r="196" spans="2:16" s="828" customFormat="1" hidden="1" outlineLevel="1">
      <c r="B196" s="956" t="s">
        <v>1871</v>
      </c>
      <c r="C196" s="681">
        <f t="shared" si="49"/>
        <v>5.5257156997073791</v>
      </c>
      <c r="D196" s="681">
        <f>C196*假设!$C$125</f>
        <v>1.1051431399414755</v>
      </c>
      <c r="E196" s="681">
        <f ca="1">假设!$C$126*P161</f>
        <v>4.1155362476032957</v>
      </c>
      <c r="F196" s="681">
        <f t="shared" si="50"/>
        <v>0</v>
      </c>
      <c r="G196" s="681">
        <f t="shared" ca="1" si="50"/>
        <v>7.6663127237007098E-5</v>
      </c>
      <c r="H196" s="681">
        <f t="shared" ca="1" si="58"/>
        <v>5.2207560506720077</v>
      </c>
      <c r="I196" s="1958">
        <f ca="1">J161*假设!$K$116</f>
        <v>2.2584402119679541</v>
      </c>
      <c r="J196" s="1954">
        <f t="shared" ca="1" si="51"/>
        <v>454.65035823229482</v>
      </c>
      <c r="K196" s="707">
        <f t="shared" ca="1" si="52"/>
        <v>176.75964041614827</v>
      </c>
      <c r="L196" s="1954">
        <f t="shared" ref="L196:L209" ca="1" si="59">(AVERAGE(J196,J161)-AVERAGE(K196,K161))*F21</f>
        <v>18.038448198368297</v>
      </c>
      <c r="M196" s="1954">
        <f t="shared" ca="1" si="55"/>
        <v>350.54264355130982</v>
      </c>
      <c r="N196" s="681">
        <f t="shared" si="53"/>
        <v>3.828795385893253E-3</v>
      </c>
      <c r="O196" s="707">
        <f t="shared" ca="1" si="56"/>
        <v>104.1038858855991</v>
      </c>
      <c r="P196" s="1954">
        <f t="shared" ca="1" si="57"/>
        <v>5.4493799585394909</v>
      </c>
    </row>
    <row r="197" spans="2:16" s="828" customFormat="1" hidden="1" outlineLevel="1">
      <c r="B197" s="956" t="s">
        <v>1872</v>
      </c>
      <c r="C197" s="681">
        <f t="shared" si="49"/>
        <v>2.2125320772231998</v>
      </c>
      <c r="D197" s="681">
        <f>C197*假设!$C$125</f>
        <v>0.44250641544463987</v>
      </c>
      <c r="E197" s="681">
        <f ca="1">假设!$C$126*P162</f>
        <v>1.6478871620701181</v>
      </c>
      <c r="F197" s="681">
        <f t="shared" si="50"/>
        <v>0</v>
      </c>
      <c r="G197" s="681">
        <f t="shared" ca="1" si="50"/>
        <v>3.069640882195662E-5</v>
      </c>
      <c r="H197" s="681">
        <f t="shared" ca="1" si="58"/>
        <v>2.0904242739235799</v>
      </c>
      <c r="I197" s="1958">
        <f ca="1">J162*假设!$K$116</f>
        <v>0.2298138107080594</v>
      </c>
      <c r="J197" s="1954">
        <f t="shared" ca="1" si="51"/>
        <v>47.823372604827398</v>
      </c>
      <c r="K197" s="707">
        <f t="shared" ca="1" si="52"/>
        <v>17.864620230958842</v>
      </c>
      <c r="L197" s="1954">
        <f t="shared" ca="1" si="59"/>
        <v>2.0204789380266899</v>
      </c>
      <c r="M197" s="1954">
        <f t="shared" ca="1" si="55"/>
        <v>30.548551849536089</v>
      </c>
      <c r="N197" s="681">
        <f t="shared" si="53"/>
        <v>1.5330742782987572E-3</v>
      </c>
      <c r="O197" s="707">
        <f t="shared" ca="1" si="56"/>
        <v>17.273287681013009</v>
      </c>
      <c r="P197" s="1954">
        <f t="shared" ca="1" si="57"/>
        <v>2.181966755887268</v>
      </c>
    </row>
    <row r="198" spans="2:16" s="828" customFormat="1" hidden="1" outlineLevel="1">
      <c r="B198" s="957" t="s">
        <v>1838</v>
      </c>
      <c r="C198" s="681">
        <f t="shared" si="49"/>
        <v>3.8269725784581974</v>
      </c>
      <c r="D198" s="681">
        <f>C198*假设!$C$125</f>
        <v>0.7653945156916393</v>
      </c>
      <c r="E198" s="681">
        <f ca="1">假设!$C$126*P163</f>
        <v>2.8503175373395733</v>
      </c>
      <c r="F198" s="681">
        <f t="shared" si="50"/>
        <v>0</v>
      </c>
      <c r="G198" s="681">
        <f t="shared" ca="1" si="50"/>
        <v>5.309496573093955E-5</v>
      </c>
      <c r="H198" s="681">
        <f t="shared" ca="1" si="58"/>
        <v>3.6157651479969437</v>
      </c>
      <c r="I198" s="1958">
        <f ca="1">J163*假设!$K$116</f>
        <v>0.39790538922295177</v>
      </c>
      <c r="J198" s="1954">
        <f t="shared" ca="1" si="51"/>
        <v>82.798937603364337</v>
      </c>
      <c r="K198" s="707">
        <f t="shared" ca="1" si="52"/>
        <v>29.517951524289401</v>
      </c>
      <c r="L198" s="1954">
        <f t="shared" ca="1" si="59"/>
        <v>4.0847375238634358</v>
      </c>
      <c r="M198" s="1954">
        <f t="shared" ca="1" si="55"/>
        <v>55.569352268856449</v>
      </c>
      <c r="N198" s="681">
        <f t="shared" si="53"/>
        <v>2.6517279836015999E-3</v>
      </c>
      <c r="O198" s="707">
        <f t="shared" ca="1" si="56"/>
        <v>27.226933606524288</v>
      </c>
      <c r="P198" s="1954">
        <f t="shared" ca="1" si="57"/>
        <v>3.7741043521357196</v>
      </c>
    </row>
    <row r="199" spans="2:16" s="828" customFormat="1" hidden="1" outlineLevel="1">
      <c r="B199" s="957" t="s">
        <v>1839</v>
      </c>
      <c r="C199" s="681">
        <f t="shared" si="49"/>
        <v>5.0745525118694417</v>
      </c>
      <c r="D199" s="681">
        <f>C199*假设!$C$125</f>
        <v>1.014910502373888</v>
      </c>
      <c r="E199" s="681">
        <f ca="1">假设!$C$126*P164</f>
        <v>3.7795112774388664</v>
      </c>
      <c r="F199" s="681">
        <f t="shared" si="50"/>
        <v>0</v>
      </c>
      <c r="G199" s="681">
        <f t="shared" ca="1" si="50"/>
        <v>7.0403742434472797E-5</v>
      </c>
      <c r="H199" s="681">
        <f t="shared" ca="1" si="58"/>
        <v>4.7944921835551888</v>
      </c>
      <c r="I199" s="1958">
        <f ca="1">J164*假设!$K$116</f>
        <v>0.33134035149497215</v>
      </c>
      <c r="J199" s="1954">
        <f t="shared" ca="1" si="51"/>
        <v>70.731222131054651</v>
      </c>
      <c r="K199" s="707">
        <f t="shared" ca="1" si="52"/>
        <v>26.89248347746187</v>
      </c>
      <c r="L199" s="1954">
        <f t="shared" ca="1" si="59"/>
        <v>4.2467252928328048</v>
      </c>
      <c r="M199" s="1954">
        <f t="shared" ca="1" si="55"/>
        <v>43.593854163492217</v>
      </c>
      <c r="N199" s="681">
        <f t="shared" si="53"/>
        <v>3.5161822103782214E-3</v>
      </c>
      <c r="O199" s="707">
        <f t="shared" ca="1" si="56"/>
        <v>27.133851785352054</v>
      </c>
      <c r="P199" s="1954">
        <f t="shared" ca="1" si="57"/>
        <v>5.0044494251128349</v>
      </c>
    </row>
    <row r="200" spans="2:16" s="828" customFormat="1" hidden="1" outlineLevel="1">
      <c r="B200" s="958" t="s">
        <v>1840</v>
      </c>
      <c r="C200" s="681">
        <f t="shared" si="49"/>
        <v>15.02726020727054</v>
      </c>
      <c r="D200" s="681">
        <f>C200*假设!$C$125</f>
        <v>3.0054520414541073</v>
      </c>
      <c r="E200" s="681">
        <f ca="1">假设!$C$126*P165</f>
        <v>11.1922576994802</v>
      </c>
      <c r="F200" s="681">
        <f t="shared" si="50"/>
        <v>0</v>
      </c>
      <c r="G200" s="681">
        <f t="shared" ca="1" si="50"/>
        <v>2.0848643395725237E-4</v>
      </c>
      <c r="H200" s="681">
        <f t="shared" ca="1" si="58"/>
        <v>14.197918227368264</v>
      </c>
      <c r="I200" s="1958">
        <f ca="1">J165*假设!$K$116</f>
        <v>1.0447423441553498</v>
      </c>
      <c r="J200" s="1954">
        <f t="shared" ca="1" si="51"/>
        <v>222.10164471428288</v>
      </c>
      <c r="K200" s="707">
        <f t="shared" ca="1" si="52"/>
        <v>137.60761410868969</v>
      </c>
      <c r="L200" s="1954">
        <f t="shared" ca="1" si="59"/>
        <v>7.1795157787599155</v>
      </c>
      <c r="M200" s="1954">
        <f t="shared" ca="1" si="55"/>
        <v>137.93165406850252</v>
      </c>
      <c r="N200" s="681">
        <f t="shared" si="53"/>
        <v>1.0412461963481334E-2</v>
      </c>
      <c r="O200" s="707">
        <f t="shared" ca="1" si="56"/>
        <v>84.159578183816876</v>
      </c>
      <c r="P200" s="1954">
        <f t="shared" ca="1" si="57"/>
        <v>14.819664104252524</v>
      </c>
    </row>
    <row r="201" spans="2:16" s="828" customFormat="1" hidden="1" outlineLevel="1">
      <c r="B201" s="957" t="s">
        <v>1841</v>
      </c>
      <c r="C201" s="681">
        <f t="shared" si="49"/>
        <v>1.2142360964885572</v>
      </c>
      <c r="D201" s="681">
        <f>C201*假设!$C$125</f>
        <v>0.24284721929771139</v>
      </c>
      <c r="E201" s="681">
        <f ca="1">假设!$C$126*P166</f>
        <v>0.90435935176897075</v>
      </c>
      <c r="F201" s="681">
        <f t="shared" si="50"/>
        <v>0</v>
      </c>
      <c r="G201" s="681">
        <f t="shared" ca="1" si="50"/>
        <v>1.6846168246730219E-5</v>
      </c>
      <c r="H201" s="681">
        <f t="shared" ca="1" si="58"/>
        <v>1.1472234172349289</v>
      </c>
      <c r="I201" s="1958">
        <f ca="1">J166*假设!$K$116</f>
        <v>0.13530008489095399</v>
      </c>
      <c r="J201" s="1954">
        <f t="shared" ca="1" si="51"/>
        <v>28.071940310534774</v>
      </c>
      <c r="K201" s="707">
        <f t="shared" ca="1" si="52"/>
        <v>25.502680604720386</v>
      </c>
      <c r="L201" s="1954">
        <f t="shared" ca="1" si="59"/>
        <v>0.2908662052843729</v>
      </c>
      <c r="M201" s="1954">
        <f t="shared" ca="1" si="55"/>
        <v>22.341868324698837</v>
      </c>
      <c r="N201" s="681">
        <f t="shared" si="53"/>
        <v>8.4135011938211361E-4</v>
      </c>
      <c r="O201" s="707">
        <f t="shared" ca="1" si="56"/>
        <v>5.7292306357165561</v>
      </c>
      <c r="P201" s="1954">
        <f t="shared" ca="1" si="57"/>
        <v>1.1974618689648417</v>
      </c>
    </row>
    <row r="202" spans="2:16" s="828" customFormat="1" hidden="1" outlineLevel="1">
      <c r="B202" s="957" t="s">
        <v>1842</v>
      </c>
      <c r="C202" s="681">
        <f t="shared" si="49"/>
        <v>0</v>
      </c>
      <c r="D202" s="681">
        <f>C202*假设!$C$125</f>
        <v>0</v>
      </c>
      <c r="E202" s="681">
        <f ca="1">假设!$C$126*P167</f>
        <v>0</v>
      </c>
      <c r="F202" s="681">
        <f t="shared" si="50"/>
        <v>0</v>
      </c>
      <c r="G202" s="681">
        <f t="shared" ca="1" si="50"/>
        <v>0</v>
      </c>
      <c r="H202" s="681">
        <f t="shared" ca="1" si="58"/>
        <v>0</v>
      </c>
      <c r="I202" s="1958">
        <f ca="1">J167*假设!$K$116</f>
        <v>0</v>
      </c>
      <c r="J202" s="1954">
        <f t="shared" ca="1" si="51"/>
        <v>0</v>
      </c>
      <c r="K202" s="707">
        <f t="shared" ca="1" si="52"/>
        <v>0</v>
      </c>
      <c r="L202" s="1954">
        <f t="shared" ca="1" si="59"/>
        <v>0</v>
      </c>
      <c r="M202" s="1954">
        <f t="shared" ca="1" si="55"/>
        <v>0</v>
      </c>
      <c r="N202" s="681">
        <f t="shared" si="53"/>
        <v>0</v>
      </c>
      <c r="O202" s="707">
        <f t="shared" ca="1" si="56"/>
        <v>0</v>
      </c>
      <c r="P202" s="1954">
        <f t="shared" ca="1" si="57"/>
        <v>0</v>
      </c>
    </row>
    <row r="203" spans="2:16" s="828" customFormat="1" hidden="1" outlineLevel="1">
      <c r="B203" s="957" t="s">
        <v>1843</v>
      </c>
      <c r="C203" s="681">
        <f t="shared" si="49"/>
        <v>0.29672887921831526</v>
      </c>
      <c r="D203" s="681">
        <f>C203*假设!$C$125</f>
        <v>5.9345775843663039E-2</v>
      </c>
      <c r="E203" s="681">
        <f ca="1">假设!$C$126*P168</f>
        <v>0.22100276679061623</v>
      </c>
      <c r="F203" s="681">
        <f t="shared" si="50"/>
        <v>0</v>
      </c>
      <c r="G203" s="681">
        <f t="shared" ca="1" si="50"/>
        <v>4.1167814376720237E-6</v>
      </c>
      <c r="H203" s="681">
        <f t="shared" ca="1" si="58"/>
        <v>0.28035265941571696</v>
      </c>
      <c r="I203" s="1958">
        <f ca="1">J168*假设!$K$116</f>
        <v>2.8050649903707169E-2</v>
      </c>
      <c r="J203" s="1954">
        <f t="shared" ca="1" si="51"/>
        <v>5.8624319902534436</v>
      </c>
      <c r="K203" s="707">
        <f t="shared" ca="1" si="52"/>
        <v>2.3634698257269964</v>
      </c>
      <c r="L203" s="1954">
        <f t="shared" ca="1" si="59"/>
        <v>0.27788635164533743</v>
      </c>
      <c r="M203" s="1954">
        <f t="shared" ca="1" si="55"/>
        <v>3.9952166456316691</v>
      </c>
      <c r="N203" s="681">
        <f t="shared" si="53"/>
        <v>2.0560488909563809E-4</v>
      </c>
      <c r="O203" s="707">
        <f t="shared" ca="1" si="56"/>
        <v>1.8670097397326788</v>
      </c>
      <c r="P203" s="1954">
        <f t="shared" ca="1" si="57"/>
        <v>0.29262967829086844</v>
      </c>
    </row>
    <row r="204" spans="2:16" s="828" customFormat="1" hidden="1" outlineLevel="1">
      <c r="B204" s="957" t="s">
        <v>1844</v>
      </c>
      <c r="C204" s="681">
        <f t="shared" si="49"/>
        <v>1.5574634237081966</v>
      </c>
      <c r="D204" s="681">
        <f>C204*假设!$C$125</f>
        <v>0.31149268474163927</v>
      </c>
      <c r="E204" s="681">
        <f ca="1">假设!$C$126*P169</f>
        <v>1.1599940212137319</v>
      </c>
      <c r="F204" s="681">
        <f t="shared" si="50"/>
        <v>0</v>
      </c>
      <c r="G204" s="681">
        <f t="shared" ca="1" si="50"/>
        <v>2.1608063662241827E-5</v>
      </c>
      <c r="H204" s="681">
        <f t="shared" ca="1" si="58"/>
        <v>1.4715083140190333</v>
      </c>
      <c r="I204" s="1958">
        <f ca="1">J169*假设!$K$116</f>
        <v>0.10395440160245249</v>
      </c>
      <c r="J204" s="1954">
        <f t="shared" ca="1" si="51"/>
        <v>22.15843423290708</v>
      </c>
      <c r="K204" s="707">
        <f t="shared" ca="1" si="52"/>
        <v>13.382572347885969</v>
      </c>
      <c r="L204" s="1954">
        <f t="shared" ca="1" si="59"/>
        <v>0.79413319200984978</v>
      </c>
      <c r="M204" s="1954">
        <f t="shared" ca="1" si="55"/>
        <v>14.211381315214407</v>
      </c>
      <c r="N204" s="681">
        <f t="shared" si="53"/>
        <v>1.079174010111892E-3</v>
      </c>
      <c r="O204" s="707">
        <f t="shared" ca="1" si="56"/>
        <v>7.9459737436825613</v>
      </c>
      <c r="P204" s="1954">
        <f t="shared" ca="1" si="57"/>
        <v>1.535947636206328</v>
      </c>
    </row>
    <row r="205" spans="2:16" s="828" customFormat="1" hidden="1" outlineLevel="1">
      <c r="B205" s="957" t="s">
        <v>1845</v>
      </c>
      <c r="C205" s="681">
        <f t="shared" si="49"/>
        <v>1.2802161893653368</v>
      </c>
      <c r="D205" s="681">
        <f>C205*假设!$C$125</f>
        <v>0.25604323787306732</v>
      </c>
      <c r="E205" s="681">
        <f ca="1">假设!$C$126*P170</f>
        <v>0.95350112427619471</v>
      </c>
      <c r="F205" s="681">
        <f t="shared" si="50"/>
        <v>0</v>
      </c>
      <c r="G205" s="681">
        <f t="shared" ca="1" si="50"/>
        <v>1.7761568265516916E-5</v>
      </c>
      <c r="H205" s="681">
        <f t="shared" ca="1" si="58"/>
        <v>1.2095621237175276</v>
      </c>
      <c r="I205" s="1958">
        <f ca="1">J170*假设!$K$116</f>
        <v>6.8142242797519695E-2</v>
      </c>
      <c r="J205" s="1954">
        <f t="shared" ca="1" si="51"/>
        <v>14.769868440423947</v>
      </c>
      <c r="K205" s="707">
        <f t="shared" ca="1" si="52"/>
        <v>9.1868829495865292</v>
      </c>
      <c r="L205" s="1954">
        <f t="shared" ca="1" si="59"/>
        <v>0.47631300626305262</v>
      </c>
      <c r="M205" s="1954">
        <f t="shared" ca="1" si="55"/>
        <v>7.7178206026061451</v>
      </c>
      <c r="N205" s="681">
        <f t="shared" si="53"/>
        <v>8.8706804786345026E-4</v>
      </c>
      <c r="O205" s="707">
        <f t="shared" ca="1" si="56"/>
        <v>7.0511607697699379</v>
      </c>
      <c r="P205" s="1954">
        <f t="shared" ca="1" si="57"/>
        <v>1.2625304709930525</v>
      </c>
    </row>
    <row r="206" spans="2:16" s="828" customFormat="1" hidden="1" outlineLevel="1">
      <c r="B206" s="957" t="s">
        <v>1846</v>
      </c>
      <c r="C206" s="681">
        <f t="shared" si="49"/>
        <v>0.17205783536630156</v>
      </c>
      <c r="D206" s="681">
        <f>C206*假设!$C$125</f>
        <v>3.4411567073260305E-2</v>
      </c>
      <c r="E206" s="681">
        <f ca="1">假设!$C$126*P171</f>
        <v>0.1281481524957343</v>
      </c>
      <c r="F206" s="681">
        <f t="shared" si="50"/>
        <v>0</v>
      </c>
      <c r="G206" s="681">
        <f t="shared" ca="1" si="50"/>
        <v>2.3871100942651314E-6</v>
      </c>
      <c r="H206" s="681">
        <f t="shared" ca="1" si="58"/>
        <v>0.16256210667908888</v>
      </c>
      <c r="I206" s="1958">
        <f ca="1">J171*假设!$K$116</f>
        <v>2.1917234725613941E-2</v>
      </c>
      <c r="J206" s="1954">
        <f t="shared" ca="1" si="51"/>
        <v>4.524091817076263</v>
      </c>
      <c r="K206" s="707">
        <f t="shared" ca="1" si="52"/>
        <v>2.0049988594211032</v>
      </c>
      <c r="L206" s="1954">
        <f t="shared" ca="1" si="59"/>
        <v>0.19030652998497871</v>
      </c>
      <c r="M206" s="1954">
        <f t="shared" ca="1" si="55"/>
        <v>3.715792292213723</v>
      </c>
      <c r="N206" s="681">
        <f t="shared" si="53"/>
        <v>1.1921971414348419E-4</v>
      </c>
      <c r="O206" s="707">
        <f t="shared" ca="1" si="56"/>
        <v>0.80818030514839645</v>
      </c>
      <c r="P206" s="1954">
        <f t="shared" ca="1" si="57"/>
        <v>0.16968091930688056</v>
      </c>
    </row>
    <row r="207" spans="2:16" s="828" customFormat="1" hidden="1" outlineLevel="1">
      <c r="B207" s="957" t="s">
        <v>1847</v>
      </c>
      <c r="C207" s="681">
        <f t="shared" si="49"/>
        <v>18.312997011841446</v>
      </c>
      <c r="D207" s="681">
        <f>C207*假设!$C$125</f>
        <v>3.6625994023682886</v>
      </c>
      <c r="E207" s="681">
        <f ca="1">假设!$C$126*P172</f>
        <v>13.639464478506463</v>
      </c>
      <c r="F207" s="681">
        <f t="shared" si="50"/>
        <v>0</v>
      </c>
      <c r="G207" s="681">
        <f t="shared" ca="1" si="50"/>
        <v>2.5407235846101862E-4</v>
      </c>
      <c r="H207" s="681">
        <f t="shared" ca="1" si="58"/>
        <v>17.302317953233214</v>
      </c>
      <c r="I207" s="1958">
        <f ca="1">J172*假设!$K$116</f>
        <v>1.1496871890256404</v>
      </c>
      <c r="J207" s="1954">
        <f t="shared" ca="1" si="51"/>
        <v>246.09006856933567</v>
      </c>
      <c r="K207" s="707">
        <f t="shared" ca="1" si="52"/>
        <v>18.30829545006128</v>
      </c>
      <c r="L207" s="1954">
        <f t="shared" ca="1" si="59"/>
        <v>10.589917926354641</v>
      </c>
      <c r="M207" s="1954">
        <f t="shared" ca="1" si="55"/>
        <v>110.74774975363711</v>
      </c>
      <c r="N207" s="681">
        <f t="shared" si="53"/>
        <v>1.2689165036943281E-2</v>
      </c>
      <c r="O207" s="707">
        <f t="shared" ca="1" si="56"/>
        <v>135.32962965066162</v>
      </c>
      <c r="P207" s="1954">
        <f t="shared" ca="1" si="57"/>
        <v>18.060009656741311</v>
      </c>
    </row>
    <row r="208" spans="2:16" s="828" customFormat="1" hidden="1" outlineLevel="1">
      <c r="B208" s="957" t="s">
        <v>1848</v>
      </c>
      <c r="C208" s="681">
        <f t="shared" si="49"/>
        <v>24.688385738784046</v>
      </c>
      <c r="D208" s="681">
        <f>C208*假设!$C$125</f>
        <v>4.9376771477568084</v>
      </c>
      <c r="E208" s="681">
        <f ca="1">假设!$C$126*P173</f>
        <v>18.387834612656359</v>
      </c>
      <c r="F208" s="681">
        <f t="shared" si="50"/>
        <v>0</v>
      </c>
      <c r="G208" s="681">
        <f t="shared" ca="1" si="50"/>
        <v>3.4252374896322349E-4</v>
      </c>
      <c r="H208" s="681">
        <f t="shared" ca="1" si="58"/>
        <v>23.32585428416213</v>
      </c>
      <c r="I208" s="1958">
        <f ca="1">J173*假设!$K$116</f>
        <v>2.0486683730243032</v>
      </c>
      <c r="J208" s="1954">
        <f t="shared" ca="1" si="51"/>
        <v>431.01086051599844</v>
      </c>
      <c r="K208" s="707">
        <f t="shared" ca="1" si="52"/>
        <v>156.49408951496312</v>
      </c>
      <c r="L208" s="1954">
        <f t="shared" ca="1" si="59"/>
        <v>21.822997640153417</v>
      </c>
      <c r="M208" s="1954">
        <f t="shared" ca="1" si="55"/>
        <v>289.1310812384358</v>
      </c>
      <c r="N208" s="681">
        <f t="shared" si="53"/>
        <v>1.7106703011668684E-2</v>
      </c>
      <c r="O208" s="707">
        <f t="shared" ca="1" si="56"/>
        <v>141.86267257455097</v>
      </c>
      <c r="P208" s="1954">
        <f t="shared" ca="1" si="57"/>
        <v>24.347324720442362</v>
      </c>
    </row>
    <row r="209" spans="2:16" s="828" customFormat="1" hidden="1" outlineLevel="1">
      <c r="B209" s="957" t="s">
        <v>1849</v>
      </c>
      <c r="C209" s="681">
        <f t="shared" si="49"/>
        <v>0</v>
      </c>
      <c r="D209" s="681">
        <f>C209*假设!$C$125</f>
        <v>0</v>
      </c>
      <c r="E209" s="681">
        <f ca="1">假设!$C$126*P174</f>
        <v>0</v>
      </c>
      <c r="F209" s="681">
        <f t="shared" si="50"/>
        <v>0</v>
      </c>
      <c r="G209" s="681">
        <f t="shared" ca="1" si="50"/>
        <v>0</v>
      </c>
      <c r="H209" s="681">
        <f t="shared" ca="1" si="58"/>
        <v>0</v>
      </c>
      <c r="I209" s="1958">
        <f ca="1">J174*假设!$K$116</f>
        <v>0</v>
      </c>
      <c r="J209" s="1954">
        <f t="shared" ca="1" si="51"/>
        <v>0</v>
      </c>
      <c r="K209" s="707">
        <f t="shared" ca="1" si="52"/>
        <v>0</v>
      </c>
      <c r="L209" s="1954">
        <f t="shared" ca="1" si="59"/>
        <v>0</v>
      </c>
      <c r="M209" s="1954">
        <f t="shared" ca="1" si="55"/>
        <v>0</v>
      </c>
      <c r="N209" s="681">
        <f t="shared" si="53"/>
        <v>0</v>
      </c>
      <c r="O209" s="707">
        <f t="shared" ca="1" si="56"/>
        <v>0</v>
      </c>
      <c r="P209" s="1954">
        <f t="shared" ca="1" si="57"/>
        <v>0</v>
      </c>
    </row>
    <row r="210" spans="2:16" s="827" customFormat="1" collapsed="1">
      <c r="B210" s="2150" t="s">
        <v>1874</v>
      </c>
      <c r="C210" s="728">
        <f>发展投入!K18*假设!K117*(1+假设!H115)*(1+假设!J115)*(1+假设!K115)*(1+假设!I115)</f>
        <v>189.48899896040075</v>
      </c>
      <c r="D210" s="728">
        <f>SUM(D179,D185,D191,D198:D209)</f>
        <v>37.897799792080143</v>
      </c>
      <c r="E210" s="728">
        <f ca="1">SUM(E179,E185,E191,E198:E209)</f>
        <v>141.13083012665496</v>
      </c>
      <c r="F210" s="728">
        <f>假设!$K$118</f>
        <v>0</v>
      </c>
      <c r="G210" s="2151">
        <f ca="1">债务!K38</f>
        <v>2.628947999999999E-3</v>
      </c>
      <c r="H210" s="728">
        <f t="shared" ref="H210:M210" ca="1" si="60">SUM(H179,H185,H191,H198:H209)</f>
        <v>179.03125886673507</v>
      </c>
      <c r="I210" s="728">
        <f t="shared" ca="1" si="60"/>
        <v>18.163300182794547</v>
      </c>
      <c r="J210" s="728">
        <f t="shared" ca="1" si="60"/>
        <v>3793.5279952428505</v>
      </c>
      <c r="K210" s="728">
        <f t="shared" ca="1" si="60"/>
        <v>1046.0695278803421</v>
      </c>
      <c r="L210" s="2152">
        <f t="shared" ca="1" si="60"/>
        <v>166.44525523956906</v>
      </c>
      <c r="M210" s="728">
        <f t="shared" ca="1" si="60"/>
        <v>2337.7309747053719</v>
      </c>
      <c r="N210" s="728">
        <f>假设!K120</f>
        <v>0.13129785250000001</v>
      </c>
      <c r="O210" s="728">
        <f ca="1">SUM(O179,O185,O191,O198:O209)</f>
        <v>1455.6657226849788</v>
      </c>
      <c r="P210" s="728">
        <f ca="1">SUM(P179,P185,P191,P198:P209)</f>
        <v>186.87127775198428</v>
      </c>
    </row>
  </sheetData>
  <phoneticPr fontId="71" type="noConversion"/>
  <pageMargins left="0.69930555555555596" right="0.69930555555555596" top="0.75" bottom="0.75" header="0.3" footer="0.3"/>
  <legacy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4">
    <tabColor theme="9" tint="0.59999389629810485"/>
    <pageSetUpPr fitToPage="1"/>
  </sheetPr>
  <dimension ref="A1:R53"/>
  <sheetViews>
    <sheetView showGridLines="0" zoomScale="90" zoomScaleNormal="90" workbookViewId="0">
      <pane xSplit="2" ySplit="3" topLeftCell="C7" activePane="bottomRight" state="frozen"/>
      <selection activeCell="G126" sqref="G126"/>
      <selection pane="topRight" activeCell="G126" sqref="G126"/>
      <selection pane="bottomLeft" activeCell="G126" sqref="G126"/>
      <selection pane="bottomRight" activeCell="M28" sqref="M28"/>
    </sheetView>
  </sheetViews>
  <sheetFormatPr defaultColWidth="8.77734375" defaultRowHeight="14.4"/>
  <cols>
    <col min="1" max="1" width="2.6640625" style="7" customWidth="1"/>
    <col min="2" max="2" width="35.109375" style="7" bestFit="1" customWidth="1"/>
    <col min="3" max="4" width="10.6640625" style="7" customWidth="1"/>
    <col min="5" max="5" width="11.33203125" style="7" customWidth="1"/>
    <col min="6" max="6" width="10.44140625" style="7" customWidth="1"/>
    <col min="7" max="7" width="12" style="7" customWidth="1"/>
    <col min="8" max="8" width="13.21875" style="7" customWidth="1"/>
    <col min="9" max="9" width="12.77734375" style="7" bestFit="1" customWidth="1"/>
    <col min="10" max="10" width="15.33203125" style="7" bestFit="1" customWidth="1"/>
    <col min="11" max="11" width="17.44140625" style="7" bestFit="1" customWidth="1"/>
    <col min="12" max="12" width="15.33203125" style="23" bestFit="1" customWidth="1"/>
    <col min="13" max="13" width="13.33203125" style="7" bestFit="1" customWidth="1"/>
    <col min="14" max="14" width="16.33203125" style="7" bestFit="1" customWidth="1"/>
    <col min="15" max="15" width="12.109375" style="7" customWidth="1"/>
    <col min="16" max="16384" width="8.77734375" style="7"/>
  </cols>
  <sheetData>
    <row r="1" spans="1:15" ht="15.6">
      <c r="A1" s="5"/>
      <c r="B1" s="6" t="s">
        <v>682</v>
      </c>
      <c r="C1" s="5"/>
      <c r="D1" s="5"/>
      <c r="E1" s="5"/>
      <c r="F1" s="5"/>
      <c r="G1" s="5"/>
      <c r="H1" s="5"/>
      <c r="I1" s="5"/>
      <c r="J1" s="5"/>
      <c r="K1" s="5"/>
      <c r="L1" s="24"/>
      <c r="M1" s="24"/>
    </row>
    <row r="2" spans="1:15" ht="15.6">
      <c r="A2" s="10"/>
      <c r="B2" s="11"/>
      <c r="C2" s="2495" t="s">
        <v>33</v>
      </c>
      <c r="D2" s="2495"/>
      <c r="E2" s="2495"/>
      <c r="F2" s="2495"/>
      <c r="G2" s="2496" t="s">
        <v>32</v>
      </c>
      <c r="H2" s="2496"/>
      <c r="I2" s="2496"/>
      <c r="J2" s="2496"/>
      <c r="K2" s="2496"/>
      <c r="L2" s="25"/>
      <c r="M2" s="25"/>
    </row>
    <row r="3" spans="1:15" s="2146" customFormat="1">
      <c r="A3" s="2142"/>
      <c r="B3" s="2143" t="s">
        <v>5</v>
      </c>
      <c r="C3" s="2127">
        <f>F3-3</f>
        <v>2014</v>
      </c>
      <c r="D3" s="2127">
        <f>G3-3</f>
        <v>2015</v>
      </c>
      <c r="E3" s="2127">
        <f>G3-2</f>
        <v>2016</v>
      </c>
      <c r="F3" s="2127">
        <f>G3-1</f>
        <v>2017</v>
      </c>
      <c r="G3" s="2128">
        <f>测算年份</f>
        <v>2018</v>
      </c>
      <c r="H3" s="2128">
        <f>G3+1</f>
        <v>2019</v>
      </c>
      <c r="I3" s="2128">
        <f>H3+1</f>
        <v>2020</v>
      </c>
      <c r="J3" s="2128">
        <f>I3+1</f>
        <v>2021</v>
      </c>
      <c r="K3" s="2128">
        <f>J3+1</f>
        <v>2022</v>
      </c>
      <c r="L3" s="2144" t="s">
        <v>1277</v>
      </c>
      <c r="M3" s="2145" t="s">
        <v>1280</v>
      </c>
    </row>
    <row r="4" spans="1:15" ht="15" thickBot="1">
      <c r="A4" s="30" t="s">
        <v>34</v>
      </c>
      <c r="B4" s="30"/>
      <c r="C4" s="85"/>
      <c r="D4" s="85"/>
      <c r="E4" s="85"/>
      <c r="F4" s="85"/>
      <c r="G4" s="134"/>
      <c r="H4" s="134"/>
      <c r="I4" s="134"/>
      <c r="J4" s="134"/>
      <c r="K4" s="134"/>
      <c r="L4" s="86"/>
      <c r="M4" s="86"/>
    </row>
    <row r="5" spans="1:15">
      <c r="A5" s="26"/>
      <c r="B5" s="126" t="s">
        <v>112</v>
      </c>
      <c r="C5" s="1656">
        <f t="shared" ref="C5:J5" si="0">C6+C9+C10</f>
        <v>188.5826370323</v>
      </c>
      <c r="D5" s="1656">
        <f t="shared" si="0"/>
        <v>216.9958</v>
      </c>
      <c r="E5" s="1656">
        <f t="shared" si="0"/>
        <v>195.2664</v>
      </c>
      <c r="F5" s="1656">
        <f t="shared" si="0"/>
        <v>99.601700000000008</v>
      </c>
      <c r="G5" s="1656">
        <f>G6+G9+G10</f>
        <v>147.97999999999999</v>
      </c>
      <c r="H5" s="1656">
        <f t="shared" si="0"/>
        <v>147.97999999999999</v>
      </c>
      <c r="I5" s="1656">
        <f t="shared" si="0"/>
        <v>147.97999999999999</v>
      </c>
      <c r="J5" s="1656">
        <f t="shared" si="0"/>
        <v>147.97999999999999</v>
      </c>
      <c r="K5" s="1656">
        <f>K6+K9+K10</f>
        <v>147.97999999999999</v>
      </c>
      <c r="L5" s="456">
        <f>SUM(E5:I5)</f>
        <v>738.80810000000008</v>
      </c>
    </row>
    <row r="6" spans="1:15" s="16" customFormat="1">
      <c r="A6" s="125"/>
      <c r="B6" s="820" t="s">
        <v>113</v>
      </c>
      <c r="C6" s="1914">
        <v>188.5252370323</v>
      </c>
      <c r="D6" s="1914">
        <v>216.54179999999999</v>
      </c>
      <c r="E6" s="1914">
        <v>193.76300000000001</v>
      </c>
      <c r="F6" s="1914">
        <v>98.981800000000007</v>
      </c>
      <c r="G6" s="888">
        <v>147.72</v>
      </c>
      <c r="H6" s="888">
        <f>G6</f>
        <v>147.72</v>
      </c>
      <c r="I6" s="888">
        <f t="shared" ref="I6:K6" si="1">H6</f>
        <v>147.72</v>
      </c>
      <c r="J6" s="888">
        <f t="shared" si="1"/>
        <v>147.72</v>
      </c>
      <c r="K6" s="888">
        <f t="shared" si="1"/>
        <v>147.72</v>
      </c>
      <c r="L6" s="456">
        <f>SUM(E6:I6)</f>
        <v>735.90480000000002</v>
      </c>
      <c r="M6" s="459">
        <f>SUM(G6:I6)</f>
        <v>443.15999999999997</v>
      </c>
      <c r="N6" s="749">
        <f>G6/G5</f>
        <v>0.9982430058115962</v>
      </c>
    </row>
    <row r="7" spans="1:15" s="16" customFormat="1">
      <c r="A7" s="125"/>
      <c r="B7" s="128" t="s">
        <v>130</v>
      </c>
      <c r="C7" s="448">
        <v>53.4</v>
      </c>
      <c r="D7" s="448">
        <v>77.22</v>
      </c>
      <c r="E7" s="448">
        <v>87.29</v>
      </c>
      <c r="F7" s="448">
        <v>0.1</v>
      </c>
      <c r="G7" s="888">
        <v>12.32</v>
      </c>
      <c r="H7" s="888">
        <f t="shared" ref="H7:K10" si="2">G7</f>
        <v>12.32</v>
      </c>
      <c r="I7" s="888">
        <f t="shared" si="2"/>
        <v>12.32</v>
      </c>
      <c r="J7" s="888">
        <f t="shared" si="2"/>
        <v>12.32</v>
      </c>
      <c r="K7" s="888">
        <f t="shared" si="2"/>
        <v>12.32</v>
      </c>
      <c r="L7" s="456">
        <f t="shared" ref="L7:L17" si="3">SUM(E7:I7)</f>
        <v>124.35</v>
      </c>
    </row>
    <row r="8" spans="1:15">
      <c r="A8" s="26"/>
      <c r="B8" s="128" t="s">
        <v>131</v>
      </c>
      <c r="C8" s="448">
        <v>0</v>
      </c>
      <c r="D8" s="448">
        <v>0</v>
      </c>
      <c r="E8" s="448">
        <v>0</v>
      </c>
      <c r="F8" s="448">
        <v>0</v>
      </c>
      <c r="G8" s="888">
        <v>0</v>
      </c>
      <c r="H8" s="888">
        <f t="shared" si="2"/>
        <v>0</v>
      </c>
      <c r="I8" s="888">
        <f t="shared" si="2"/>
        <v>0</v>
      </c>
      <c r="J8" s="888">
        <f t="shared" si="2"/>
        <v>0</v>
      </c>
      <c r="K8" s="888">
        <f t="shared" si="2"/>
        <v>0</v>
      </c>
      <c r="L8" s="456">
        <f t="shared" si="3"/>
        <v>0</v>
      </c>
    </row>
    <row r="9" spans="1:15">
      <c r="A9" s="26"/>
      <c r="B9" s="127" t="s">
        <v>114</v>
      </c>
      <c r="C9" s="448">
        <v>0</v>
      </c>
      <c r="D9" s="448">
        <v>0</v>
      </c>
      <c r="E9" s="448">
        <v>0</v>
      </c>
      <c r="F9" s="448">
        <v>0</v>
      </c>
      <c r="G9" s="888">
        <v>0</v>
      </c>
      <c r="H9" s="888">
        <f t="shared" si="2"/>
        <v>0</v>
      </c>
      <c r="I9" s="888">
        <f t="shared" si="2"/>
        <v>0</v>
      </c>
      <c r="J9" s="888">
        <f t="shared" si="2"/>
        <v>0</v>
      </c>
      <c r="K9" s="888">
        <f t="shared" si="2"/>
        <v>0</v>
      </c>
      <c r="L9" s="456">
        <f t="shared" si="3"/>
        <v>0</v>
      </c>
    </row>
    <row r="10" spans="1:15" s="16" customFormat="1">
      <c r="A10" s="125"/>
      <c r="B10" s="127" t="s">
        <v>115</v>
      </c>
      <c r="C10" s="448">
        <v>5.74E-2</v>
      </c>
      <c r="D10" s="448">
        <v>0.45400000000000001</v>
      </c>
      <c r="E10" s="448">
        <v>1.5034000000000001</v>
      </c>
      <c r="F10" s="448">
        <v>0.61990000000000001</v>
      </c>
      <c r="G10" s="888">
        <v>0.26</v>
      </c>
      <c r="H10" s="888">
        <f t="shared" si="2"/>
        <v>0.26</v>
      </c>
      <c r="I10" s="888">
        <f t="shared" si="2"/>
        <v>0.26</v>
      </c>
      <c r="J10" s="888">
        <f t="shared" si="2"/>
        <v>0.26</v>
      </c>
      <c r="K10" s="888">
        <f t="shared" si="2"/>
        <v>0.26</v>
      </c>
      <c r="L10" s="456">
        <f t="shared" si="3"/>
        <v>2.9032999999999998</v>
      </c>
    </row>
    <row r="11" spans="1:15">
      <c r="A11" s="26"/>
      <c r="B11" s="126" t="s">
        <v>116</v>
      </c>
      <c r="C11" s="1655">
        <f>C12+C14+C15+C16+C17+C13</f>
        <v>46.616562471263549</v>
      </c>
      <c r="D11" s="1655">
        <f t="shared" ref="D11:K11" si="4">D12+D14+D15+D16+D17+D13</f>
        <v>30.069499999999998</v>
      </c>
      <c r="E11" s="1655">
        <f t="shared" si="4"/>
        <v>47.786600000000007</v>
      </c>
      <c r="F11" s="1655">
        <f t="shared" si="4"/>
        <v>34.962399999999995</v>
      </c>
      <c r="G11" s="1655">
        <f t="shared" si="4"/>
        <v>28.6</v>
      </c>
      <c r="H11" s="1655">
        <f t="shared" si="4"/>
        <v>28.6</v>
      </c>
      <c r="I11" s="1655">
        <f t="shared" si="4"/>
        <v>28.6</v>
      </c>
      <c r="J11" s="1655">
        <f t="shared" si="4"/>
        <v>28.6</v>
      </c>
      <c r="K11" s="1655">
        <f t="shared" si="4"/>
        <v>28.6</v>
      </c>
      <c r="L11" s="456">
        <f t="shared" si="3"/>
        <v>168.54899999999998</v>
      </c>
    </row>
    <row r="12" spans="1:15">
      <c r="A12" s="26"/>
      <c r="B12" s="820" t="s">
        <v>117</v>
      </c>
      <c r="C12" s="448">
        <v>31.9064132964211</v>
      </c>
      <c r="D12" s="448">
        <v>19.214099999999998</v>
      </c>
      <c r="E12" s="448">
        <v>33.995600000000003</v>
      </c>
      <c r="F12" s="448">
        <v>24.04</v>
      </c>
      <c r="G12" s="888">
        <v>19</v>
      </c>
      <c r="H12" s="888">
        <f>G12</f>
        <v>19</v>
      </c>
      <c r="I12" s="888">
        <f t="shared" ref="I12:K12" si="5">H12</f>
        <v>19</v>
      </c>
      <c r="J12" s="888">
        <f t="shared" si="5"/>
        <v>19</v>
      </c>
      <c r="K12" s="888">
        <f t="shared" si="5"/>
        <v>19</v>
      </c>
      <c r="L12" s="456">
        <f t="shared" si="3"/>
        <v>115.0356</v>
      </c>
    </row>
    <row r="13" spans="1:15" s="16" customFormat="1">
      <c r="A13" s="125"/>
      <c r="B13" s="127" t="s">
        <v>118</v>
      </c>
      <c r="C13" s="448">
        <v>0</v>
      </c>
      <c r="D13" s="448">
        <v>0</v>
      </c>
      <c r="E13" s="448">
        <v>0</v>
      </c>
      <c r="F13" s="448">
        <v>0</v>
      </c>
      <c r="G13" s="888">
        <v>0</v>
      </c>
      <c r="H13" s="888">
        <f t="shared" ref="H13:K17" si="6">G13</f>
        <v>0</v>
      </c>
      <c r="I13" s="888">
        <f t="shared" si="6"/>
        <v>0</v>
      </c>
      <c r="J13" s="888">
        <f t="shared" si="6"/>
        <v>0</v>
      </c>
      <c r="K13" s="888">
        <f t="shared" si="6"/>
        <v>0</v>
      </c>
      <c r="L13" s="456">
        <f t="shared" si="3"/>
        <v>0</v>
      </c>
    </row>
    <row r="14" spans="1:15">
      <c r="A14" s="26"/>
      <c r="B14" s="127" t="s">
        <v>119</v>
      </c>
      <c r="C14" s="448">
        <v>0.60918399999999995</v>
      </c>
      <c r="D14" s="448">
        <v>0.89139999999999997</v>
      </c>
      <c r="E14" s="448">
        <v>0.8387</v>
      </c>
      <c r="F14" s="448">
        <v>0.41049999999999998</v>
      </c>
      <c r="G14" s="888">
        <v>0.59</v>
      </c>
      <c r="H14" s="888">
        <f t="shared" si="6"/>
        <v>0.59</v>
      </c>
      <c r="I14" s="888">
        <f t="shared" si="6"/>
        <v>0.59</v>
      </c>
      <c r="J14" s="888">
        <f t="shared" si="6"/>
        <v>0.59</v>
      </c>
      <c r="K14" s="888">
        <f t="shared" si="6"/>
        <v>0.59</v>
      </c>
      <c r="L14" s="456">
        <f t="shared" si="3"/>
        <v>3.0191999999999997</v>
      </c>
    </row>
    <row r="15" spans="1:15">
      <c r="A15" s="26"/>
      <c r="B15" s="820" t="s">
        <v>120</v>
      </c>
      <c r="C15" s="448">
        <v>3.03</v>
      </c>
      <c r="D15" s="448">
        <v>2.3422000000000001</v>
      </c>
      <c r="E15" s="448">
        <v>3.2414000000000001</v>
      </c>
      <c r="F15" s="448">
        <v>2.1410999999999998</v>
      </c>
      <c r="G15" s="888">
        <v>1.96</v>
      </c>
      <c r="H15" s="888">
        <f t="shared" si="6"/>
        <v>1.96</v>
      </c>
      <c r="I15" s="888">
        <f t="shared" si="6"/>
        <v>1.96</v>
      </c>
      <c r="J15" s="888">
        <f t="shared" si="6"/>
        <v>1.96</v>
      </c>
      <c r="K15" s="888">
        <f t="shared" si="6"/>
        <v>1.96</v>
      </c>
      <c r="L15" s="456">
        <f t="shared" si="3"/>
        <v>11.262499999999999</v>
      </c>
    </row>
    <row r="16" spans="1:15" s="16" customFormat="1">
      <c r="A16" s="125"/>
      <c r="B16" s="820" t="s">
        <v>121</v>
      </c>
      <c r="C16" s="448">
        <v>9.5331082751</v>
      </c>
      <c r="D16" s="448">
        <v>5.6144999999999996</v>
      </c>
      <c r="E16" s="448">
        <v>7.4234</v>
      </c>
      <c r="F16" s="448">
        <v>7.2229999999999999</v>
      </c>
      <c r="G16" s="888">
        <v>5.37</v>
      </c>
      <c r="H16" s="888">
        <f t="shared" si="6"/>
        <v>5.37</v>
      </c>
      <c r="I16" s="888">
        <f t="shared" si="6"/>
        <v>5.37</v>
      </c>
      <c r="J16" s="888">
        <f t="shared" si="6"/>
        <v>5.37</v>
      </c>
      <c r="K16" s="888">
        <f t="shared" si="6"/>
        <v>5.37</v>
      </c>
      <c r="L16" s="456">
        <f t="shared" si="3"/>
        <v>30.756400000000003</v>
      </c>
      <c r="M16" s="243"/>
      <c r="N16" s="243"/>
      <c r="O16" s="243"/>
    </row>
    <row r="17" spans="1:15">
      <c r="A17" s="26"/>
      <c r="B17" s="821" t="s">
        <v>122</v>
      </c>
      <c r="C17" s="450">
        <v>1.53785689974245</v>
      </c>
      <c r="D17" s="450">
        <v>2.0072999999999999</v>
      </c>
      <c r="E17" s="450">
        <v>2.2875000000000001</v>
      </c>
      <c r="F17" s="450">
        <v>1.1477999999999999</v>
      </c>
      <c r="G17" s="889">
        <v>1.68</v>
      </c>
      <c r="H17" s="888">
        <f t="shared" si="6"/>
        <v>1.68</v>
      </c>
      <c r="I17" s="888">
        <f t="shared" si="6"/>
        <v>1.68</v>
      </c>
      <c r="J17" s="888">
        <f t="shared" si="6"/>
        <v>1.68</v>
      </c>
      <c r="K17" s="888">
        <f t="shared" si="6"/>
        <v>1.68</v>
      </c>
      <c r="L17" s="457">
        <f t="shared" si="3"/>
        <v>8.4752999999999989</v>
      </c>
      <c r="M17" s="457"/>
      <c r="N17" s="32"/>
      <c r="O17" s="32"/>
    </row>
    <row r="18" spans="1:15">
      <c r="A18" s="26"/>
      <c r="B18" s="129" t="s">
        <v>295</v>
      </c>
      <c r="C18" s="451">
        <f>C11+C5</f>
        <v>235.19919950356353</v>
      </c>
      <c r="D18" s="451">
        <f>D11+D5</f>
        <v>247.06530000000001</v>
      </c>
      <c r="E18" s="451">
        <f>E11+E5</f>
        <v>243.053</v>
      </c>
      <c r="F18" s="452">
        <f t="shared" ref="F18" si="7">F5+F11</f>
        <v>134.5641</v>
      </c>
      <c r="G18" s="1934">
        <f>IF(动因指标对成果指标影响分析!D5=TRUE,(动因指标对成果指标影响分析!E5+动因指标对成果指标影响分析!F5),IF(多维联动分析!$B$4="YES",多维联动分析!D34,IF(投资能力规划!$C$2="YES",投资能力规划!D4,IF(投资能力规划!$C$26="YES",投资能力规划!D28,IF(投资能力规划!$C$50="YES",投资能力规划!D52,IF(投资能力规划!$C$74="YES",投资能力规划!D76,G5+G11))))))</f>
        <v>176.57999999999998</v>
      </c>
      <c r="H18" s="453">
        <f>IF(投资能力规划!$C$2="YES",投资能力规划!E4,IF(投资能力规划!$C$26="YES",投资能力规划!E28,IF(投资能力规划!$C$50="YES",投资能力规划!E52,IF(投资能力规划!$C$74="YES",投资能力规划!E76,H5+H11))))</f>
        <v>176.57999999999998</v>
      </c>
      <c r="I18" s="453">
        <f>IF(投资能力规划!$C$2="YES",投资能力规划!F4,IF(投资能力规划!$C$26="YES",投资能力规划!F28,IF(投资能力规划!$C$50="YES",投资能力规划!F52,IF(投资能力规划!$C$74="YES",投资能力规划!F76,I5+I11))))</f>
        <v>176.57999999999998</v>
      </c>
      <c r="J18" s="453">
        <f>IF(投资能力规划!$C$2="YES",投资能力规划!G4,IF(投资能力规划!$C$26="YES",投资能力规划!G28,IF(投资能力规划!$C$50="YES",投资能力规划!G52,IF(投资能力规划!$C$74="YES",投资能力规划!G76,J5+J11))))</f>
        <v>176.57999999999998</v>
      </c>
      <c r="K18" s="453">
        <f>IF(投资能力规划!$C$2="YES",投资能力规划!H4,IF(投资能力规划!$C$26="YES",投资能力规划!H28,IF(投资能力规划!$C$50="YES",投资能力规划!H52,IF(投资能力规划!$C$74="YES",投资能力规划!H76,K5+K11))))</f>
        <v>176.57999999999998</v>
      </c>
      <c r="L18" s="456">
        <f>SUM(E18:I18)</f>
        <v>907.35709999999995</v>
      </c>
      <c r="M18" s="459">
        <f>SUM(G18:I18)</f>
        <v>529.74</v>
      </c>
      <c r="N18" s="452">
        <f>L18/5</f>
        <v>181.47141999999999</v>
      </c>
      <c r="O18" s="32"/>
    </row>
    <row r="19" spans="1:15">
      <c r="A19" s="26"/>
      <c r="B19" s="127" t="s">
        <v>1613</v>
      </c>
      <c r="C19" s="79"/>
      <c r="D19" s="79"/>
      <c r="E19" s="448"/>
      <c r="F19" s="448"/>
      <c r="G19" s="449"/>
      <c r="H19" s="449"/>
      <c r="I19" s="449"/>
      <c r="J19" s="449"/>
      <c r="K19" s="449"/>
      <c r="L19" s="456"/>
      <c r="M19" s="32"/>
      <c r="N19" s="32"/>
      <c r="O19" s="32"/>
    </row>
    <row r="20" spans="1:15">
      <c r="A20" s="26"/>
      <c r="B20" s="126"/>
      <c r="C20" s="87"/>
      <c r="D20" s="87"/>
      <c r="E20" s="454"/>
      <c r="F20" s="454"/>
      <c r="G20" s="2055">
        <f>G5+G11-G18</f>
        <v>0</v>
      </c>
      <c r="H20" s="455"/>
      <c r="I20" s="455"/>
      <c r="J20" s="455"/>
      <c r="K20" s="455"/>
      <c r="L20" s="456"/>
      <c r="M20" s="32"/>
      <c r="N20" s="32"/>
      <c r="O20" s="32"/>
    </row>
    <row r="21" spans="1:15" ht="15" hidden="1" thickBot="1">
      <c r="A21" s="130" t="s">
        <v>296</v>
      </c>
      <c r="B21" s="63"/>
      <c r="C21" s="240"/>
      <c r="D21" s="240"/>
      <c r="E21" s="1651"/>
      <c r="F21" s="1651"/>
      <c r="G21" s="1652"/>
      <c r="H21" s="1652"/>
      <c r="I21" s="1652"/>
      <c r="J21" s="1653"/>
      <c r="K21" s="1653"/>
      <c r="L21" s="890">
        <f>SUM(E21:I21)</f>
        <v>0</v>
      </c>
      <c r="M21" s="458"/>
      <c r="N21" s="32"/>
      <c r="O21" s="32"/>
    </row>
    <row r="22" spans="1:15" s="16" customFormat="1" hidden="1">
      <c r="A22" s="125"/>
      <c r="B22" s="131" t="s">
        <v>1278</v>
      </c>
      <c r="C22" s="79"/>
      <c r="D22" s="79"/>
      <c r="E22" s="448"/>
      <c r="F22" s="448"/>
      <c r="G22" s="449"/>
      <c r="H22" s="449"/>
      <c r="I22" s="449"/>
      <c r="J22" s="449"/>
      <c r="K22" s="449"/>
      <c r="L22" s="22"/>
      <c r="M22" s="243"/>
      <c r="N22" s="243"/>
      <c r="O22" s="243"/>
    </row>
    <row r="23" spans="1:15" s="31" customFormat="1" hidden="1">
      <c r="A23" s="132"/>
      <c r="B23" s="126" t="s">
        <v>1279</v>
      </c>
      <c r="C23" s="79"/>
      <c r="D23" s="79"/>
      <c r="E23" s="448"/>
      <c r="F23" s="448"/>
      <c r="G23" s="449"/>
      <c r="H23" s="449"/>
      <c r="I23" s="449"/>
      <c r="J23" s="449"/>
      <c r="K23" s="449"/>
      <c r="L23" s="65"/>
      <c r="M23" s="244"/>
      <c r="N23" s="244"/>
      <c r="O23" s="244"/>
    </row>
    <row r="24" spans="1:15" s="31" customFormat="1">
      <c r="A24" s="132"/>
      <c r="B24" s="133"/>
      <c r="C24" s="79"/>
      <c r="D24" s="79"/>
      <c r="E24" s="79"/>
      <c r="F24" s="342"/>
      <c r="G24" s="135"/>
      <c r="H24" s="135"/>
      <c r="I24" s="135"/>
      <c r="J24" s="135"/>
      <c r="K24" s="139"/>
      <c r="L24" s="245"/>
      <c r="M24" s="245"/>
      <c r="N24" s="245"/>
      <c r="O24" s="245"/>
    </row>
    <row r="25" spans="1:15" ht="15" thickBot="1">
      <c r="A25" s="130" t="s">
        <v>297</v>
      </c>
      <c r="B25" s="63"/>
      <c r="C25" s="1654">
        <f t="shared" ref="C25:J25" si="8">SUM(C26:C33)</f>
        <v>20.036999999999999</v>
      </c>
      <c r="D25" s="1654">
        <f t="shared" si="8"/>
        <v>16.326499999999999</v>
      </c>
      <c r="E25" s="1654">
        <f t="shared" si="8"/>
        <v>12.207999999999998</v>
      </c>
      <c r="F25" s="1654">
        <f t="shared" si="8"/>
        <v>11.076000000000001</v>
      </c>
      <c r="G25" s="1654">
        <f t="shared" si="8"/>
        <v>10.715</v>
      </c>
      <c r="H25" s="1654">
        <f t="shared" si="8"/>
        <v>10.715</v>
      </c>
      <c r="I25" s="1654">
        <f t="shared" si="8"/>
        <v>10.715</v>
      </c>
      <c r="J25" s="1654">
        <f t="shared" si="8"/>
        <v>10.715</v>
      </c>
      <c r="K25" s="1654">
        <f>SUM(K26:K33)</f>
        <v>10.715</v>
      </c>
      <c r="L25" s="86"/>
      <c r="M25" s="32"/>
      <c r="N25" s="32"/>
      <c r="O25" s="32"/>
    </row>
    <row r="26" spans="1:15">
      <c r="A26" s="26"/>
      <c r="B26" s="131" t="s">
        <v>123</v>
      </c>
      <c r="C26" s="79">
        <v>7.93</v>
      </c>
      <c r="D26" s="79">
        <v>8.7899999999999991</v>
      </c>
      <c r="E26" s="79">
        <v>6.86</v>
      </c>
      <c r="F26" s="79">
        <v>5.9</v>
      </c>
      <c r="G26" s="135">
        <v>6</v>
      </c>
      <c r="H26" s="135">
        <f>G26</f>
        <v>6</v>
      </c>
      <c r="I26" s="135">
        <f t="shared" ref="I26:K26" si="9">H26</f>
        <v>6</v>
      </c>
      <c r="J26" s="135">
        <f t="shared" si="9"/>
        <v>6</v>
      </c>
      <c r="K26" s="135">
        <f t="shared" si="9"/>
        <v>6</v>
      </c>
      <c r="L26" s="33"/>
      <c r="M26" s="32"/>
      <c r="N26" s="32"/>
      <c r="O26" s="32"/>
    </row>
    <row r="27" spans="1:15">
      <c r="A27" s="125"/>
      <c r="B27" s="131" t="s">
        <v>124</v>
      </c>
      <c r="C27" s="79">
        <v>0.27</v>
      </c>
      <c r="D27" s="79">
        <v>0.23</v>
      </c>
      <c r="E27" s="79">
        <v>0.16</v>
      </c>
      <c r="F27" s="79">
        <v>0.14000000000000001</v>
      </c>
      <c r="G27" s="135">
        <v>0.26</v>
      </c>
      <c r="H27" s="135">
        <f>G27</f>
        <v>0.26</v>
      </c>
      <c r="I27" s="135">
        <f t="shared" ref="I27:K27" si="10">H27</f>
        <v>0.26</v>
      </c>
      <c r="J27" s="135">
        <f t="shared" si="10"/>
        <v>0.26</v>
      </c>
      <c r="K27" s="135">
        <f t="shared" si="10"/>
        <v>0.26</v>
      </c>
      <c r="L27" s="33"/>
      <c r="M27" s="32"/>
      <c r="N27" s="32"/>
      <c r="O27" s="32"/>
    </row>
    <row r="28" spans="1:15">
      <c r="A28" s="26"/>
      <c r="B28" s="131" t="s">
        <v>125</v>
      </c>
      <c r="C28" s="79"/>
      <c r="D28" s="79"/>
      <c r="E28" s="79"/>
      <c r="F28" s="79"/>
      <c r="G28" s="135"/>
      <c r="H28" s="135"/>
      <c r="I28" s="135"/>
      <c r="J28" s="135"/>
      <c r="K28" s="135"/>
      <c r="L28" s="33"/>
      <c r="M28" s="8"/>
    </row>
    <row r="29" spans="1:15">
      <c r="A29" s="26"/>
      <c r="B29" s="131" t="s">
        <v>126</v>
      </c>
      <c r="C29" s="79">
        <v>7.77</v>
      </c>
      <c r="D29" s="79">
        <v>3.55</v>
      </c>
      <c r="E29" s="79">
        <v>1.87</v>
      </c>
      <c r="F29" s="79">
        <v>1.1499999999999999</v>
      </c>
      <c r="G29" s="135">
        <v>0.35</v>
      </c>
      <c r="H29" s="135">
        <f t="shared" ref="H29:K33" si="11">G29</f>
        <v>0.35</v>
      </c>
      <c r="I29" s="135">
        <f t="shared" si="11"/>
        <v>0.35</v>
      </c>
      <c r="J29" s="135">
        <f t="shared" si="11"/>
        <v>0.35</v>
      </c>
      <c r="K29" s="135">
        <f t="shared" si="11"/>
        <v>0.35</v>
      </c>
      <c r="L29" s="33"/>
      <c r="M29" s="8"/>
    </row>
    <row r="30" spans="1:15">
      <c r="A30" s="26"/>
      <c r="B30" s="131" t="s">
        <v>127</v>
      </c>
      <c r="C30" s="80">
        <v>0.78</v>
      </c>
      <c r="D30" s="79">
        <v>0.5</v>
      </c>
      <c r="E30" s="79">
        <v>0.4</v>
      </c>
      <c r="F30" s="79">
        <v>0.7</v>
      </c>
      <c r="G30" s="135">
        <v>0.79</v>
      </c>
      <c r="H30" s="135">
        <f t="shared" si="11"/>
        <v>0.79</v>
      </c>
      <c r="I30" s="135">
        <f t="shared" si="11"/>
        <v>0.79</v>
      </c>
      <c r="J30" s="135">
        <f t="shared" si="11"/>
        <v>0.79</v>
      </c>
      <c r="K30" s="135">
        <f t="shared" si="11"/>
        <v>0.79</v>
      </c>
      <c r="L30" s="33"/>
      <c r="M30" s="8"/>
    </row>
    <row r="31" spans="1:15">
      <c r="A31" s="26"/>
      <c r="B31" s="131" t="s">
        <v>4</v>
      </c>
      <c r="C31" s="80">
        <v>2.63</v>
      </c>
      <c r="D31" s="80">
        <v>2.7</v>
      </c>
      <c r="E31" s="80">
        <v>2.46</v>
      </c>
      <c r="F31" s="79">
        <v>2.62</v>
      </c>
      <c r="G31" s="135">
        <v>2.66</v>
      </c>
      <c r="H31" s="135">
        <f t="shared" si="11"/>
        <v>2.66</v>
      </c>
      <c r="I31" s="135">
        <f t="shared" si="11"/>
        <v>2.66</v>
      </c>
      <c r="J31" s="135">
        <f t="shared" si="11"/>
        <v>2.66</v>
      </c>
      <c r="K31" s="135">
        <f t="shared" si="11"/>
        <v>2.66</v>
      </c>
      <c r="L31" s="33"/>
      <c r="M31" s="8"/>
    </row>
    <row r="32" spans="1:15">
      <c r="A32" s="26"/>
      <c r="B32" s="131" t="s">
        <v>128</v>
      </c>
      <c r="C32" s="80">
        <v>7.0000000000000001E-3</v>
      </c>
      <c r="D32" s="80">
        <v>6.4999999999999997E-3</v>
      </c>
      <c r="E32" s="80">
        <v>8.0000000000000002E-3</v>
      </c>
      <c r="F32" s="79">
        <v>6.0000000000000001E-3</v>
      </c>
      <c r="G32" s="135">
        <v>1.4999999999999999E-2</v>
      </c>
      <c r="H32" s="135">
        <f t="shared" si="11"/>
        <v>1.4999999999999999E-2</v>
      </c>
      <c r="I32" s="135">
        <f t="shared" si="11"/>
        <v>1.4999999999999999E-2</v>
      </c>
      <c r="J32" s="135">
        <f t="shared" si="11"/>
        <v>1.4999999999999999E-2</v>
      </c>
      <c r="K32" s="135">
        <f t="shared" si="11"/>
        <v>1.4999999999999999E-2</v>
      </c>
      <c r="L32" s="33"/>
      <c r="M32" s="8"/>
    </row>
    <row r="33" spans="1:18">
      <c r="A33" s="26"/>
      <c r="B33" s="131" t="s">
        <v>129</v>
      </c>
      <c r="C33" s="80">
        <v>0.65</v>
      </c>
      <c r="D33" s="80">
        <v>0.55000000000000004</v>
      </c>
      <c r="E33" s="80">
        <v>0.45</v>
      </c>
      <c r="F33" s="79">
        <v>0.56000000000000005</v>
      </c>
      <c r="G33" s="135">
        <v>0.64</v>
      </c>
      <c r="H33" s="135">
        <f t="shared" si="11"/>
        <v>0.64</v>
      </c>
      <c r="I33" s="135">
        <f t="shared" si="11"/>
        <v>0.64</v>
      </c>
      <c r="J33" s="135">
        <f t="shared" si="11"/>
        <v>0.64</v>
      </c>
      <c r="K33" s="135">
        <f t="shared" si="11"/>
        <v>0.64</v>
      </c>
      <c r="L33" s="33"/>
      <c r="M33" s="8"/>
    </row>
    <row r="34" spans="1:18">
      <c r="A34" s="32"/>
      <c r="B34" s="32"/>
      <c r="C34" s="69"/>
      <c r="D34" s="69"/>
      <c r="E34" s="69"/>
      <c r="F34" s="32"/>
      <c r="G34" s="32"/>
      <c r="H34" s="32"/>
      <c r="I34" s="32"/>
      <c r="J34" s="32"/>
      <c r="K34" s="32"/>
    </row>
    <row r="35" spans="1:18">
      <c r="A35" s="32"/>
      <c r="B35" s="32"/>
      <c r="C35" s="69"/>
      <c r="D35" s="69"/>
      <c r="E35" s="69"/>
      <c r="F35" s="32"/>
      <c r="G35" s="32"/>
      <c r="H35" s="32"/>
      <c r="I35" s="32"/>
      <c r="J35" s="32"/>
      <c r="K35" s="32"/>
    </row>
    <row r="36" spans="1:18">
      <c r="A36" s="32"/>
      <c r="B36" s="32"/>
      <c r="C36" s="69"/>
      <c r="D36" s="69"/>
      <c r="E36" s="69"/>
      <c r="F36" s="32"/>
      <c r="G36" s="32"/>
      <c r="H36" s="32"/>
      <c r="I36" s="32"/>
      <c r="J36" s="32"/>
      <c r="K36" s="32"/>
    </row>
    <row r="37" spans="1:18">
      <c r="A37" s="32"/>
      <c r="B37" s="32"/>
      <c r="C37" s="69"/>
      <c r="D37" s="69"/>
      <c r="E37" s="69"/>
      <c r="F37" s="32"/>
      <c r="G37" s="32"/>
      <c r="H37" s="32"/>
      <c r="I37" s="32"/>
      <c r="J37" s="32"/>
      <c r="K37" s="32"/>
    </row>
    <row r="38" spans="1:18">
      <c r="A38" s="32"/>
      <c r="F38" s="32"/>
      <c r="G38" s="32"/>
      <c r="H38" s="32"/>
      <c r="I38" s="32"/>
      <c r="J38" s="23"/>
      <c r="L38" s="7"/>
    </row>
    <row r="39" spans="1:18">
      <c r="A39" s="32"/>
      <c r="B39" s="675"/>
      <c r="C39" s="675"/>
      <c r="D39" s="676" t="s">
        <v>1627</v>
      </c>
      <c r="E39" s="800" t="s">
        <v>1731</v>
      </c>
      <c r="F39" s="806" t="s">
        <v>1633</v>
      </c>
      <c r="G39" s="800" t="s">
        <v>1732</v>
      </c>
      <c r="H39" s="800" t="s">
        <v>1733</v>
      </c>
      <c r="I39" s="800" t="s">
        <v>1734</v>
      </c>
      <c r="J39" s="800" t="s">
        <v>1735</v>
      </c>
      <c r="K39" s="800" t="s">
        <v>1736</v>
      </c>
      <c r="L39" s="800" t="s">
        <v>1744</v>
      </c>
      <c r="M39" s="800" t="s">
        <v>1740</v>
      </c>
      <c r="N39" s="800" t="s">
        <v>1741</v>
      </c>
      <c r="O39" s="800" t="s">
        <v>1742</v>
      </c>
      <c r="P39" s="800" t="s">
        <v>1745</v>
      </c>
      <c r="Q39" s="800" t="s">
        <v>1743</v>
      </c>
      <c r="R39" s="800" t="s">
        <v>1737</v>
      </c>
    </row>
    <row r="40" spans="1:18">
      <c r="A40" s="32"/>
      <c r="B40" s="675" t="s">
        <v>376</v>
      </c>
      <c r="C40" s="706"/>
      <c r="D40" s="725">
        <f>变动统计!C7</f>
        <v>1000</v>
      </c>
      <c r="E40" s="707">
        <f ca="1">现金缺口测算!$G$17</f>
        <v>0</v>
      </c>
      <c r="F40" s="801">
        <f ca="1">主要评级指标表!$G$9</f>
        <v>0.43497096790000001</v>
      </c>
      <c r="G40" s="801">
        <f ca="1">债务!$G$34</f>
        <v>-0.93587504064049842</v>
      </c>
      <c r="H40" s="707">
        <f ca="1">国资委考核指标!$G$63</f>
        <v>0.30675767255741659</v>
      </c>
      <c r="I40" s="801">
        <f ca="1">损益表!$G$20</f>
        <v>23.534420657935943</v>
      </c>
      <c r="J40" s="802">
        <f>固定资产!$G$10</f>
        <v>30.018607065969842</v>
      </c>
      <c r="K40" s="707">
        <f ca="1">资产负债表!$G$25</f>
        <v>166.49387785731943</v>
      </c>
      <c r="L40" s="707">
        <f ca="1">固定资产!$G$16</f>
        <v>154.85442231883817</v>
      </c>
      <c r="M40" s="707">
        <f>实际收入!$G$21</f>
        <v>25.119</v>
      </c>
      <c r="N40" s="707">
        <f ca="1">资产负债表!$G$65</f>
        <v>1342.6284026274172</v>
      </c>
      <c r="O40" s="707">
        <f ca="1">资产负债表!$G$31</f>
        <v>1928.3288084030385</v>
      </c>
      <c r="P40" s="707">
        <f ca="1">损益表!$G$18</f>
        <v>31.379227543914592</v>
      </c>
      <c r="Q40" s="690">
        <f ca="1">资产负债表!$G$70</f>
        <v>0.30373616747300303</v>
      </c>
      <c r="R40" s="707">
        <f ca="1">国资委考核指标!$G$23</f>
        <v>-24.199425139865632</v>
      </c>
    </row>
    <row r="41" spans="1:18">
      <c r="A41" s="32"/>
      <c r="B41" s="810">
        <f>$G$18</f>
        <v>176.57999999999998</v>
      </c>
      <c r="C41" s="809">
        <v>476.58</v>
      </c>
      <c r="D41" s="803">
        <f>C41+D40</f>
        <v>1476.58</v>
      </c>
      <c r="E41" s="804">
        <f t="dataTable" ref="E41:R41" dt2D="0" dtr="0" r1="G18" ca="1"/>
        <v>-1054.216383813945</v>
      </c>
      <c r="F41" s="707">
        <v>1054.6513611303062</v>
      </c>
      <c r="G41" s="707">
        <v>16.486557765847817</v>
      </c>
      <c r="H41" s="707">
        <v>23.218521032014788</v>
      </c>
      <c r="I41" s="707">
        <v>6.1797355303111674</v>
      </c>
      <c r="J41" s="707">
        <v>251.01865908636182</v>
      </c>
      <c r="K41" s="707">
        <v>1048.1518275223686</v>
      </c>
      <c r="L41" s="707">
        <v>160.571571296944</v>
      </c>
      <c r="M41" s="707">
        <v>25.119</v>
      </c>
      <c r="N41" s="707">
        <v>1325.2737174996269</v>
      </c>
      <c r="O41" s="707">
        <v>2949.1540983185905</v>
      </c>
      <c r="P41" s="707">
        <v>8.2396473737482232</v>
      </c>
      <c r="Q41" s="707">
        <v>0.55062676224667106</v>
      </c>
      <c r="R41" s="707">
        <v>-24.927444221231895</v>
      </c>
    </row>
    <row r="42" spans="1:18">
      <c r="C42" s="70"/>
      <c r="D42" s="805" t="s">
        <v>1739</v>
      </c>
      <c r="E42" s="804">
        <f ca="1">E40-E41</f>
        <v>1054.216383813945</v>
      </c>
      <c r="F42" s="804">
        <f t="shared" ref="F42:K42" ca="1" si="12">F41-F40</f>
        <v>1054.2163901624062</v>
      </c>
      <c r="G42" s="804">
        <f t="shared" ca="1" si="12"/>
        <v>17.422432806488317</v>
      </c>
      <c r="H42" s="804">
        <f t="shared" ca="1" si="12"/>
        <v>22.911763359457371</v>
      </c>
      <c r="I42" s="804">
        <f t="shared" ca="1" si="12"/>
        <v>-17.354685127624776</v>
      </c>
      <c r="J42" s="804">
        <f t="shared" si="12"/>
        <v>221.00005202039199</v>
      </c>
      <c r="K42" s="804">
        <f t="shared" ca="1" si="12"/>
        <v>881.65794966504927</v>
      </c>
      <c r="L42" s="804">
        <f t="shared" ref="L42" ca="1" si="13">L41-L40</f>
        <v>5.7171489781058256</v>
      </c>
      <c r="M42" s="804">
        <f t="shared" ref="M42" si="14">M41-M40</f>
        <v>0</v>
      </c>
      <c r="N42" s="804">
        <f t="shared" ref="N42" ca="1" si="15">N41-N40</f>
        <v>-17.35468512779039</v>
      </c>
      <c r="O42" s="804">
        <f t="shared" ref="O42" ca="1" si="16">O41-O40</f>
        <v>1020.825289915552</v>
      </c>
      <c r="P42" s="804">
        <f t="shared" ref="P42" ca="1" si="17">P41-P40</f>
        <v>-23.139580170166369</v>
      </c>
      <c r="Q42" s="804">
        <f t="shared" ref="Q42" ca="1" si="18">Q41-Q40</f>
        <v>0.24689059477366804</v>
      </c>
      <c r="R42" s="804">
        <f ca="1">R41-R40</f>
        <v>-0.72801908136626281</v>
      </c>
    </row>
    <row r="43" spans="1:18">
      <c r="C43" s="70"/>
      <c r="D43" s="70"/>
      <c r="E43" s="70"/>
      <c r="L43"/>
      <c r="M43"/>
      <c r="N43"/>
      <c r="O43"/>
      <c r="P43"/>
      <c r="Q43"/>
      <c r="R43"/>
    </row>
    <row r="44" spans="1:18">
      <c r="A44" s="32"/>
      <c r="B44" s="675"/>
      <c r="C44" s="675"/>
      <c r="D44" s="799" t="s">
        <v>1627</v>
      </c>
      <c r="E44" s="806" t="s">
        <v>1633</v>
      </c>
      <c r="G44"/>
      <c r="H44"/>
      <c r="I44"/>
      <c r="J44"/>
      <c r="K44"/>
      <c r="L44" s="7"/>
    </row>
    <row r="45" spans="1:18">
      <c r="A45" s="32"/>
      <c r="B45" s="675" t="s">
        <v>376</v>
      </c>
      <c r="C45" s="706"/>
      <c r="D45" s="725">
        <f>动因指标和成果指标内部影响分析!$F$5</f>
        <v>100</v>
      </c>
      <c r="E45" s="801">
        <f ca="1">主要评级指标表!$G$9</f>
        <v>0.43497096790000001</v>
      </c>
      <c r="G45"/>
      <c r="H45"/>
      <c r="I45"/>
      <c r="J45"/>
      <c r="K45"/>
      <c r="L45" s="7"/>
    </row>
    <row r="46" spans="1:18">
      <c r="A46" s="32"/>
      <c r="B46" s="810">
        <f>$G$18</f>
        <v>176.57999999999998</v>
      </c>
      <c r="C46" s="809">
        <v>476.58</v>
      </c>
      <c r="D46" s="803">
        <f>C46+D45</f>
        <v>576.57999999999993</v>
      </c>
      <c r="E46" s="707">
        <f t="dataTable" ref="E46" dt2D="0" dtr="0" r1="G18" ca="1"/>
        <v>255.3141075182136</v>
      </c>
      <c r="G46"/>
      <c r="H46"/>
      <c r="I46"/>
      <c r="J46"/>
      <c r="K46"/>
      <c r="L46" s="7"/>
    </row>
    <row r="47" spans="1:18">
      <c r="C47" s="70"/>
      <c r="D47" s="805" t="s">
        <v>1739</v>
      </c>
      <c r="E47" s="804">
        <f t="shared" ref="E47" ca="1" si="19">E46-E45</f>
        <v>254.8791365503136</v>
      </c>
      <c r="G47"/>
      <c r="H47"/>
      <c r="I47"/>
      <c r="J47"/>
      <c r="K47"/>
      <c r="L47" s="7"/>
    </row>
    <row r="48" spans="1:18" customFormat="1"/>
    <row r="49" spans="3:11">
      <c r="C49" s="70"/>
      <c r="D49" s="70"/>
      <c r="E49" s="70"/>
      <c r="G49"/>
      <c r="H49"/>
      <c r="I49"/>
      <c r="J49"/>
      <c r="K49"/>
    </row>
    <row r="50" spans="3:11">
      <c r="C50" s="70"/>
      <c r="D50" s="70"/>
      <c r="E50" s="70"/>
      <c r="G50"/>
      <c r="H50"/>
      <c r="I50"/>
      <c r="J50"/>
      <c r="K50"/>
    </row>
    <row r="51" spans="3:11">
      <c r="C51" s="70"/>
      <c r="D51" s="70"/>
      <c r="G51"/>
      <c r="H51"/>
      <c r="I51"/>
      <c r="J51"/>
      <c r="K51"/>
    </row>
    <row r="52" spans="3:11">
      <c r="C52" s="70"/>
      <c r="D52" s="70"/>
      <c r="G52"/>
      <c r="H52"/>
      <c r="I52"/>
      <c r="J52"/>
      <c r="K52"/>
    </row>
    <row r="53" spans="3:11">
      <c r="C53" s="70"/>
      <c r="D53" s="70"/>
    </row>
  </sheetData>
  <mergeCells count="2">
    <mergeCell ref="C2:F2"/>
    <mergeCell ref="G2:K2"/>
  </mergeCells>
  <phoneticPr fontId="20" type="noConversion"/>
  <printOptions horizontalCentered="1"/>
  <pageMargins left="0.70866141732283472" right="0.70866141732283472" top="0.74803149606299213" bottom="0.74803149606299213" header="0.31496062992125984" footer="0.31496062992125984"/>
  <pageSetup paperSize="9" scale="87" orientation="landscape"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6">
    <tabColor theme="7" tint="0.59999389629810485"/>
  </sheetPr>
  <dimension ref="A1:AN146"/>
  <sheetViews>
    <sheetView showGridLines="0" zoomScale="90" zoomScaleNormal="90" workbookViewId="0">
      <selection activeCell="D74" sqref="D74"/>
    </sheetView>
  </sheetViews>
  <sheetFormatPr defaultColWidth="39.109375" defaultRowHeight="15"/>
  <cols>
    <col min="1" max="1" width="2.44140625" style="469" customWidth="1"/>
    <col min="2" max="2" width="53.44140625" style="496" customWidth="1"/>
    <col min="3" max="3" width="18.21875" style="469" customWidth="1"/>
    <col min="4" max="4" width="25.33203125" style="470" customWidth="1"/>
    <col min="5" max="5" width="19.6640625" style="469" customWidth="1"/>
    <col min="6" max="6" width="13.33203125" style="469" customWidth="1"/>
    <col min="7" max="7" width="16.21875" style="469" bestFit="1" customWidth="1"/>
    <col min="8" max="9" width="13.33203125" style="469" customWidth="1"/>
    <col min="10" max="10" width="16.44140625" style="469" customWidth="1"/>
    <col min="11" max="11" width="9.88671875" style="471" bestFit="1" customWidth="1"/>
    <col min="12" max="12" width="13.88671875" style="471" customWidth="1"/>
    <col min="13" max="13" width="13.88671875" style="471" bestFit="1" customWidth="1"/>
    <col min="14" max="18" width="16.44140625" style="471" customWidth="1"/>
    <col min="19" max="20" width="9.88671875" style="471" customWidth="1"/>
    <col min="21" max="21" width="13.88671875" style="471" bestFit="1" customWidth="1"/>
    <col min="22" max="40" width="9.88671875" style="471" customWidth="1"/>
    <col min="41" max="86" width="9.88671875" style="469" customWidth="1"/>
    <col min="87" max="16384" width="39.109375" style="469"/>
  </cols>
  <sheetData>
    <row r="1" spans="2:10" s="471" customFormat="1" ht="15.6" thickBot="1">
      <c r="B1" s="468"/>
      <c r="C1" s="469"/>
      <c r="D1" s="470"/>
      <c r="E1" s="469"/>
      <c r="F1" s="469"/>
      <c r="G1" s="469"/>
      <c r="H1" s="469"/>
      <c r="I1" s="469"/>
      <c r="J1" s="469"/>
    </row>
    <row r="2" spans="2:10" s="471" customFormat="1" ht="15.6">
      <c r="B2" s="2510" t="s">
        <v>1289</v>
      </c>
      <c r="C2" s="2511"/>
      <c r="D2" s="2511"/>
      <c r="E2" s="472"/>
      <c r="F2" s="472"/>
      <c r="G2" s="472"/>
      <c r="H2" s="472"/>
      <c r="I2" s="472"/>
      <c r="J2" s="473"/>
    </row>
    <row r="3" spans="2:10" s="471" customFormat="1">
      <c r="B3" s="2512" t="s">
        <v>1543</v>
      </c>
      <c r="C3" s="2513"/>
      <c r="D3" s="2513"/>
      <c r="E3" s="474"/>
      <c r="F3" s="474"/>
      <c r="G3" s="474"/>
      <c r="H3" s="474"/>
      <c r="I3" s="474"/>
      <c r="J3" s="475"/>
    </row>
    <row r="4" spans="2:10" s="471" customFormat="1">
      <c r="B4" s="1687" t="s">
        <v>1291</v>
      </c>
      <c r="C4" s="1663" t="s">
        <v>1292</v>
      </c>
      <c r="D4" s="1664" t="s">
        <v>1293</v>
      </c>
      <c r="E4" s="476"/>
      <c r="F4" s="474"/>
      <c r="G4" s="474"/>
      <c r="H4" s="474"/>
      <c r="I4" s="474"/>
      <c r="J4" s="475"/>
    </row>
    <row r="5" spans="2:10" s="471" customFormat="1">
      <c r="B5" s="1688" t="s">
        <v>1294</v>
      </c>
      <c r="C5" s="1665">
        <f>SUM(C6:C9)</f>
        <v>1105937</v>
      </c>
      <c r="D5" s="1666"/>
      <c r="E5" s="478"/>
      <c r="F5" s="474"/>
      <c r="G5" s="474"/>
      <c r="H5" s="474"/>
      <c r="I5" s="474"/>
      <c r="J5" s="475"/>
    </row>
    <row r="6" spans="2:10" s="471" customFormat="1">
      <c r="B6" s="1689" t="s">
        <v>1295</v>
      </c>
      <c r="C6" s="1667">
        <v>149036</v>
      </c>
      <c r="D6" s="2514" t="s">
        <v>1296</v>
      </c>
      <c r="E6" s="1657">
        <f>C6/(C6+C7)</f>
        <v>0.53984076733049835</v>
      </c>
      <c r="F6" s="474"/>
      <c r="G6" s="474"/>
      <c r="H6" s="474"/>
      <c r="I6" s="474"/>
      <c r="J6" s="475"/>
    </row>
    <row r="7" spans="2:10" s="471" customFormat="1">
      <c r="B7" s="1689" t="s">
        <v>1297</v>
      </c>
      <c r="C7" s="1667">
        <v>127038</v>
      </c>
      <c r="D7" s="2515"/>
      <c r="E7" s="474"/>
      <c r="F7" s="474"/>
      <c r="G7" s="474"/>
      <c r="H7" s="474"/>
      <c r="I7" s="474"/>
      <c r="J7" s="475"/>
    </row>
    <row r="8" spans="2:10" s="471" customFormat="1">
      <c r="B8" s="1689" t="s">
        <v>1298</v>
      </c>
      <c r="C8" s="1667">
        <v>454248</v>
      </c>
      <c r="D8" s="2515"/>
      <c r="E8" s="474"/>
      <c r="F8" s="474"/>
      <c r="G8" s="474"/>
      <c r="H8" s="474"/>
      <c r="I8" s="474"/>
      <c r="J8" s="475"/>
    </row>
    <row r="9" spans="2:10" s="471" customFormat="1">
      <c r="B9" s="1689" t="s">
        <v>1299</v>
      </c>
      <c r="C9" s="1667">
        <v>375615</v>
      </c>
      <c r="D9" s="2515"/>
      <c r="E9" s="474"/>
      <c r="F9" s="474"/>
      <c r="G9" s="474"/>
      <c r="H9" s="474"/>
      <c r="I9" s="474"/>
      <c r="J9" s="475"/>
    </row>
    <row r="10" spans="2:10" s="471" customFormat="1">
      <c r="B10" s="1690" t="s">
        <v>1300</v>
      </c>
      <c r="C10" s="1667">
        <v>5000</v>
      </c>
      <c r="D10" s="2516"/>
      <c r="E10" s="479"/>
      <c r="F10" s="474"/>
      <c r="G10" s="474"/>
      <c r="H10" s="474"/>
      <c r="I10" s="474"/>
      <c r="J10" s="475"/>
    </row>
    <row r="11" spans="2:10" s="471" customFormat="1">
      <c r="B11" s="1690" t="s">
        <v>1301</v>
      </c>
      <c r="C11" s="1668"/>
      <c r="D11" s="2516"/>
      <c r="E11" s="479"/>
      <c r="F11" s="474"/>
      <c r="G11" s="474"/>
      <c r="H11" s="474"/>
      <c r="I11" s="474"/>
      <c r="J11" s="475"/>
    </row>
    <row r="12" spans="2:10" s="471" customFormat="1">
      <c r="B12" s="1691" t="s">
        <v>1302</v>
      </c>
      <c r="C12" s="1669">
        <f>C11/C9</f>
        <v>0</v>
      </c>
      <c r="D12" s="2516"/>
      <c r="E12" s="479"/>
      <c r="F12" s="474"/>
      <c r="G12" s="474"/>
      <c r="H12" s="474"/>
      <c r="I12" s="474"/>
      <c r="J12" s="475"/>
    </row>
    <row r="13" spans="2:10" s="471" customFormat="1">
      <c r="B13" s="1692" t="s">
        <v>1303</v>
      </c>
      <c r="C13" s="1665">
        <f>C14+C15</f>
        <v>1238242</v>
      </c>
      <c r="D13" s="2515"/>
      <c r="E13" s="480"/>
      <c r="F13" s="474"/>
      <c r="G13" s="474"/>
      <c r="H13" s="474"/>
      <c r="I13" s="474"/>
      <c r="J13" s="475"/>
    </row>
    <row r="14" spans="2:10" s="471" customFormat="1">
      <c r="B14" s="1689" t="s">
        <v>1304</v>
      </c>
      <c r="C14" s="1667">
        <v>1238242</v>
      </c>
      <c r="D14" s="2515"/>
      <c r="E14" s="604"/>
      <c r="F14" s="474"/>
      <c r="G14" s="474"/>
      <c r="H14" s="474"/>
      <c r="I14" s="474"/>
      <c r="J14" s="475"/>
    </row>
    <row r="15" spans="2:10" s="471" customFormat="1">
      <c r="B15" s="1692" t="s">
        <v>1305</v>
      </c>
      <c r="C15" s="1668"/>
      <c r="D15" s="2517"/>
      <c r="E15" s="604"/>
      <c r="F15" s="474"/>
      <c r="G15" s="474"/>
      <c r="H15" s="474"/>
      <c r="I15" s="474"/>
      <c r="J15" s="475"/>
    </row>
    <row r="16" spans="2:10" s="471" customFormat="1">
      <c r="B16" s="1693" t="s">
        <v>1306</v>
      </c>
      <c r="C16" s="1665">
        <f>C17+C20</f>
        <v>11004500</v>
      </c>
      <c r="D16" s="2518" t="s">
        <v>1307</v>
      </c>
      <c r="E16" s="474"/>
      <c r="F16" s="474"/>
      <c r="G16" s="474"/>
      <c r="H16" s="474"/>
      <c r="I16" s="474"/>
      <c r="J16" s="475"/>
    </row>
    <row r="17" spans="2:10" s="471" customFormat="1">
      <c r="B17" s="1689" t="s">
        <v>1308</v>
      </c>
      <c r="C17" s="1665">
        <f>C18+C19</f>
        <v>11004500</v>
      </c>
      <c r="D17" s="2519"/>
      <c r="E17" s="474"/>
      <c r="F17" s="474"/>
      <c r="G17" s="474"/>
      <c r="H17" s="474"/>
      <c r="I17" s="474"/>
      <c r="J17" s="475"/>
    </row>
    <row r="18" spans="2:10" s="471" customFormat="1">
      <c r="B18" s="1691" t="s">
        <v>1309</v>
      </c>
      <c r="C18" s="1667">
        <v>10978000</v>
      </c>
      <c r="D18" s="2519"/>
      <c r="E18" s="481"/>
      <c r="F18" s="474"/>
      <c r="G18" s="474"/>
      <c r="H18" s="474"/>
      <c r="I18" s="474"/>
      <c r="J18" s="475"/>
    </row>
    <row r="19" spans="2:10" s="471" customFormat="1">
      <c r="B19" s="1691" t="s">
        <v>1310</v>
      </c>
      <c r="C19" s="1667">
        <v>26500</v>
      </c>
      <c r="D19" s="2519"/>
      <c r="E19" s="474"/>
      <c r="F19" s="474"/>
      <c r="G19" s="474"/>
      <c r="H19" s="474"/>
      <c r="I19" s="474"/>
      <c r="J19" s="475"/>
    </row>
    <row r="20" spans="2:10" s="471" customFormat="1">
      <c r="B20" s="1689" t="s">
        <v>1311</v>
      </c>
      <c r="C20" s="1670">
        <v>0</v>
      </c>
      <c r="D20" s="2520"/>
      <c r="E20" s="474"/>
      <c r="F20" s="474"/>
      <c r="G20" s="474"/>
      <c r="H20" s="474"/>
      <c r="I20" s="474"/>
      <c r="J20" s="475"/>
    </row>
    <row r="21" spans="2:10" s="471" customFormat="1">
      <c r="B21" s="1692" t="s">
        <v>1312</v>
      </c>
      <c r="C21" s="1658">
        <v>73400</v>
      </c>
      <c r="D21" s="1671">
        <f>SUM(C22:C29)</f>
        <v>73400</v>
      </c>
      <c r="E21" s="481"/>
      <c r="F21" s="474"/>
      <c r="G21" s="474"/>
      <c r="H21" s="474"/>
      <c r="I21" s="474"/>
      <c r="J21" s="475"/>
    </row>
    <row r="22" spans="2:10" s="471" customFormat="1" ht="15.6" customHeight="1">
      <c r="B22" s="1689" t="s">
        <v>1313</v>
      </c>
      <c r="C22" s="1667">
        <v>37300</v>
      </c>
      <c r="D22" s="1666"/>
      <c r="E22" s="474"/>
      <c r="F22" s="474"/>
      <c r="G22" s="474"/>
      <c r="H22" s="474"/>
      <c r="I22" s="474"/>
      <c r="J22" s="475"/>
    </row>
    <row r="23" spans="2:10" s="471" customFormat="1" ht="15.6" customHeight="1">
      <c r="B23" s="1689" t="s">
        <v>1314</v>
      </c>
      <c r="C23" s="1667">
        <v>1700</v>
      </c>
      <c r="D23" s="1666"/>
      <c r="E23" s="474"/>
      <c r="F23" s="474"/>
      <c r="G23" s="474"/>
      <c r="H23" s="474"/>
      <c r="I23" s="474"/>
      <c r="J23" s="475"/>
    </row>
    <row r="24" spans="2:10" s="471" customFormat="1" ht="15.6" customHeight="1">
      <c r="B24" s="1689" t="s">
        <v>1315</v>
      </c>
      <c r="C24" s="1667">
        <v>500</v>
      </c>
      <c r="D24" s="1666"/>
      <c r="E24" s="474"/>
      <c r="F24" s="474"/>
      <c r="G24" s="474"/>
      <c r="H24" s="474"/>
      <c r="I24" s="474"/>
      <c r="J24" s="475"/>
    </row>
    <row r="25" spans="2:10" s="471" customFormat="1" ht="15.6" customHeight="1">
      <c r="B25" s="1689" t="s">
        <v>1316</v>
      </c>
      <c r="C25" s="1667">
        <v>1800</v>
      </c>
      <c r="D25" s="1666"/>
      <c r="E25" s="474"/>
      <c r="F25" s="474"/>
      <c r="G25" s="474"/>
      <c r="H25" s="474"/>
      <c r="I25" s="474"/>
      <c r="J25" s="475"/>
    </row>
    <row r="26" spans="2:10" s="471" customFormat="1" ht="15.6" customHeight="1">
      <c r="B26" s="1689" t="s">
        <v>1317</v>
      </c>
      <c r="C26" s="1667"/>
      <c r="D26" s="1666"/>
      <c r="E26" s="474"/>
      <c r="F26" s="474"/>
      <c r="G26" s="474"/>
      <c r="H26" s="474"/>
      <c r="I26" s="474"/>
      <c r="J26" s="475"/>
    </row>
    <row r="27" spans="2:10" s="471" customFormat="1" ht="15.6" customHeight="1">
      <c r="B27" s="1689" t="s">
        <v>1318</v>
      </c>
      <c r="C27" s="1667"/>
      <c r="D27" s="1666" t="s">
        <v>1319</v>
      </c>
      <c r="E27" s="474"/>
      <c r="F27" s="474"/>
      <c r="G27" s="474"/>
      <c r="H27" s="474"/>
      <c r="I27" s="474"/>
      <c r="J27" s="475"/>
    </row>
    <row r="28" spans="2:10" s="471" customFormat="1" ht="15.6" customHeight="1">
      <c r="B28" s="1689" t="s">
        <v>1320</v>
      </c>
      <c r="C28" s="1667">
        <v>-1700</v>
      </c>
      <c r="D28" s="1672"/>
      <c r="E28" s="474"/>
      <c r="F28" s="474"/>
      <c r="G28" s="474"/>
      <c r="H28" s="474"/>
      <c r="I28" s="474"/>
      <c r="J28" s="475"/>
    </row>
    <row r="29" spans="2:10" s="471" customFormat="1" ht="15.6" customHeight="1">
      <c r="B29" s="1689" t="s">
        <v>1321</v>
      </c>
      <c r="C29" s="1667">
        <v>33800</v>
      </c>
      <c r="D29" s="1666" t="s">
        <v>1322</v>
      </c>
      <c r="E29" s="474"/>
      <c r="F29" s="474"/>
      <c r="G29" s="474"/>
      <c r="H29" s="474"/>
      <c r="I29" s="474"/>
      <c r="J29" s="475"/>
    </row>
    <row r="30" spans="2:10" s="471" customFormat="1">
      <c r="B30" s="1692" t="s">
        <v>1323</v>
      </c>
      <c r="C30" s="1667">
        <v>8107730</v>
      </c>
      <c r="D30" s="1666"/>
      <c r="E30" s="481"/>
      <c r="F30" s="474"/>
      <c r="G30" s="474"/>
      <c r="H30" s="474"/>
      <c r="I30" s="474"/>
      <c r="J30" s="475"/>
    </row>
    <row r="31" spans="2:10" s="471" customFormat="1" ht="19.95" customHeight="1">
      <c r="B31" s="1692" t="s">
        <v>1324</v>
      </c>
      <c r="C31" s="1665">
        <f>C30*10%</f>
        <v>810773</v>
      </c>
      <c r="D31" s="1666" t="s">
        <v>1325</v>
      </c>
      <c r="E31" s="481"/>
      <c r="F31" s="474"/>
      <c r="G31" s="474"/>
      <c r="H31" s="474"/>
      <c r="I31" s="474"/>
      <c r="J31" s="475"/>
    </row>
    <row r="32" spans="2:10" s="471" customFormat="1">
      <c r="B32" s="482"/>
      <c r="C32" s="474"/>
      <c r="D32" s="483"/>
      <c r="E32" s="481"/>
      <c r="F32" s="474"/>
      <c r="G32" s="474"/>
      <c r="H32" s="474"/>
      <c r="I32" s="474"/>
      <c r="J32" s="475"/>
    </row>
    <row r="33" spans="2:21" s="471" customFormat="1" ht="15.6">
      <c r="B33" s="2521" t="s">
        <v>1326</v>
      </c>
      <c r="C33" s="2507"/>
      <c r="D33" s="2507"/>
      <c r="E33" s="484"/>
      <c r="F33" s="484"/>
      <c r="G33" s="484"/>
      <c r="H33" s="484"/>
      <c r="I33" s="484"/>
      <c r="J33" s="485"/>
    </row>
    <row r="34" spans="2:21" s="471" customFormat="1">
      <c r="B34" s="2509" t="s">
        <v>1327</v>
      </c>
      <c r="C34" s="2498"/>
      <c r="D34" s="2498"/>
      <c r="E34" s="474"/>
      <c r="F34" s="474"/>
      <c r="G34" s="474"/>
      <c r="H34" s="474"/>
      <c r="I34" s="474"/>
      <c r="J34" s="475"/>
      <c r="K34" s="486"/>
      <c r="L34" s="486"/>
      <c r="M34" s="486"/>
    </row>
    <row r="35" spans="2:21" s="471" customFormat="1">
      <c r="B35" s="1694" t="s">
        <v>1291</v>
      </c>
      <c r="C35" s="1353" t="s">
        <v>1292</v>
      </c>
      <c r="D35" s="1673" t="s">
        <v>1293</v>
      </c>
      <c r="E35" s="487"/>
      <c r="F35" s="474"/>
      <c r="G35" s="474"/>
      <c r="H35" s="474"/>
      <c r="I35" s="474"/>
      <c r="J35" s="475"/>
      <c r="K35" s="486"/>
      <c r="L35" s="486"/>
      <c r="M35" s="486"/>
      <c r="O35" s="486"/>
      <c r="P35" s="486"/>
      <c r="Q35" s="486"/>
      <c r="S35" s="486"/>
      <c r="T35" s="486"/>
      <c r="U35" s="486"/>
    </row>
    <row r="36" spans="2:21" s="471" customFormat="1">
      <c r="B36" s="1692" t="s">
        <v>1328</v>
      </c>
      <c r="C36" s="1674">
        <f>C38*(1-C43)+C42*C43</f>
        <v>2.0933500000000001E-2</v>
      </c>
      <c r="D36" s="1666"/>
      <c r="E36" s="487"/>
      <c r="F36" s="474"/>
      <c r="G36" s="474"/>
      <c r="H36" s="474"/>
      <c r="I36" s="474"/>
      <c r="J36" s="475"/>
      <c r="K36" s="486"/>
      <c r="L36" s="488"/>
      <c r="M36" s="489"/>
      <c r="O36" s="486"/>
      <c r="P36" s="488"/>
      <c r="Q36" s="489"/>
      <c r="S36" s="486"/>
      <c r="T36" s="488"/>
      <c r="U36" s="489"/>
    </row>
    <row r="37" spans="2:21" s="471" customFormat="1" ht="16.95" customHeight="1">
      <c r="B37" s="1689" t="s">
        <v>1329</v>
      </c>
      <c r="C37" s="1675"/>
      <c r="D37" s="1666" t="s">
        <v>1330</v>
      </c>
      <c r="E37" s="487"/>
      <c r="F37" s="474"/>
      <c r="G37" s="474"/>
      <c r="H37" s="474"/>
      <c r="I37" s="474"/>
      <c r="J37" s="475"/>
      <c r="K37" s="489"/>
      <c r="L37" s="488"/>
      <c r="M37" s="489"/>
      <c r="O37" s="489"/>
      <c r="P37" s="488"/>
      <c r="Q37" s="489"/>
      <c r="S37" s="489"/>
      <c r="T37" s="488"/>
      <c r="U37" s="489"/>
    </row>
    <row r="38" spans="2:21" s="471" customFormat="1" ht="19.2" customHeight="1">
      <c r="B38" s="1689" t="s">
        <v>1331</v>
      </c>
      <c r="C38" s="1676">
        <f>C39</f>
        <v>2.0500000000000001E-2</v>
      </c>
      <c r="D38" s="1666" t="s">
        <v>1332</v>
      </c>
      <c r="E38" s="487"/>
      <c r="F38" s="474"/>
      <c r="G38" s="474"/>
      <c r="H38" s="474"/>
      <c r="I38" s="474"/>
      <c r="J38" s="475"/>
      <c r="K38" s="489"/>
      <c r="L38" s="488"/>
      <c r="M38" s="489"/>
      <c r="O38" s="489"/>
      <c r="P38" s="488"/>
      <c r="Q38" s="489"/>
      <c r="S38" s="489"/>
      <c r="T38" s="488"/>
      <c r="U38" s="489"/>
    </row>
    <row r="39" spans="2:21" s="471" customFormat="1">
      <c r="B39" s="1688" t="s">
        <v>1333</v>
      </c>
      <c r="C39" s="1677">
        <f>((C17+C31)*C40+C20*C41)/(C16+C31)</f>
        <v>2.0500000000000001E-2</v>
      </c>
      <c r="D39" s="1666"/>
      <c r="E39" s="487"/>
      <c r="F39" s="474"/>
      <c r="G39" s="474"/>
      <c r="H39" s="474"/>
      <c r="I39" s="474"/>
      <c r="J39" s="475"/>
      <c r="K39" s="489"/>
      <c r="L39" s="488"/>
      <c r="M39" s="489"/>
      <c r="O39" s="489"/>
      <c r="P39" s="488"/>
      <c r="Q39" s="489"/>
      <c r="S39" s="489"/>
      <c r="T39" s="488"/>
      <c r="U39" s="489"/>
    </row>
    <row r="40" spans="2:21" s="471" customFormat="1" ht="20.399999999999999" customHeight="1">
      <c r="B40" s="1688" t="s">
        <v>1334</v>
      </c>
      <c r="C40" s="1678">
        <v>2.0500000000000001E-2</v>
      </c>
      <c r="D40" s="1666" t="s">
        <v>1335</v>
      </c>
      <c r="E40" s="487"/>
      <c r="F40" s="474"/>
      <c r="G40" s="474"/>
      <c r="H40" s="474"/>
      <c r="I40" s="474"/>
      <c r="J40" s="475"/>
      <c r="K40" s="489"/>
      <c r="L40" s="488"/>
      <c r="M40" s="489"/>
      <c r="O40" s="489"/>
      <c r="P40" s="488"/>
      <c r="Q40" s="489"/>
      <c r="S40" s="489"/>
      <c r="T40" s="488"/>
      <c r="U40" s="489"/>
    </row>
    <row r="41" spans="2:21" s="471" customFormat="1">
      <c r="B41" s="1688" t="s">
        <v>1336</v>
      </c>
      <c r="C41" s="1678">
        <v>0.01</v>
      </c>
      <c r="D41" s="1666" t="s">
        <v>1337</v>
      </c>
      <c r="E41" s="487"/>
      <c r="F41" s="474"/>
      <c r="G41" s="474"/>
      <c r="H41" s="474"/>
      <c r="I41" s="474"/>
      <c r="J41" s="475"/>
      <c r="K41" s="489"/>
      <c r="L41" s="488"/>
      <c r="M41" s="489"/>
      <c r="O41" s="489"/>
      <c r="P41" s="488"/>
      <c r="Q41" s="489"/>
      <c r="S41" s="489"/>
      <c r="T41" s="488"/>
      <c r="U41" s="489"/>
    </row>
    <row r="42" spans="2:21" s="471" customFormat="1" ht="19.2" customHeight="1">
      <c r="B42" s="1689" t="s">
        <v>1338</v>
      </c>
      <c r="C42" s="1678">
        <v>4.5999999999999999E-2</v>
      </c>
      <c r="D42" s="1666" t="s">
        <v>1339</v>
      </c>
      <c r="E42" s="490"/>
      <c r="F42" s="474"/>
      <c r="G42" s="474"/>
      <c r="H42" s="474"/>
      <c r="I42" s="474"/>
      <c r="J42" s="475"/>
      <c r="K42" s="489"/>
      <c r="L42" s="488"/>
      <c r="M42" s="489"/>
      <c r="O42" s="489"/>
      <c r="P42" s="488"/>
      <c r="Q42" s="489"/>
      <c r="S42" s="489"/>
      <c r="T42" s="488"/>
      <c r="U42" s="489"/>
    </row>
    <row r="43" spans="2:21" s="471" customFormat="1" ht="19.2" customHeight="1">
      <c r="B43" s="1689" t="s">
        <v>426</v>
      </c>
      <c r="C43" s="1678">
        <v>1.7000000000000001E-2</v>
      </c>
      <c r="D43" s="1666" t="s">
        <v>1340</v>
      </c>
      <c r="E43" s="491"/>
      <c r="F43" s="474"/>
      <c r="G43" s="474"/>
      <c r="H43" s="474"/>
      <c r="I43" s="474"/>
      <c r="J43" s="475"/>
      <c r="K43" s="489"/>
      <c r="L43" s="488"/>
      <c r="M43" s="489"/>
      <c r="O43" s="489"/>
      <c r="P43" s="488"/>
      <c r="Q43" s="489"/>
      <c r="S43" s="489"/>
      <c r="T43" s="488"/>
      <c r="U43" s="489"/>
    </row>
    <row r="44" spans="2:21" s="471" customFormat="1">
      <c r="B44" s="1692" t="s">
        <v>90</v>
      </c>
      <c r="C44" s="1679">
        <v>0.25</v>
      </c>
      <c r="D44" s="1666"/>
      <c r="E44" s="481"/>
      <c r="F44" s="474"/>
      <c r="G44" s="474"/>
      <c r="H44" s="474"/>
      <c r="I44" s="474"/>
      <c r="J44" s="475"/>
      <c r="K44" s="489"/>
      <c r="L44" s="488"/>
      <c r="M44" s="489"/>
      <c r="O44" s="489"/>
      <c r="P44" s="488"/>
      <c r="Q44" s="489"/>
      <c r="S44" s="489"/>
      <c r="T44" s="488"/>
      <c r="U44" s="489"/>
    </row>
    <row r="45" spans="2:21" s="471" customFormat="1">
      <c r="B45" s="1692" t="s">
        <v>1341</v>
      </c>
      <c r="C45" s="1680">
        <v>5.7000000000000002E-2</v>
      </c>
      <c r="D45" s="1681"/>
      <c r="E45" s="481"/>
      <c r="F45" s="666"/>
      <c r="G45" s="666"/>
      <c r="H45" s="666"/>
      <c r="I45" s="666"/>
      <c r="J45" s="667"/>
      <c r="K45" s="489"/>
      <c r="L45" s="488"/>
      <c r="M45" s="489"/>
      <c r="O45" s="489"/>
      <c r="P45" s="488"/>
      <c r="Q45" s="489"/>
      <c r="S45" s="489"/>
      <c r="T45" s="488"/>
      <c r="U45" s="489"/>
    </row>
    <row r="46" spans="2:21" s="471" customFormat="1">
      <c r="B46" s="1692" t="s">
        <v>1342</v>
      </c>
      <c r="C46" s="1680">
        <v>7.1999999999999998E-3</v>
      </c>
      <c r="D46" s="1666"/>
      <c r="E46" s="481"/>
      <c r="F46" s="474"/>
      <c r="G46" s="474"/>
      <c r="H46" s="474"/>
      <c r="I46" s="474"/>
      <c r="J46" s="475"/>
      <c r="K46" s="492"/>
      <c r="L46" s="488"/>
      <c r="M46" s="489"/>
      <c r="O46" s="492"/>
      <c r="P46" s="488"/>
      <c r="Q46" s="489"/>
      <c r="S46" s="492"/>
      <c r="T46" s="488"/>
      <c r="U46" s="489"/>
    </row>
    <row r="47" spans="2:21" s="471" customFormat="1">
      <c r="B47" s="1692" t="s">
        <v>1343</v>
      </c>
      <c r="C47" s="1680">
        <v>5.1999999999999998E-3</v>
      </c>
      <c r="D47" s="1666"/>
      <c r="E47" s="867"/>
      <c r="F47" s="474"/>
      <c r="G47" s="474"/>
      <c r="H47" s="474"/>
      <c r="I47" s="474"/>
      <c r="J47" s="475"/>
      <c r="K47" s="492"/>
      <c r="L47" s="488"/>
      <c r="M47" s="489"/>
      <c r="O47" s="492"/>
      <c r="P47" s="488"/>
      <c r="Q47" s="489"/>
      <c r="S47" s="492"/>
      <c r="T47" s="488"/>
      <c r="U47" s="489"/>
    </row>
    <row r="48" spans="2:21" s="471" customFormat="1">
      <c r="B48" s="1688" t="s">
        <v>1344</v>
      </c>
      <c r="C48" s="1680">
        <v>1.8499999999999999E-2</v>
      </c>
      <c r="D48" s="1666"/>
      <c r="E48" s="474"/>
      <c r="F48" s="474"/>
      <c r="G48" s="474"/>
      <c r="H48" s="474"/>
      <c r="I48" s="474"/>
      <c r="J48" s="475"/>
      <c r="K48" s="486"/>
      <c r="L48" s="486"/>
      <c r="M48" s="486"/>
    </row>
    <row r="49" spans="2:21" s="471" customFormat="1">
      <c r="B49" s="1688" t="s">
        <v>1345</v>
      </c>
      <c r="C49" s="1682">
        <v>1.4999999999999999E-2</v>
      </c>
      <c r="D49" s="1666"/>
      <c r="E49" s="666"/>
      <c r="F49" s="474"/>
      <c r="G49" s="474"/>
      <c r="H49" s="474"/>
      <c r="I49" s="474"/>
      <c r="J49" s="475"/>
      <c r="K49" s="486"/>
      <c r="L49" s="486"/>
      <c r="M49" s="486"/>
      <c r="O49" s="486"/>
      <c r="P49" s="486"/>
      <c r="Q49" s="486"/>
      <c r="S49" s="486"/>
      <c r="T49" s="486"/>
      <c r="U49" s="486"/>
    </row>
    <row r="50" spans="2:21" s="471" customFormat="1" ht="15.6" thickBot="1">
      <c r="B50" s="482"/>
      <c r="C50" s="623">
        <f>(发展投入!E6+发展投入!E12+发展投入!E15+发展投入!E16+发展投入!E17)*10000</f>
        <v>2407109</v>
      </c>
      <c r="D50" s="623">
        <f>(发展投入!F6+发展投入!F12+发展投入!F15+发展投入!F16+发展投入!F17)*10000</f>
        <v>1335337</v>
      </c>
      <c r="E50" s="623">
        <f>(发展投入!G6+发展投入!G12+发展投入!G15+发展投入!G16+发展投入!G17)*10000</f>
        <v>1757300.0000000002</v>
      </c>
      <c r="F50" s="623">
        <f>(发展投入!H6+发展投入!H12+发展投入!H15+发展投入!H16+发展投入!H17)*10000</f>
        <v>1757300.0000000002</v>
      </c>
      <c r="G50" s="623">
        <f>(发展投入!I6+发展投入!I12+发展投入!I15+发展投入!I16+发展投入!I17)*10000</f>
        <v>1757300.0000000002</v>
      </c>
      <c r="H50" s="623">
        <f>(发展投入!J6+发展投入!J12+发展投入!J15+发展投入!J16+发展投入!J17)*10000</f>
        <v>1757300.0000000002</v>
      </c>
      <c r="I50" s="623">
        <f>(发展投入!K6+发展投入!K12+发展投入!K15+发展投入!K16+发展投入!K17)*10000</f>
        <v>1757300.0000000002</v>
      </c>
      <c r="J50" s="475"/>
      <c r="K50" s="489"/>
      <c r="L50" s="488"/>
      <c r="M50" s="489"/>
      <c r="O50" s="489"/>
      <c r="P50" s="488"/>
      <c r="Q50" s="489"/>
      <c r="S50" s="489"/>
      <c r="T50" s="488"/>
      <c r="U50" s="489"/>
    </row>
    <row r="51" spans="2:21" s="471" customFormat="1" ht="15.6">
      <c r="B51" s="1705" t="s">
        <v>1346</v>
      </c>
      <c r="C51" s="1706">
        <f>C50/发展投入!E18/10000</f>
        <v>0.99036383011112816</v>
      </c>
      <c r="D51" s="1706">
        <f>D50/发展投入!F18/10000</f>
        <v>0.99234268278092008</v>
      </c>
      <c r="E51" s="1706">
        <f>E50/发展投入!G18/10000</f>
        <v>0.99518631781628741</v>
      </c>
      <c r="F51" s="1706">
        <f>F50/发展投入!H18/10000</f>
        <v>0.99518631781628741</v>
      </c>
      <c r="G51" s="1706">
        <f>G50/发展投入!I18/10000</f>
        <v>0.99518631781628741</v>
      </c>
      <c r="H51" s="1706">
        <f>H50/发展投入!J18/10000</f>
        <v>0.99518631781628741</v>
      </c>
      <c r="I51" s="1706">
        <f>I50/发展投入!K18/10000</f>
        <v>0.99518631781628741</v>
      </c>
      <c r="J51" s="1707"/>
      <c r="K51" s="489"/>
      <c r="L51" s="488"/>
      <c r="M51" s="489"/>
      <c r="O51" s="489"/>
      <c r="P51" s="488"/>
      <c r="Q51" s="489"/>
      <c r="S51" s="489"/>
      <c r="T51" s="488"/>
      <c r="U51" s="489"/>
    </row>
    <row r="52" spans="2:21" s="471" customFormat="1">
      <c r="B52" s="2497" t="s">
        <v>1290</v>
      </c>
      <c r="C52" s="2498"/>
      <c r="D52" s="2498"/>
      <c r="E52" s="2498"/>
      <c r="F52" s="2498"/>
      <c r="G52" s="2498"/>
      <c r="H52" s="2498"/>
      <c r="I52" s="2498"/>
      <c r="J52" s="2499"/>
      <c r="K52" s="489"/>
      <c r="L52" s="488"/>
      <c r="M52" s="489"/>
      <c r="O52" s="489"/>
      <c r="P52" s="488"/>
      <c r="Q52" s="489"/>
      <c r="S52" s="489"/>
      <c r="T52" s="488"/>
      <c r="U52" s="489"/>
    </row>
    <row r="53" spans="2:21" s="471" customFormat="1">
      <c r="B53" s="1695" t="s">
        <v>1291</v>
      </c>
      <c r="C53" s="1683">
        <f>输配电价测算模型!C5</f>
        <v>2016</v>
      </c>
      <c r="D53" s="1683">
        <f>输配电价测算模型!D5</f>
        <v>2017</v>
      </c>
      <c r="E53" s="1683">
        <f>输配电价测算模型!E5</f>
        <v>2018</v>
      </c>
      <c r="F53" s="1683">
        <f>输配电价测算模型!F5</f>
        <v>2019</v>
      </c>
      <c r="G53" s="1683">
        <f>输配电价测算模型!H5</f>
        <v>2020</v>
      </c>
      <c r="H53" s="1683">
        <f>输配电价测算模型!I5</f>
        <v>2021</v>
      </c>
      <c r="I53" s="1683">
        <f>输配电价测算模型!J5</f>
        <v>2022</v>
      </c>
      <c r="J53" s="1696" t="s">
        <v>1293</v>
      </c>
      <c r="K53" s="489" t="s">
        <v>1711</v>
      </c>
      <c r="L53" s="488"/>
      <c r="M53" s="489"/>
      <c r="O53" s="489"/>
      <c r="P53" s="488"/>
      <c r="Q53" s="489"/>
      <c r="S53" s="489"/>
      <c r="T53" s="488"/>
      <c r="U53" s="489"/>
    </row>
    <row r="54" spans="2:21" s="471" customFormat="1" ht="30">
      <c r="B54" s="1688" t="s">
        <v>1354</v>
      </c>
      <c r="C54" s="1667">
        <v>2418000</v>
      </c>
      <c r="D54" s="1667">
        <v>2200000</v>
      </c>
      <c r="E54" s="1667">
        <v>1950000</v>
      </c>
      <c r="F54" s="1667">
        <v>1880000</v>
      </c>
      <c r="G54" s="1900">
        <f>F54</f>
        <v>1880000</v>
      </c>
      <c r="H54" s="1900">
        <f t="shared" ref="H54:I54" si="0">G54</f>
        <v>1880000</v>
      </c>
      <c r="I54" s="1900">
        <f t="shared" si="0"/>
        <v>1880000</v>
      </c>
      <c r="J54" s="1697" t="s">
        <v>1355</v>
      </c>
      <c r="K54" s="1661">
        <v>0.94567068231282814</v>
      </c>
      <c r="L54" s="778">
        <f>C$50*$K54</f>
        <v>2276332.4104313497</v>
      </c>
      <c r="M54" s="778">
        <f t="shared" ref="M54:T55" si="1">D$50*$K54</f>
        <v>1262789.051907565</v>
      </c>
      <c r="N54" s="778">
        <f t="shared" si="1"/>
        <v>1661827.090028333</v>
      </c>
      <c r="O54" s="778">
        <f t="shared" si="1"/>
        <v>1661827.090028333</v>
      </c>
      <c r="P54" s="778">
        <f t="shared" si="1"/>
        <v>1661827.090028333</v>
      </c>
      <c r="Q54" s="778">
        <f t="shared" si="1"/>
        <v>1661827.090028333</v>
      </c>
      <c r="R54" s="778">
        <f t="shared" si="1"/>
        <v>1661827.090028333</v>
      </c>
      <c r="S54" s="778">
        <f t="shared" si="1"/>
        <v>0</v>
      </c>
      <c r="T54" s="778">
        <f t="shared" si="1"/>
        <v>0</v>
      </c>
      <c r="U54" s="489"/>
    </row>
    <row r="55" spans="2:21" s="471" customFormat="1" ht="30">
      <c r="B55" s="1688" t="s">
        <v>1356</v>
      </c>
      <c r="C55" s="1659">
        <f>C54</f>
        <v>2418000</v>
      </c>
      <c r="D55" s="1659">
        <f t="shared" ref="D55" si="2">D54</f>
        <v>2200000</v>
      </c>
      <c r="E55" s="1659">
        <f>IF(投资能力规划!$C$26="YES",发展投入!G18*10000,E54)</f>
        <v>1950000</v>
      </c>
      <c r="F55" s="1659">
        <f>IF(投资能力规划!$C$26="YES",发展投入!H18*10000,F54)</f>
        <v>1880000</v>
      </c>
      <c r="G55" s="1659">
        <f>IF(投资能力规划!$C$26="YES",发展投入!I18*10000,G54)</f>
        <v>1880000</v>
      </c>
      <c r="H55" s="1659">
        <f>IF(投资能力规划!$C$26="YES",发展投入!J18*10000,H54)</f>
        <v>1880000</v>
      </c>
      <c r="I55" s="1659">
        <f>IF(投资能力规划!$C$26="YES",发展投入!K18*10000,I54)</f>
        <v>1880000</v>
      </c>
      <c r="J55" s="1697" t="s">
        <v>1355</v>
      </c>
      <c r="K55" s="1661">
        <v>5.4329317687171863E-2</v>
      </c>
      <c r="L55" s="778">
        <f>C$50*$K55</f>
        <v>130776.58956865058</v>
      </c>
      <c r="M55" s="778">
        <f t="shared" si="1"/>
        <v>72547.948092435021</v>
      </c>
      <c r="N55" s="778">
        <f t="shared" si="1"/>
        <v>95472.909971667134</v>
      </c>
      <c r="O55" s="778">
        <f t="shared" si="1"/>
        <v>95472.909971667134</v>
      </c>
      <c r="P55" s="778">
        <f t="shared" si="1"/>
        <v>95472.909971667134</v>
      </c>
      <c r="Q55" s="778">
        <f t="shared" si="1"/>
        <v>95472.909971667134</v>
      </c>
      <c r="R55" s="778">
        <f t="shared" si="1"/>
        <v>95472.909971667134</v>
      </c>
      <c r="S55" s="778">
        <f t="shared" si="1"/>
        <v>0</v>
      </c>
      <c r="T55" s="778">
        <f t="shared" si="1"/>
        <v>0</v>
      </c>
      <c r="U55" s="489"/>
    </row>
    <row r="56" spans="2:21" s="471" customFormat="1">
      <c r="B56" s="1698" t="s">
        <v>1357</v>
      </c>
      <c r="C56" s="1658">
        <v>502200</v>
      </c>
      <c r="D56" s="1658">
        <v>499700</v>
      </c>
      <c r="E56" s="1658">
        <v>597000</v>
      </c>
      <c r="F56" s="1658">
        <v>499900</v>
      </c>
      <c r="G56" s="1659"/>
      <c r="H56" s="1659"/>
      <c r="I56" s="1659"/>
      <c r="J56" s="493"/>
      <c r="K56" s="489"/>
      <c r="L56" s="778">
        <f>C50/K54-C50</f>
        <v>138289.77889936278</v>
      </c>
      <c r="M56" s="489"/>
      <c r="O56" s="489"/>
      <c r="P56" s="488"/>
      <c r="Q56" s="489"/>
      <c r="S56" s="489"/>
      <c r="T56" s="488"/>
      <c r="U56" s="489"/>
    </row>
    <row r="57" spans="2:21" s="471" customFormat="1">
      <c r="B57" s="1699" t="s">
        <v>1358</v>
      </c>
      <c r="C57" s="1660"/>
      <c r="D57" s="1659"/>
      <c r="E57" s="1659"/>
      <c r="F57" s="1659"/>
      <c r="G57" s="1659"/>
      <c r="H57" s="1659"/>
      <c r="I57" s="1659"/>
      <c r="J57" s="1697"/>
      <c r="K57" s="489"/>
      <c r="L57" s="488"/>
      <c r="M57" s="489"/>
      <c r="O57" s="489"/>
      <c r="P57" s="488"/>
      <c r="Q57" s="489"/>
      <c r="S57" s="489"/>
      <c r="T57" s="488"/>
      <c r="U57" s="489"/>
    </row>
    <row r="58" spans="2:21" s="471" customFormat="1">
      <c r="B58" s="1699" t="s">
        <v>1359</v>
      </c>
      <c r="C58" s="1660"/>
      <c r="D58" s="1659"/>
      <c r="E58" s="1659"/>
      <c r="F58" s="1659"/>
      <c r="G58" s="1659"/>
      <c r="H58" s="1659"/>
      <c r="I58" s="1659"/>
      <c r="J58" s="1700">
        <f>固定资产!E15*10000-固定资产!D15*10000</f>
        <v>0</v>
      </c>
      <c r="K58" s="489"/>
      <c r="L58" s="488"/>
      <c r="M58" s="489"/>
      <c r="O58" s="489"/>
      <c r="P58" s="488"/>
      <c r="Q58" s="489"/>
      <c r="S58" s="489"/>
      <c r="T58" s="488"/>
      <c r="U58" s="489"/>
    </row>
    <row r="59" spans="2:21" s="471" customFormat="1">
      <c r="B59" s="1698" t="s">
        <v>1360</v>
      </c>
      <c r="C59" s="1659"/>
      <c r="D59" s="1659"/>
      <c r="E59" s="1659"/>
      <c r="F59" s="1659"/>
      <c r="G59" s="1659"/>
      <c r="H59" s="1659"/>
      <c r="I59" s="1659"/>
      <c r="J59" s="494"/>
      <c r="K59" s="1662">
        <f>C54/K54*K55</f>
        <v>138915.4730336928</v>
      </c>
      <c r="L59" s="488"/>
      <c r="M59" s="489"/>
      <c r="O59" s="492"/>
      <c r="P59" s="488"/>
      <c r="Q59" s="489"/>
      <c r="S59" s="492"/>
      <c r="T59" s="488"/>
      <c r="U59" s="489"/>
    </row>
    <row r="60" spans="2:21" s="471" customFormat="1">
      <c r="B60" s="1698" t="s">
        <v>1361</v>
      </c>
      <c r="C60" s="1679">
        <v>0.75</v>
      </c>
      <c r="D60" s="1679">
        <f t="shared" ref="D60:I60" si="3">C60</f>
        <v>0.75</v>
      </c>
      <c r="E60" s="1679">
        <f t="shared" si="3"/>
        <v>0.75</v>
      </c>
      <c r="F60" s="1679">
        <f t="shared" si="3"/>
        <v>0.75</v>
      </c>
      <c r="G60" s="1679">
        <f t="shared" si="3"/>
        <v>0.75</v>
      </c>
      <c r="H60" s="1679">
        <f t="shared" si="3"/>
        <v>0.75</v>
      </c>
      <c r="I60" s="1679">
        <f t="shared" si="3"/>
        <v>0.75</v>
      </c>
      <c r="J60" s="1697"/>
      <c r="K60" s="492"/>
      <c r="L60" s="488"/>
      <c r="M60" s="489"/>
      <c r="O60" s="492"/>
      <c r="P60" s="488"/>
      <c r="Q60" s="489"/>
      <c r="S60" s="492"/>
      <c r="T60" s="488"/>
      <c r="U60" s="489"/>
    </row>
    <row r="61" spans="2:21" s="471" customFormat="1">
      <c r="B61" s="2500" t="s">
        <v>1362</v>
      </c>
      <c r="C61" s="2501"/>
      <c r="D61" s="2501"/>
      <c r="E61" s="2501"/>
      <c r="F61" s="2501"/>
      <c r="G61" s="2501"/>
      <c r="H61" s="2501"/>
      <c r="I61" s="2501"/>
      <c r="J61" s="2502"/>
    </row>
    <row r="62" spans="2:21" s="471" customFormat="1">
      <c r="B62" s="2500"/>
      <c r="C62" s="2501"/>
      <c r="D62" s="2501"/>
      <c r="E62" s="2501"/>
      <c r="F62" s="2501"/>
      <c r="G62" s="2501"/>
      <c r="H62" s="2501"/>
      <c r="I62" s="2501"/>
      <c r="J62" s="2502"/>
    </row>
    <row r="63" spans="2:21">
      <c r="B63" s="2500"/>
      <c r="C63" s="2501"/>
      <c r="D63" s="2501"/>
      <c r="E63" s="2501"/>
      <c r="F63" s="2501"/>
      <c r="G63" s="2501"/>
      <c r="H63" s="2501"/>
      <c r="I63" s="2501"/>
      <c r="J63" s="2502"/>
    </row>
    <row r="64" spans="2:21" ht="15.6" thickBot="1">
      <c r="B64" s="2503" t="s">
        <v>1363</v>
      </c>
      <c r="C64" s="2504"/>
      <c r="D64" s="2504"/>
      <c r="E64" s="2504"/>
      <c r="F64" s="2504"/>
      <c r="G64" s="2504"/>
      <c r="H64" s="2504"/>
      <c r="I64" s="2504"/>
      <c r="J64" s="2505"/>
    </row>
    <row r="65" spans="1:40" ht="15.6">
      <c r="B65" s="2506" t="s">
        <v>1364</v>
      </c>
      <c r="C65" s="2507"/>
      <c r="D65" s="2507"/>
      <c r="E65" s="2507"/>
      <c r="F65" s="2507"/>
      <c r="G65" s="2507"/>
      <c r="H65" s="2507"/>
      <c r="I65" s="2507"/>
      <c r="J65" s="2508"/>
    </row>
    <row r="66" spans="1:40">
      <c r="B66" s="1695" t="s">
        <v>1291</v>
      </c>
      <c r="C66" s="1353" t="s">
        <v>1347</v>
      </c>
      <c r="D66" s="1353" t="s">
        <v>1348</v>
      </c>
      <c r="E66" s="1353" t="s">
        <v>1349</v>
      </c>
      <c r="F66" s="1353" t="s">
        <v>1350</v>
      </c>
      <c r="G66" s="1353" t="s">
        <v>1351</v>
      </c>
      <c r="H66" s="1353" t="s">
        <v>1352</v>
      </c>
      <c r="I66" s="1353" t="s">
        <v>1353</v>
      </c>
      <c r="J66" s="1696" t="s">
        <v>1293</v>
      </c>
    </row>
    <row r="67" spans="1:40" ht="15.6" thickBot="1">
      <c r="B67" s="495" t="s">
        <v>1365</v>
      </c>
      <c r="C67" s="1684"/>
      <c r="D67" s="1684"/>
      <c r="E67" s="1684"/>
      <c r="F67" s="1684"/>
      <c r="G67" s="1685"/>
      <c r="H67" s="1685"/>
      <c r="I67" s="1685"/>
      <c r="J67" s="1701"/>
    </row>
    <row r="68" spans="1:40" ht="15.6" thickBot="1">
      <c r="B68" s="482"/>
      <c r="C68" s="1686"/>
      <c r="D68" s="1686"/>
      <c r="E68" s="1686"/>
      <c r="F68" s="1686"/>
      <c r="G68" s="1686"/>
      <c r="H68" s="1686">
        <v>0.05</v>
      </c>
      <c r="I68" s="1686"/>
      <c r="J68" s="1702"/>
    </row>
    <row r="69" spans="1:40">
      <c r="B69" s="627"/>
      <c r="C69" s="628" t="str">
        <f>C35</f>
        <v>基期</v>
      </c>
      <c r="D69" s="628" t="str">
        <f>C66</f>
        <v>2016年</v>
      </c>
      <c r="E69" s="628" t="str">
        <f t="shared" ref="E69:J69" si="4">D66</f>
        <v>2017年</v>
      </c>
      <c r="F69" s="628" t="str">
        <f t="shared" si="4"/>
        <v>2018年</v>
      </c>
      <c r="G69" s="628" t="str">
        <f t="shared" si="4"/>
        <v>2019年</v>
      </c>
      <c r="H69" s="628" t="str">
        <f t="shared" si="4"/>
        <v>2020年</v>
      </c>
      <c r="I69" s="628" t="str">
        <f t="shared" si="4"/>
        <v>2021年</v>
      </c>
      <c r="J69" s="629" t="str">
        <f t="shared" si="4"/>
        <v>2022年</v>
      </c>
    </row>
    <row r="70" spans="1:40" ht="15.6" thickBot="1">
      <c r="B70" s="495" t="s">
        <v>1544</v>
      </c>
      <c r="C70" s="1703"/>
      <c r="D70" s="1704">
        <v>12350000</v>
      </c>
      <c r="E70" s="1704">
        <v>12535249.999999998</v>
      </c>
      <c r="F70" s="1704">
        <v>12723278.749999996</v>
      </c>
      <c r="G70" s="1704">
        <v>12914127.931249995</v>
      </c>
      <c r="H70" s="1703">
        <f>G70*(1+$H$68)</f>
        <v>13559834.327812495</v>
      </c>
      <c r="I70" s="1703">
        <f t="shared" ref="I70:J70" si="5">H70*(1+$H$68)</f>
        <v>14237826.044203119</v>
      </c>
      <c r="J70" s="1703">
        <f t="shared" si="5"/>
        <v>14949717.346413275</v>
      </c>
    </row>
    <row r="71" spans="1:40">
      <c r="C71" s="496"/>
      <c r="D71" s="852"/>
      <c r="E71" s="2167">
        <f t="shared" ref="E71:F71" si="6">E70/D70-1</f>
        <v>1.4999999999999902E-2</v>
      </c>
      <c r="F71" s="2167">
        <f t="shared" si="6"/>
        <v>1.4999999999999902E-2</v>
      </c>
      <c r="G71" s="2167">
        <f>G70/F70-1</f>
        <v>1.4999999999999902E-2</v>
      </c>
      <c r="H71" s="496"/>
      <c r="I71" s="496"/>
      <c r="J71" s="496"/>
    </row>
    <row r="72" spans="1:40">
      <c r="A72" s="496"/>
      <c r="C72" s="496"/>
      <c r="D72" s="496"/>
      <c r="E72" s="496"/>
      <c r="F72" s="496"/>
      <c r="G72" s="496"/>
      <c r="H72" s="496"/>
      <c r="I72" s="496"/>
      <c r="J72" s="496"/>
    </row>
    <row r="73" spans="1:40">
      <c r="A73" s="496"/>
      <c r="B73" s="579"/>
      <c r="C73" s="625"/>
      <c r="D73" s="625"/>
      <c r="E73" s="625"/>
      <c r="F73" s="625"/>
      <c r="G73" s="625"/>
      <c r="H73" s="625"/>
      <c r="I73" s="625"/>
      <c r="J73" s="496"/>
    </row>
    <row r="74" spans="1:40">
      <c r="A74" s="496"/>
      <c r="B74" s="580"/>
      <c r="C74" s="623"/>
      <c r="D74" s="624"/>
      <c r="E74" s="623"/>
      <c r="F74" s="623"/>
      <c r="G74" s="623"/>
      <c r="H74" s="623"/>
      <c r="I74" s="623"/>
      <c r="J74" s="496"/>
    </row>
    <row r="75" spans="1:40">
      <c r="A75" s="496"/>
      <c r="B75" s="580"/>
      <c r="C75" s="623"/>
      <c r="D75" s="624"/>
      <c r="E75" s="623"/>
      <c r="F75" s="623"/>
      <c r="G75" s="623"/>
      <c r="H75" s="623"/>
      <c r="I75" s="623"/>
      <c r="J75" s="496"/>
    </row>
    <row r="76" spans="1:40">
      <c r="A76" s="496"/>
      <c r="B76" s="580"/>
      <c r="C76" s="623"/>
      <c r="D76" s="624"/>
      <c r="E76" s="623"/>
      <c r="F76" s="623"/>
      <c r="G76" s="623"/>
      <c r="H76" s="623"/>
      <c r="I76" s="623"/>
      <c r="J76" s="496"/>
    </row>
    <row r="77" spans="1:40">
      <c r="A77" s="496"/>
      <c r="B77" s="580"/>
      <c r="C77" s="623"/>
      <c r="D77" s="624"/>
      <c r="E77" s="623"/>
      <c r="F77" s="623"/>
      <c r="G77" s="623"/>
      <c r="H77" s="623"/>
      <c r="I77" s="623"/>
      <c r="J77" s="496"/>
    </row>
    <row r="78" spans="1:40" s="497" customFormat="1">
      <c r="A78" s="496"/>
      <c r="B78" s="580"/>
      <c r="C78" s="580"/>
      <c r="D78" s="580"/>
      <c r="E78" s="580"/>
      <c r="F78" s="580"/>
      <c r="G78" s="580"/>
      <c r="H78" s="496"/>
      <c r="I78" s="496"/>
      <c r="J78" s="496"/>
      <c r="K78" s="471"/>
      <c r="L78" s="471"/>
      <c r="M78" s="471"/>
      <c r="N78" s="471"/>
      <c r="O78" s="471"/>
      <c r="P78" s="471"/>
      <c r="Q78" s="471"/>
      <c r="R78" s="471"/>
      <c r="S78" s="471"/>
      <c r="T78" s="471"/>
      <c r="U78" s="471"/>
      <c r="V78" s="471"/>
      <c r="W78" s="471"/>
      <c r="X78" s="471"/>
      <c r="Y78" s="471"/>
      <c r="Z78" s="471"/>
      <c r="AA78" s="471"/>
      <c r="AB78" s="471"/>
      <c r="AC78" s="471"/>
      <c r="AD78" s="471"/>
      <c r="AE78" s="471"/>
      <c r="AF78" s="471"/>
      <c r="AG78" s="471"/>
      <c r="AH78" s="471"/>
      <c r="AI78" s="471"/>
      <c r="AJ78" s="471"/>
      <c r="AK78" s="471"/>
      <c r="AL78" s="471"/>
      <c r="AM78" s="471"/>
      <c r="AN78" s="471"/>
    </row>
    <row r="79" spans="1:40" s="498" customFormat="1">
      <c r="A79" s="496"/>
      <c r="B79" s="496"/>
      <c r="C79" s="496"/>
      <c r="D79" s="496"/>
      <c r="E79" s="496"/>
      <c r="F79" s="496"/>
      <c r="G79" s="496"/>
      <c r="H79" s="496"/>
      <c r="I79" s="496"/>
      <c r="J79" s="496"/>
      <c r="K79" s="471"/>
      <c r="L79" s="471"/>
      <c r="M79" s="471"/>
      <c r="N79" s="471"/>
      <c r="O79" s="471"/>
      <c r="P79" s="471"/>
      <c r="Q79" s="471"/>
      <c r="R79" s="471"/>
      <c r="S79" s="471"/>
      <c r="T79" s="471"/>
      <c r="U79" s="471"/>
      <c r="V79" s="471"/>
      <c r="W79" s="471"/>
      <c r="X79" s="471"/>
      <c r="Y79" s="471"/>
      <c r="Z79" s="471"/>
      <c r="AA79" s="471"/>
      <c r="AB79" s="471"/>
      <c r="AC79" s="471"/>
      <c r="AD79" s="471"/>
      <c r="AE79" s="471"/>
      <c r="AF79" s="471"/>
      <c r="AG79" s="471"/>
      <c r="AH79" s="471"/>
      <c r="AI79" s="471"/>
      <c r="AJ79" s="471"/>
      <c r="AK79" s="471"/>
      <c r="AL79" s="471"/>
      <c r="AM79" s="471"/>
      <c r="AN79" s="471"/>
    </row>
    <row r="80" spans="1:40" s="498" customFormat="1">
      <c r="A80" s="496"/>
      <c r="B80" s="675"/>
      <c r="C80" s="675"/>
      <c r="D80" s="676" t="s">
        <v>1627</v>
      </c>
      <c r="E80" s="710" t="s">
        <v>1758</v>
      </c>
      <c r="F80" s="800" t="s">
        <v>1759</v>
      </c>
      <c r="G80" s="496"/>
      <c r="H80" s="679">
        <v>195.92246311341435</v>
      </c>
      <c r="I80" s="679">
        <f>H80-输配电价测算模型!C48</f>
        <v>-32.012111320829234</v>
      </c>
      <c r="J80" s="471"/>
      <c r="K80" s="471"/>
      <c r="L80" s="471"/>
      <c r="M80" s="471"/>
      <c r="N80" s="471"/>
      <c r="O80" s="471"/>
      <c r="P80" s="471"/>
      <c r="Q80" s="471"/>
      <c r="R80" s="471"/>
      <c r="S80" s="471"/>
      <c r="T80" s="471"/>
      <c r="U80" s="471"/>
      <c r="V80" s="471"/>
      <c r="W80" s="471"/>
      <c r="X80" s="471"/>
      <c r="Y80" s="471"/>
      <c r="Z80" s="471"/>
      <c r="AA80" s="471"/>
      <c r="AB80" s="471"/>
      <c r="AC80" s="471"/>
      <c r="AD80" s="471"/>
      <c r="AE80" s="471"/>
      <c r="AF80" s="471"/>
      <c r="AG80" s="471"/>
      <c r="AH80" s="471"/>
      <c r="AI80" s="471"/>
      <c r="AJ80" s="471"/>
      <c r="AK80" s="471"/>
      <c r="AL80" s="471"/>
      <c r="AM80" s="471"/>
    </row>
    <row r="81" spans="1:40" s="498" customFormat="1">
      <c r="A81" s="496"/>
      <c r="B81" s="675" t="s">
        <v>1770</v>
      </c>
      <c r="C81" s="706"/>
      <c r="D81" s="725">
        <f>变动统计!C55</f>
        <v>100</v>
      </c>
      <c r="E81" s="726">
        <f>输配电价测算模型!$C$48</f>
        <v>227.93457443424359</v>
      </c>
      <c r="F81" s="726">
        <f>输配电价测算模型!$G$48</f>
        <v>216.38554053961403</v>
      </c>
      <c r="G81" s="496"/>
      <c r="H81"/>
      <c r="I81" s="679">
        <f>H80-输配电价测算模型!G48</f>
        <v>-20.463077426199675</v>
      </c>
      <c r="J81" s="471"/>
      <c r="K81" s="471"/>
      <c r="L81" s="471"/>
      <c r="M81" s="471"/>
      <c r="N81" s="471"/>
      <c r="O81" s="471"/>
      <c r="P81" s="471"/>
      <c r="Q81" s="471"/>
      <c r="R81" s="471"/>
      <c r="S81" s="471"/>
      <c r="T81" s="471"/>
      <c r="U81" s="471"/>
      <c r="V81" s="471"/>
      <c r="W81" s="471"/>
      <c r="X81" s="471"/>
      <c r="Y81" s="471"/>
      <c r="Z81" s="471"/>
      <c r="AA81" s="471"/>
      <c r="AB81" s="471"/>
      <c r="AC81" s="471"/>
      <c r="AD81" s="471"/>
      <c r="AE81" s="471"/>
      <c r="AF81" s="471"/>
      <c r="AG81" s="471"/>
      <c r="AH81" s="471"/>
      <c r="AI81" s="471"/>
      <c r="AJ81" s="471"/>
      <c r="AK81" s="471"/>
      <c r="AL81" s="471"/>
      <c r="AM81" s="471"/>
    </row>
    <row r="82" spans="1:40" s="498" customFormat="1">
      <c r="A82" s="496"/>
      <c r="B82" s="810">
        <f>$E$54</f>
        <v>1950000</v>
      </c>
      <c r="C82" s="809">
        <v>1950000</v>
      </c>
      <c r="D82" s="708">
        <f>C82+D81</f>
        <v>1950100</v>
      </c>
      <c r="E82" s="681">
        <f t="dataTable" ref="E82:F82" dt2D="0" dtr="0" r1="E54"/>
        <v>227.93486074534729</v>
      </c>
      <c r="F82" s="817">
        <v>216.38596576417061</v>
      </c>
      <c r="G82" s="471"/>
      <c r="H82" s="471"/>
      <c r="I82" s="471"/>
      <c r="J82" s="471"/>
      <c r="K82" s="471"/>
      <c r="L82" s="471"/>
      <c r="M82" s="471"/>
      <c r="N82" s="471"/>
      <c r="O82" s="471"/>
      <c r="P82" s="471"/>
      <c r="Q82" s="471"/>
      <c r="R82" s="471"/>
      <c r="S82" s="471"/>
      <c r="T82" s="471"/>
      <c r="U82" s="471"/>
      <c r="V82" s="471"/>
      <c r="W82" s="471"/>
      <c r="X82" s="471"/>
      <c r="Y82" s="471"/>
      <c r="Z82" s="471"/>
      <c r="AA82" s="471"/>
      <c r="AB82" s="471"/>
      <c r="AC82" s="471"/>
      <c r="AD82" s="471"/>
      <c r="AE82" s="471"/>
      <c r="AF82" s="471"/>
      <c r="AG82" s="471"/>
      <c r="AH82" s="471"/>
      <c r="AI82" s="471"/>
      <c r="AJ82" s="471"/>
      <c r="AK82" s="471"/>
      <c r="AL82" s="471"/>
      <c r="AM82" s="471"/>
    </row>
    <row r="83" spans="1:40" s="498" customFormat="1">
      <c r="A83" s="496"/>
      <c r="B83" s="499"/>
      <c r="C83" s="471"/>
      <c r="D83" s="471"/>
      <c r="E83" s="818">
        <f>E82-E81</f>
        <v>2.8631110370724855E-4</v>
      </c>
      <c r="F83" s="818">
        <f>F82-F81</f>
        <v>4.2522455657945102E-4</v>
      </c>
      <c r="G83" s="471"/>
      <c r="H83" s="471"/>
      <c r="I83" s="471"/>
      <c r="J83" s="471"/>
      <c r="K83" s="471"/>
      <c r="L83" s="471"/>
      <c r="M83" s="471"/>
      <c r="N83" s="471"/>
      <c r="O83" s="471"/>
      <c r="P83" s="471"/>
      <c r="Q83" s="471"/>
      <c r="R83" s="471"/>
      <c r="S83" s="471"/>
      <c r="T83" s="471"/>
      <c r="U83" s="471"/>
      <c r="V83" s="471"/>
      <c r="W83" s="471"/>
      <c r="X83" s="471"/>
      <c r="Y83" s="471"/>
      <c r="Z83" s="471"/>
      <c r="AA83" s="471"/>
      <c r="AB83" s="471"/>
      <c r="AC83" s="471"/>
      <c r="AD83" s="471"/>
      <c r="AE83" s="471"/>
      <c r="AF83" s="471"/>
      <c r="AG83" s="471"/>
      <c r="AH83" s="471"/>
      <c r="AI83" s="471"/>
      <c r="AJ83" s="471"/>
      <c r="AK83" s="471"/>
      <c r="AL83" s="471"/>
      <c r="AM83" s="471"/>
    </row>
    <row r="84" spans="1:40" s="498" customFormat="1">
      <c r="A84" s="496"/>
      <c r="B84" s="499"/>
      <c r="C84" s="471"/>
      <c r="D84" s="471"/>
      <c r="E84" s="471"/>
      <c r="F84" s="471"/>
      <c r="G84" s="471"/>
      <c r="H84" s="471"/>
      <c r="I84" s="471"/>
      <c r="J84" s="471"/>
      <c r="K84" s="471"/>
      <c r="L84" s="471"/>
      <c r="M84" s="471"/>
      <c r="N84" s="471"/>
      <c r="O84" s="471"/>
      <c r="P84" s="471"/>
      <c r="Q84" s="471"/>
      <c r="R84" s="471"/>
      <c r="S84" s="471"/>
      <c r="T84" s="471"/>
      <c r="U84" s="471"/>
      <c r="V84" s="471"/>
      <c r="W84" s="471"/>
      <c r="X84" s="471"/>
      <c r="Y84" s="471"/>
      <c r="Z84" s="471"/>
      <c r="AA84" s="471"/>
      <c r="AB84" s="471"/>
      <c r="AC84" s="471"/>
      <c r="AD84" s="471"/>
      <c r="AE84" s="471"/>
      <c r="AF84" s="471"/>
      <c r="AG84" s="471"/>
      <c r="AH84" s="471"/>
      <c r="AI84" s="471"/>
      <c r="AJ84" s="471"/>
      <c r="AK84" s="471"/>
      <c r="AL84" s="471"/>
      <c r="AM84" s="471"/>
    </row>
    <row r="85" spans="1:40" s="498" customFormat="1">
      <c r="A85" s="496"/>
      <c r="B85" s="675"/>
      <c r="C85" s="675"/>
      <c r="D85" s="799" t="s">
        <v>1627</v>
      </c>
      <c r="E85" s="800" t="s">
        <v>1762</v>
      </c>
      <c r="F85" s="800" t="s">
        <v>1759</v>
      </c>
      <c r="G85" s="471"/>
      <c r="H85" s="471"/>
      <c r="I85" s="471"/>
      <c r="J85" s="471"/>
      <c r="K85" s="471"/>
      <c r="L85" s="471"/>
      <c r="M85" s="471"/>
      <c r="N85" s="471"/>
      <c r="O85" s="471"/>
      <c r="P85" s="471"/>
      <c r="Q85" s="471"/>
      <c r="R85" s="471"/>
      <c r="S85" s="471"/>
      <c r="T85" s="471"/>
      <c r="U85" s="471"/>
      <c r="V85" s="471"/>
      <c r="W85" s="471"/>
      <c r="X85" s="471"/>
      <c r="Y85" s="471"/>
      <c r="Z85" s="471"/>
      <c r="AA85" s="471"/>
      <c r="AB85" s="471"/>
      <c r="AC85" s="471"/>
      <c r="AD85" s="471"/>
      <c r="AE85" s="471"/>
      <c r="AF85" s="471"/>
      <c r="AG85" s="471"/>
      <c r="AH85" s="471"/>
      <c r="AI85" s="471"/>
      <c r="AJ85" s="471"/>
      <c r="AK85" s="471"/>
      <c r="AL85" s="471"/>
      <c r="AM85" s="471"/>
      <c r="AN85" s="471"/>
    </row>
    <row r="86" spans="1:40" s="498" customFormat="1">
      <c r="A86" s="496"/>
      <c r="B86" s="675" t="s">
        <v>1770</v>
      </c>
      <c r="C86" s="824"/>
      <c r="D86" s="725">
        <f>动因指标对成果指标影响分析!$F$5</f>
        <v>100</v>
      </c>
      <c r="E86" s="681">
        <f>输配电价测算模型!$E$46</f>
        <v>228.16015306399393</v>
      </c>
      <c r="F86" s="681">
        <f>输配电价测算模型!$G$48</f>
        <v>216.38554053961403</v>
      </c>
      <c r="G86" s="471"/>
      <c r="H86" s="471"/>
      <c r="I86" s="471"/>
      <c r="J86" s="471"/>
      <c r="K86" s="471"/>
      <c r="L86" s="471"/>
      <c r="M86" s="471"/>
      <c r="N86" s="471"/>
      <c r="O86" s="471"/>
      <c r="P86" s="471"/>
      <c r="Q86" s="471"/>
      <c r="R86" s="471"/>
      <c r="S86" s="471"/>
      <c r="T86" s="471"/>
      <c r="U86" s="471"/>
      <c r="V86" s="471"/>
      <c r="W86" s="471"/>
      <c r="X86" s="471"/>
      <c r="Y86" s="471"/>
      <c r="Z86" s="471"/>
      <c r="AA86" s="471"/>
      <c r="AB86" s="471"/>
      <c r="AC86" s="471"/>
      <c r="AD86" s="471"/>
      <c r="AE86" s="471"/>
      <c r="AF86" s="471"/>
      <c r="AG86" s="471"/>
      <c r="AH86" s="471"/>
      <c r="AI86" s="471"/>
      <c r="AJ86" s="471"/>
      <c r="AK86" s="471"/>
      <c r="AL86" s="471"/>
      <c r="AM86" s="471"/>
      <c r="AN86" s="471"/>
    </row>
    <row r="87" spans="1:40" s="498" customFormat="1">
      <c r="A87" s="496"/>
      <c r="B87" s="810">
        <f>$E$54</f>
        <v>1950000</v>
      </c>
      <c r="C87" s="876">
        <v>1950000</v>
      </c>
      <c r="D87" s="708">
        <f>C87+D86</f>
        <v>1950100</v>
      </c>
      <c r="E87" s="681">
        <f t="dataTable" ref="E87:F89" dt2D="0" dtr="0" r1="E54" ca="1"/>
        <v>228.16046255204293</v>
      </c>
      <c r="F87" s="817">
        <v>216.38596576417061</v>
      </c>
      <c r="G87" s="471"/>
      <c r="H87" s="471"/>
      <c r="I87" s="471"/>
      <c r="J87" s="471"/>
      <c r="K87" s="500"/>
      <c r="L87" s="471"/>
      <c r="M87" s="471"/>
      <c r="N87" s="471"/>
      <c r="O87" s="471"/>
      <c r="P87" s="471"/>
      <c r="Q87" s="471"/>
      <c r="R87" s="471"/>
      <c r="S87" s="471"/>
      <c r="T87" s="471"/>
      <c r="U87" s="471"/>
      <c r="V87" s="471"/>
      <c r="W87" s="471"/>
      <c r="X87" s="471"/>
      <c r="Y87" s="471"/>
      <c r="Z87" s="471"/>
      <c r="AA87" s="471"/>
      <c r="AB87" s="471"/>
      <c r="AC87" s="471"/>
      <c r="AD87" s="471"/>
      <c r="AE87" s="471"/>
      <c r="AF87" s="471"/>
      <c r="AG87" s="471"/>
      <c r="AH87" s="471"/>
      <c r="AI87" s="471"/>
      <c r="AJ87" s="471"/>
      <c r="AK87" s="471"/>
      <c r="AL87" s="471"/>
      <c r="AM87" s="471"/>
      <c r="AN87" s="471"/>
    </row>
    <row r="88" spans="1:40" s="498" customFormat="1">
      <c r="A88" s="496"/>
      <c r="B88" s="499"/>
      <c r="C88" s="471"/>
      <c r="D88" s="817">
        <f>动因指标对成果指标影响分析!E5</f>
        <v>376.58</v>
      </c>
      <c r="E88" s="817">
        <v>222.12630157857413</v>
      </c>
      <c r="F88" s="817">
        <v>208.0952629965123</v>
      </c>
      <c r="G88" s="471"/>
      <c r="H88" s="471"/>
      <c r="I88" s="471"/>
      <c r="J88" s="471"/>
      <c r="K88" s="500"/>
      <c r="L88" s="471"/>
      <c r="M88" s="471"/>
      <c r="N88" s="471"/>
      <c r="O88" s="471"/>
      <c r="P88" s="471"/>
      <c r="Q88" s="471"/>
      <c r="R88" s="471"/>
      <c r="S88" s="471"/>
      <c r="T88" s="471"/>
      <c r="U88" s="471"/>
      <c r="V88" s="471"/>
      <c r="W88" s="471"/>
      <c r="X88" s="471"/>
      <c r="Y88" s="471"/>
      <c r="Z88" s="471"/>
      <c r="AA88" s="471"/>
      <c r="AB88" s="471"/>
      <c r="AC88" s="471"/>
      <c r="AD88" s="471"/>
      <c r="AE88" s="471"/>
      <c r="AF88" s="471"/>
      <c r="AG88" s="471"/>
      <c r="AH88" s="471"/>
      <c r="AI88" s="471"/>
      <c r="AJ88" s="471"/>
      <c r="AK88" s="471"/>
      <c r="AL88" s="471"/>
      <c r="AM88" s="471"/>
      <c r="AN88" s="471"/>
    </row>
    <row r="89" spans="1:40" s="498" customFormat="1">
      <c r="B89" s="499"/>
      <c r="C89" s="471"/>
      <c r="D89" s="817">
        <f>动因指标对成果指标影响分析!E5+动因指标对成果指标影响分析!F5</f>
        <v>476.58</v>
      </c>
      <c r="E89" s="817">
        <v>222.12661106662313</v>
      </c>
      <c r="F89" s="817">
        <v>208.09568822106891</v>
      </c>
      <c r="G89" s="471"/>
      <c r="H89" s="471"/>
      <c r="I89" s="471"/>
      <c r="J89" s="471"/>
      <c r="K89" s="500"/>
      <c r="L89" s="471"/>
      <c r="M89" s="471"/>
      <c r="N89" s="471"/>
      <c r="O89" s="471"/>
      <c r="P89" s="471"/>
      <c r="Q89" s="471"/>
      <c r="R89" s="471"/>
      <c r="S89" s="471"/>
      <c r="T89" s="471"/>
      <c r="U89" s="471"/>
      <c r="V89" s="471"/>
      <c r="W89" s="471"/>
      <c r="X89" s="471"/>
      <c r="Y89" s="471"/>
      <c r="Z89" s="471"/>
      <c r="AA89" s="471"/>
      <c r="AB89" s="471"/>
      <c r="AC89" s="471"/>
      <c r="AD89" s="471"/>
      <c r="AE89" s="471"/>
      <c r="AF89" s="471"/>
      <c r="AG89" s="471"/>
      <c r="AH89" s="471"/>
      <c r="AI89" s="471"/>
      <c r="AJ89" s="471"/>
      <c r="AK89" s="471"/>
      <c r="AL89" s="471"/>
      <c r="AM89" s="471"/>
      <c r="AN89" s="471"/>
    </row>
    <row r="90" spans="1:40" s="498" customFormat="1">
      <c r="B90" s="832"/>
      <c r="D90" s="831"/>
      <c r="E90" s="831"/>
      <c r="F90" s="831"/>
      <c r="K90" s="833"/>
    </row>
    <row r="91" spans="1:40" s="498" customFormat="1">
      <c r="B91" s="842"/>
      <c r="C91" s="841"/>
      <c r="D91" s="836" t="s">
        <v>1627</v>
      </c>
      <c r="E91" s="837" t="s">
        <v>1772</v>
      </c>
      <c r="H91" s="471"/>
      <c r="I91" s="471"/>
      <c r="J91" s="500"/>
      <c r="K91" s="471"/>
      <c r="L91" s="471"/>
      <c r="M91" s="471"/>
      <c r="N91" s="471"/>
      <c r="O91" s="471"/>
      <c r="P91" s="471"/>
      <c r="Q91" s="471"/>
      <c r="R91" s="471"/>
      <c r="S91" s="471"/>
      <c r="T91" s="471"/>
      <c r="U91" s="471"/>
      <c r="V91" s="471"/>
      <c r="W91" s="471"/>
      <c r="X91" s="471"/>
      <c r="Y91" s="471"/>
      <c r="Z91" s="471"/>
      <c r="AA91" s="471"/>
      <c r="AB91" s="471"/>
      <c r="AC91" s="471"/>
      <c r="AD91" s="471"/>
      <c r="AE91" s="471"/>
      <c r="AF91" s="471"/>
      <c r="AG91" s="471"/>
      <c r="AH91" s="471"/>
      <c r="AI91" s="471"/>
      <c r="AJ91" s="471"/>
      <c r="AK91" s="471"/>
      <c r="AL91" s="471"/>
      <c r="AM91" s="471"/>
    </row>
    <row r="92" spans="1:40" s="498" customFormat="1">
      <c r="B92" s="835" t="s">
        <v>1770</v>
      </c>
      <c r="C92" s="843"/>
      <c r="D92" s="838">
        <v>10000000</v>
      </c>
      <c r="E92" s="839">
        <f>输配电价测算模型!G43</f>
        <v>0</v>
      </c>
      <c r="F92" s="471"/>
      <c r="G92" s="471"/>
      <c r="H92" s="471"/>
      <c r="I92" s="471"/>
      <c r="J92" s="500"/>
      <c r="K92" s="471"/>
      <c r="L92" s="471"/>
      <c r="M92" s="471"/>
      <c r="N92" s="471"/>
      <c r="O92" s="471"/>
      <c r="P92" s="471"/>
      <c r="Q92" s="471"/>
      <c r="R92" s="471"/>
      <c r="S92" s="471"/>
      <c r="T92" s="471"/>
      <c r="U92" s="471"/>
      <c r="V92" s="471"/>
      <c r="W92" s="471"/>
      <c r="X92" s="471"/>
      <c r="Y92" s="471"/>
      <c r="Z92" s="471"/>
      <c r="AA92" s="471"/>
      <c r="AB92" s="471"/>
      <c r="AC92" s="471"/>
      <c r="AD92" s="471"/>
      <c r="AE92" s="471"/>
      <c r="AF92" s="471"/>
      <c r="AG92" s="471"/>
      <c r="AH92" s="471"/>
      <c r="AI92" s="471"/>
      <c r="AJ92" s="471"/>
      <c r="AK92" s="471"/>
      <c r="AL92" s="471"/>
      <c r="AM92" s="471"/>
    </row>
    <row r="93" spans="1:40">
      <c r="B93" s="810">
        <f>$E$54</f>
        <v>1950000</v>
      </c>
      <c r="C93" s="876">
        <v>1950000</v>
      </c>
      <c r="D93" s="838">
        <f>C93+D92</f>
        <v>11950000</v>
      </c>
      <c r="E93" s="840">
        <f t="dataTable" ref="E93" dt2D="0" dtr="0" r1="E54"/>
        <v>0</v>
      </c>
      <c r="F93" s="471"/>
      <c r="G93" s="834" t="s">
        <v>1773</v>
      </c>
      <c r="H93" s="471"/>
      <c r="I93" s="471"/>
      <c r="J93" s="500"/>
      <c r="AN93" s="469"/>
    </row>
    <row r="94" spans="1:40" s="471" customFormat="1">
      <c r="B94" s="841"/>
      <c r="C94" s="841"/>
      <c r="D94" s="841"/>
      <c r="E94" s="840">
        <f>E93-E92</f>
        <v>0</v>
      </c>
      <c r="J94" s="500"/>
    </row>
    <row r="95" spans="1:40" s="471" customFormat="1">
      <c r="C95" s="501"/>
      <c r="F95" s="502"/>
      <c r="G95" s="502"/>
      <c r="H95" s="502"/>
      <c r="I95" s="502"/>
      <c r="K95" s="500"/>
    </row>
    <row r="96" spans="1:40" s="471" customFormat="1">
      <c r="B96" s="499"/>
      <c r="D96" s="834"/>
      <c r="E96" s="834"/>
      <c r="K96" s="500"/>
    </row>
    <row r="97" spans="2:11" s="471" customFormat="1">
      <c r="B97" s="853" t="s">
        <v>1789</v>
      </c>
      <c r="C97" s="853" t="s">
        <v>1791</v>
      </c>
      <c r="D97" s="855" t="s">
        <v>1792</v>
      </c>
      <c r="E97" s="854" t="s">
        <v>1790</v>
      </c>
      <c r="K97" s="500"/>
    </row>
    <row r="98" spans="2:11" s="471" customFormat="1">
      <c r="B98" s="851">
        <f>输配电价测算模型!H43</f>
        <v>2982687.1617755448</v>
      </c>
      <c r="C98" s="851">
        <f>B99*(1+5%)</f>
        <v>84657434.265453875</v>
      </c>
      <c r="D98" s="851">
        <f>输配电价测算模型!H43-输配电价测算参数!C98</f>
        <v>-81674747.103678331</v>
      </c>
      <c r="E98" s="856">
        <v>20676658.598492347</v>
      </c>
      <c r="F98" s="859">
        <f>D98-D99</f>
        <v>-81674747.103678331</v>
      </c>
      <c r="K98" s="500"/>
    </row>
    <row r="99" spans="2:11" s="471" customFormat="1">
      <c r="B99" s="851">
        <v>80626127.871860832</v>
      </c>
      <c r="D99" s="851"/>
      <c r="E99" s="851">
        <f>E98/10000</f>
        <v>2067.6658598492345</v>
      </c>
      <c r="K99" s="500"/>
    </row>
    <row r="100" spans="2:11" s="471" customFormat="1"/>
    <row r="101" spans="2:11" s="471" customFormat="1">
      <c r="B101" s="499"/>
    </row>
    <row r="102" spans="2:11" s="471" customFormat="1">
      <c r="B102" s="499"/>
    </row>
    <row r="103" spans="2:11" s="471" customFormat="1">
      <c r="B103" s="499"/>
    </row>
    <row r="104" spans="2:11" s="471" customFormat="1">
      <c r="B104" s="499"/>
    </row>
    <row r="105" spans="2:11" s="471" customFormat="1">
      <c r="B105" s="499"/>
    </row>
    <row r="106" spans="2:11" s="471" customFormat="1">
      <c r="B106" s="499"/>
    </row>
    <row r="107" spans="2:11" s="471" customFormat="1"/>
    <row r="108" spans="2:11" s="471" customFormat="1"/>
    <row r="109" spans="2:11" s="471" customFormat="1"/>
    <row r="110" spans="2:11" s="471" customFormat="1"/>
    <row r="111" spans="2:11" s="471" customFormat="1"/>
    <row r="112" spans="2:11" s="471" customFormat="1"/>
    <row r="113" s="471" customFormat="1"/>
    <row r="114" s="471" customFormat="1"/>
    <row r="115" s="471" customFormat="1"/>
    <row r="116" s="471" customFormat="1"/>
    <row r="117" s="471" customFormat="1"/>
    <row r="118" s="471" customFormat="1"/>
    <row r="119" s="471" customFormat="1"/>
    <row r="120" s="471" customFormat="1"/>
    <row r="121" s="471" customFormat="1"/>
    <row r="122" s="471" customFormat="1"/>
    <row r="123" s="471" customFormat="1"/>
    <row r="124" s="471" customFormat="1"/>
    <row r="125" s="471" customFormat="1"/>
    <row r="126" s="471" customFormat="1"/>
    <row r="127" s="471" customFormat="1"/>
    <row r="128" s="471" customFormat="1"/>
    <row r="129" spans="2:10" s="471" customFormat="1"/>
    <row r="130" spans="2:10" s="471" customFormat="1"/>
    <row r="131" spans="2:10" s="471" customFormat="1"/>
    <row r="132" spans="2:10" s="471" customFormat="1"/>
    <row r="133" spans="2:10" s="471" customFormat="1"/>
    <row r="134" spans="2:10" s="471" customFormat="1"/>
    <row r="135" spans="2:10" s="471" customFormat="1"/>
    <row r="136" spans="2:10" s="471" customFormat="1"/>
    <row r="137" spans="2:10" s="471" customFormat="1"/>
    <row r="138" spans="2:10" s="471" customFormat="1"/>
    <row r="139" spans="2:10" s="471" customFormat="1"/>
    <row r="140" spans="2:10" s="471" customFormat="1"/>
    <row r="141" spans="2:10" s="471" customFormat="1">
      <c r="B141" s="496"/>
      <c r="C141" s="469"/>
      <c r="D141" s="470"/>
      <c r="E141" s="469"/>
      <c r="F141" s="469"/>
      <c r="G141" s="469"/>
      <c r="H141" s="469"/>
      <c r="I141" s="469"/>
      <c r="J141" s="469"/>
    </row>
    <row r="142" spans="2:10" s="471" customFormat="1">
      <c r="B142" s="496"/>
      <c r="C142" s="469"/>
      <c r="D142" s="470"/>
      <c r="E142" s="469"/>
      <c r="F142" s="469"/>
      <c r="G142" s="469"/>
      <c r="H142" s="469"/>
      <c r="I142" s="469"/>
      <c r="J142" s="469"/>
    </row>
    <row r="143" spans="2:10" s="471" customFormat="1">
      <c r="B143" s="496"/>
      <c r="C143" s="469"/>
      <c r="D143" s="470"/>
      <c r="E143" s="469"/>
      <c r="F143" s="469"/>
      <c r="G143" s="469"/>
      <c r="H143" s="469"/>
      <c r="I143" s="469"/>
      <c r="J143" s="469"/>
    </row>
    <row r="144" spans="2:10" s="471" customFormat="1">
      <c r="B144" s="496"/>
      <c r="C144" s="469"/>
      <c r="D144" s="470"/>
      <c r="E144" s="469"/>
      <c r="F144" s="469"/>
      <c r="G144" s="469"/>
      <c r="H144" s="469"/>
      <c r="I144" s="469"/>
      <c r="J144" s="469"/>
    </row>
    <row r="145" spans="2:10" s="471" customFormat="1">
      <c r="B145" s="496"/>
      <c r="C145" s="469"/>
      <c r="D145" s="470"/>
      <c r="E145" s="469"/>
      <c r="F145" s="469"/>
      <c r="G145" s="469"/>
      <c r="H145" s="469"/>
      <c r="I145" s="469"/>
      <c r="J145" s="469"/>
    </row>
    <row r="146" spans="2:10" s="471" customFormat="1">
      <c r="B146" s="496"/>
      <c r="C146" s="469"/>
      <c r="D146" s="470"/>
      <c r="E146" s="469"/>
      <c r="F146" s="469"/>
      <c r="G146" s="469"/>
      <c r="H146" s="469"/>
      <c r="I146" s="469"/>
      <c r="J146" s="469"/>
    </row>
  </sheetData>
  <mergeCells count="10">
    <mergeCell ref="B2:D2"/>
    <mergeCell ref="B3:D3"/>
    <mergeCell ref="D6:D15"/>
    <mergeCell ref="D16:D20"/>
    <mergeCell ref="B33:D33"/>
    <mergeCell ref="B52:J52"/>
    <mergeCell ref="B61:J63"/>
    <mergeCell ref="B64:J64"/>
    <mergeCell ref="B65:J65"/>
    <mergeCell ref="B34:D34"/>
  </mergeCells>
  <phoneticPr fontId="20" type="noConversion"/>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42">
    <tabColor theme="5" tint="0.59999389629810485"/>
  </sheetPr>
  <dimension ref="A2:O10"/>
  <sheetViews>
    <sheetView showGridLines="0" workbookViewId="0">
      <selection activeCell="I21" sqref="I21"/>
    </sheetView>
  </sheetViews>
  <sheetFormatPr defaultColWidth="9" defaultRowHeight="14.4"/>
  <cols>
    <col min="1" max="1" width="9.109375" style="585" bestFit="1" customWidth="1"/>
    <col min="2" max="2" width="26.6640625" style="585" bestFit="1" customWidth="1"/>
    <col min="3" max="3" width="9" style="585"/>
    <col min="4" max="4" width="9.44140625" style="585" bestFit="1" customWidth="1"/>
    <col min="5" max="16384" width="9" style="585"/>
  </cols>
  <sheetData>
    <row r="2" spans="1:15">
      <c r="A2" s="732"/>
      <c r="B2" s="730"/>
      <c r="C2" s="731">
        <f>测算年份-13</f>
        <v>2005</v>
      </c>
      <c r="D2" s="731">
        <f>测算年份-12</f>
        <v>2006</v>
      </c>
      <c r="E2" s="731">
        <f>测算年份-11</f>
        <v>2007</v>
      </c>
      <c r="F2" s="731">
        <f>测算年份-10</f>
        <v>2008</v>
      </c>
      <c r="G2" s="731">
        <f>测算年份-9</f>
        <v>2009</v>
      </c>
      <c r="H2" s="731">
        <f>测算年份-8</f>
        <v>2010</v>
      </c>
      <c r="I2" s="731">
        <f>测算年份-7</f>
        <v>2011</v>
      </c>
      <c r="J2" s="731">
        <f>测算年份-6</f>
        <v>2012</v>
      </c>
      <c r="K2" s="731">
        <f>测算年份-5</f>
        <v>2013</v>
      </c>
      <c r="L2" s="731">
        <f>测算年份-4</f>
        <v>2014</v>
      </c>
      <c r="M2" s="731">
        <f>测算年份-3</f>
        <v>2015</v>
      </c>
      <c r="N2" s="731">
        <f>测算年份-2</f>
        <v>2016</v>
      </c>
      <c r="O2" s="731">
        <f>测算年份-1</f>
        <v>2017</v>
      </c>
    </row>
    <row r="3" spans="1:15">
      <c r="A3" s="732"/>
      <c r="B3" s="730" t="s">
        <v>1637</v>
      </c>
      <c r="C3" s="1615">
        <v>1</v>
      </c>
      <c r="D3" s="1615">
        <v>2</v>
      </c>
      <c r="E3" s="1615">
        <v>3</v>
      </c>
      <c r="F3" s="1615">
        <v>4</v>
      </c>
      <c r="G3" s="1615">
        <v>5</v>
      </c>
      <c r="H3" s="1615">
        <v>6</v>
      </c>
      <c r="I3" s="1615">
        <v>7</v>
      </c>
      <c r="J3" s="1615">
        <v>8</v>
      </c>
      <c r="K3" s="1615">
        <v>9</v>
      </c>
      <c r="L3" s="1615">
        <v>10</v>
      </c>
      <c r="M3" s="1615">
        <v>11</v>
      </c>
      <c r="N3" s="1615">
        <v>12</v>
      </c>
      <c r="O3" s="1615">
        <v>13</v>
      </c>
    </row>
    <row r="4" spans="1:15">
      <c r="A4" s="732"/>
      <c r="B4" s="730" t="s">
        <v>1638</v>
      </c>
      <c r="C4" s="1615">
        <v>0.03</v>
      </c>
      <c r="D4" s="1615">
        <v>0.03</v>
      </c>
      <c r="E4" s="1615">
        <v>0.03</v>
      </c>
      <c r="F4" s="1615">
        <v>0.03</v>
      </c>
      <c r="G4" s="1615">
        <v>0.03</v>
      </c>
      <c r="H4" s="1615">
        <v>0.03</v>
      </c>
      <c r="I4" s="1615">
        <v>0.03</v>
      </c>
      <c r="J4" s="1615">
        <v>0.03</v>
      </c>
      <c r="K4" s="1615">
        <v>0.03</v>
      </c>
      <c r="L4" s="1615">
        <v>0.03</v>
      </c>
      <c r="M4" s="1615">
        <v>0.03</v>
      </c>
      <c r="N4" s="1615">
        <v>0.03</v>
      </c>
      <c r="O4" s="1615">
        <v>0.03</v>
      </c>
    </row>
    <row r="5" spans="1:15">
      <c r="A5" s="732"/>
      <c r="B5" s="730" t="s">
        <v>1639</v>
      </c>
      <c r="C5" s="730">
        <f>SLOPE(C4:J4,C3:J3)</f>
        <v>0</v>
      </c>
      <c r="D5" s="730"/>
      <c r="E5" s="730"/>
      <c r="F5" s="730"/>
      <c r="G5" s="730"/>
      <c r="H5" s="730"/>
      <c r="I5" s="730"/>
      <c r="J5" s="730"/>
    </row>
    <row r="6" spans="1:15">
      <c r="A6" s="732"/>
      <c r="B6" s="730" t="s">
        <v>1640</v>
      </c>
      <c r="C6" s="730">
        <f>INTERCEPT(C4:J4,C3:J3)</f>
        <v>0.03</v>
      </c>
      <c r="D6" s="730"/>
      <c r="E6" s="730"/>
      <c r="F6" s="730"/>
      <c r="G6" s="730"/>
      <c r="H6" s="730"/>
      <c r="I6" s="730"/>
      <c r="J6" s="730"/>
    </row>
    <row r="7" spans="1:15">
      <c r="A7" s="732"/>
      <c r="B7" s="732"/>
      <c r="C7" s="732"/>
      <c r="D7" s="732"/>
      <c r="E7" s="732"/>
      <c r="F7" s="732"/>
      <c r="G7" s="732"/>
      <c r="H7" s="732"/>
      <c r="I7" s="732"/>
      <c r="J7" s="732"/>
    </row>
    <row r="8" spans="1:15">
      <c r="A8" s="732"/>
      <c r="B8" s="732"/>
      <c r="C8" s="732"/>
      <c r="D8" s="732"/>
      <c r="E8" s="732"/>
      <c r="F8" s="732"/>
      <c r="G8" s="732"/>
      <c r="H8" s="732"/>
      <c r="I8" s="732"/>
      <c r="J8" s="732"/>
    </row>
    <row r="9" spans="1:15">
      <c r="B9" s="730"/>
      <c r="C9" s="731">
        <v>2011</v>
      </c>
      <c r="D9" s="731">
        <v>2012</v>
      </c>
      <c r="E9" s="731">
        <v>2013</v>
      </c>
      <c r="F9" s="731">
        <v>2014</v>
      </c>
      <c r="G9" s="731">
        <v>2015</v>
      </c>
      <c r="H9" s="731">
        <v>2016</v>
      </c>
      <c r="I9" s="731">
        <v>2017</v>
      </c>
      <c r="J9" s="731">
        <v>2018</v>
      </c>
    </row>
    <row r="10" spans="1:15">
      <c r="B10" s="730" t="s">
        <v>1636</v>
      </c>
      <c r="C10" s="1615"/>
      <c r="D10" s="1615"/>
      <c r="E10" s="1615"/>
      <c r="F10" s="1615"/>
      <c r="G10" s="1615"/>
      <c r="H10" s="1615"/>
      <c r="I10" s="1615"/>
      <c r="J10" s="1615"/>
    </row>
  </sheetData>
  <phoneticPr fontId="20"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44">
    <tabColor theme="8" tint="-0.249977111117893"/>
  </sheetPr>
  <dimension ref="B3"/>
  <sheetViews>
    <sheetView showGridLines="0" workbookViewId="0">
      <selection activeCell="K8" sqref="K8"/>
    </sheetView>
  </sheetViews>
  <sheetFormatPr defaultRowHeight="14.4"/>
  <sheetData>
    <row r="3" spans="2:2">
      <c r="B3" t="s">
        <v>1647</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5">
    <tabColor theme="8" tint="-0.249977111117893"/>
  </sheetPr>
  <dimension ref="A1"/>
  <sheetViews>
    <sheetView showGridLines="0" workbookViewId="0">
      <selection activeCell="C14" sqref="C14"/>
    </sheetView>
  </sheetViews>
  <sheetFormatPr defaultRowHeight="14.4"/>
  <sheetData/>
  <phoneticPr fontId="20" type="noConversion"/>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9">
    <tabColor theme="7" tint="0.59999389629810485"/>
  </sheetPr>
  <dimension ref="A1:L55"/>
  <sheetViews>
    <sheetView showGridLines="0" zoomScale="85" zoomScaleNormal="85" workbookViewId="0">
      <pane xSplit="1" ySplit="5" topLeftCell="C41" activePane="bottomRight" state="frozen"/>
      <selection activeCell="K8" sqref="K8"/>
      <selection pane="topRight" activeCell="K8" sqref="K8"/>
      <selection pane="bottomLeft" activeCell="K8" sqref="K8"/>
      <selection pane="bottomRight" activeCell="E46" sqref="E46"/>
    </sheetView>
  </sheetViews>
  <sheetFormatPr defaultColWidth="9" defaultRowHeight="22.95" customHeight="1" outlineLevelRow="1"/>
  <cols>
    <col min="1" max="1" width="27.44140625" style="469" bestFit="1" customWidth="1"/>
    <col min="2" max="2" width="18.77734375" style="469" hidden="1" customWidth="1"/>
    <col min="3" max="6" width="18.77734375" style="469" customWidth="1"/>
    <col min="7" max="10" width="15.88671875" style="469" customWidth="1"/>
    <col min="11" max="11" width="38.44140625" style="470" customWidth="1"/>
    <col min="12" max="12" width="12.6640625" style="469" customWidth="1"/>
    <col min="13" max="261" width="9" style="469"/>
    <col min="262" max="262" width="51.88671875" style="469" customWidth="1"/>
    <col min="263" max="266" width="24.33203125" style="469" customWidth="1"/>
    <col min="267" max="267" width="53.77734375" style="469" customWidth="1"/>
    <col min="268" max="268" width="12.6640625" style="469" customWidth="1"/>
    <col min="269" max="517" width="9" style="469"/>
    <col min="518" max="518" width="51.88671875" style="469" customWidth="1"/>
    <col min="519" max="522" width="24.33203125" style="469" customWidth="1"/>
    <col min="523" max="523" width="53.77734375" style="469" customWidth="1"/>
    <col min="524" max="524" width="12.6640625" style="469" customWidth="1"/>
    <col min="525" max="773" width="9" style="469"/>
    <col min="774" max="774" width="51.88671875" style="469" customWidth="1"/>
    <col min="775" max="778" width="24.33203125" style="469" customWidth="1"/>
    <col min="779" max="779" width="53.77734375" style="469" customWidth="1"/>
    <col min="780" max="780" width="12.6640625" style="469" customWidth="1"/>
    <col min="781" max="1029" width="9" style="469"/>
    <col min="1030" max="1030" width="51.88671875" style="469" customWidth="1"/>
    <col min="1031" max="1034" width="24.33203125" style="469" customWidth="1"/>
    <col min="1035" max="1035" width="53.77734375" style="469" customWidth="1"/>
    <col min="1036" max="1036" width="12.6640625" style="469" customWidth="1"/>
    <col min="1037" max="1285" width="9" style="469"/>
    <col min="1286" max="1286" width="51.88671875" style="469" customWidth="1"/>
    <col min="1287" max="1290" width="24.33203125" style="469" customWidth="1"/>
    <col min="1291" max="1291" width="53.77734375" style="469" customWidth="1"/>
    <col min="1292" max="1292" width="12.6640625" style="469" customWidth="1"/>
    <col min="1293" max="1541" width="9" style="469"/>
    <col min="1542" max="1542" width="51.88671875" style="469" customWidth="1"/>
    <col min="1543" max="1546" width="24.33203125" style="469" customWidth="1"/>
    <col min="1547" max="1547" width="53.77734375" style="469" customWidth="1"/>
    <col min="1548" max="1548" width="12.6640625" style="469" customWidth="1"/>
    <col min="1549" max="1797" width="9" style="469"/>
    <col min="1798" max="1798" width="51.88671875" style="469" customWidth="1"/>
    <col min="1799" max="1802" width="24.33203125" style="469" customWidth="1"/>
    <col min="1803" max="1803" width="53.77734375" style="469" customWidth="1"/>
    <col min="1804" max="1804" width="12.6640625" style="469" customWidth="1"/>
    <col min="1805" max="2053" width="9" style="469"/>
    <col min="2054" max="2054" width="51.88671875" style="469" customWidth="1"/>
    <col min="2055" max="2058" width="24.33203125" style="469" customWidth="1"/>
    <col min="2059" max="2059" width="53.77734375" style="469" customWidth="1"/>
    <col min="2060" max="2060" width="12.6640625" style="469" customWidth="1"/>
    <col min="2061" max="2309" width="9" style="469"/>
    <col min="2310" max="2310" width="51.88671875" style="469" customWidth="1"/>
    <col min="2311" max="2314" width="24.33203125" style="469" customWidth="1"/>
    <col min="2315" max="2315" width="53.77734375" style="469" customWidth="1"/>
    <col min="2316" max="2316" width="12.6640625" style="469" customWidth="1"/>
    <col min="2317" max="2565" width="9" style="469"/>
    <col min="2566" max="2566" width="51.88671875" style="469" customWidth="1"/>
    <col min="2567" max="2570" width="24.33203125" style="469" customWidth="1"/>
    <col min="2571" max="2571" width="53.77734375" style="469" customWidth="1"/>
    <col min="2572" max="2572" width="12.6640625" style="469" customWidth="1"/>
    <col min="2573" max="2821" width="9" style="469"/>
    <col min="2822" max="2822" width="51.88671875" style="469" customWidth="1"/>
    <col min="2823" max="2826" width="24.33203125" style="469" customWidth="1"/>
    <col min="2827" max="2827" width="53.77734375" style="469" customWidth="1"/>
    <col min="2828" max="2828" width="12.6640625" style="469" customWidth="1"/>
    <col min="2829" max="3077" width="9" style="469"/>
    <col min="3078" max="3078" width="51.88671875" style="469" customWidth="1"/>
    <col min="3079" max="3082" width="24.33203125" style="469" customWidth="1"/>
    <col min="3083" max="3083" width="53.77734375" style="469" customWidth="1"/>
    <col min="3084" max="3084" width="12.6640625" style="469" customWidth="1"/>
    <col min="3085" max="3333" width="9" style="469"/>
    <col min="3334" max="3334" width="51.88671875" style="469" customWidth="1"/>
    <col min="3335" max="3338" width="24.33203125" style="469" customWidth="1"/>
    <col min="3339" max="3339" width="53.77734375" style="469" customWidth="1"/>
    <col min="3340" max="3340" width="12.6640625" style="469" customWidth="1"/>
    <col min="3341" max="3589" width="9" style="469"/>
    <col min="3590" max="3590" width="51.88671875" style="469" customWidth="1"/>
    <col min="3591" max="3594" width="24.33203125" style="469" customWidth="1"/>
    <col min="3595" max="3595" width="53.77734375" style="469" customWidth="1"/>
    <col min="3596" max="3596" width="12.6640625" style="469" customWidth="1"/>
    <col min="3597" max="3845" width="9" style="469"/>
    <col min="3846" max="3846" width="51.88671875" style="469" customWidth="1"/>
    <col min="3847" max="3850" width="24.33203125" style="469" customWidth="1"/>
    <col min="3851" max="3851" width="53.77734375" style="469" customWidth="1"/>
    <col min="3852" max="3852" width="12.6640625" style="469" customWidth="1"/>
    <col min="3853" max="4101" width="9" style="469"/>
    <col min="4102" max="4102" width="51.88671875" style="469" customWidth="1"/>
    <col min="4103" max="4106" width="24.33203125" style="469" customWidth="1"/>
    <col min="4107" max="4107" width="53.77734375" style="469" customWidth="1"/>
    <col min="4108" max="4108" width="12.6640625" style="469" customWidth="1"/>
    <col min="4109" max="4357" width="9" style="469"/>
    <col min="4358" max="4358" width="51.88671875" style="469" customWidth="1"/>
    <col min="4359" max="4362" width="24.33203125" style="469" customWidth="1"/>
    <col min="4363" max="4363" width="53.77734375" style="469" customWidth="1"/>
    <col min="4364" max="4364" width="12.6640625" style="469" customWidth="1"/>
    <col min="4365" max="4613" width="9" style="469"/>
    <col min="4614" max="4614" width="51.88671875" style="469" customWidth="1"/>
    <col min="4615" max="4618" width="24.33203125" style="469" customWidth="1"/>
    <col min="4619" max="4619" width="53.77734375" style="469" customWidth="1"/>
    <col min="4620" max="4620" width="12.6640625" style="469" customWidth="1"/>
    <col min="4621" max="4869" width="9" style="469"/>
    <col min="4870" max="4870" width="51.88671875" style="469" customWidth="1"/>
    <col min="4871" max="4874" width="24.33203125" style="469" customWidth="1"/>
    <col min="4875" max="4875" width="53.77734375" style="469" customWidth="1"/>
    <col min="4876" max="4876" width="12.6640625" style="469" customWidth="1"/>
    <col min="4877" max="5125" width="9" style="469"/>
    <col min="5126" max="5126" width="51.88671875" style="469" customWidth="1"/>
    <col min="5127" max="5130" width="24.33203125" style="469" customWidth="1"/>
    <col min="5131" max="5131" width="53.77734375" style="469" customWidth="1"/>
    <col min="5132" max="5132" width="12.6640625" style="469" customWidth="1"/>
    <col min="5133" max="5381" width="9" style="469"/>
    <col min="5382" max="5382" width="51.88671875" style="469" customWidth="1"/>
    <col min="5383" max="5386" width="24.33203125" style="469" customWidth="1"/>
    <col min="5387" max="5387" width="53.77734375" style="469" customWidth="1"/>
    <col min="5388" max="5388" width="12.6640625" style="469" customWidth="1"/>
    <col min="5389" max="5637" width="9" style="469"/>
    <col min="5638" max="5638" width="51.88671875" style="469" customWidth="1"/>
    <col min="5639" max="5642" width="24.33203125" style="469" customWidth="1"/>
    <col min="5643" max="5643" width="53.77734375" style="469" customWidth="1"/>
    <col min="5644" max="5644" width="12.6640625" style="469" customWidth="1"/>
    <col min="5645" max="5893" width="9" style="469"/>
    <col min="5894" max="5894" width="51.88671875" style="469" customWidth="1"/>
    <col min="5895" max="5898" width="24.33203125" style="469" customWidth="1"/>
    <col min="5899" max="5899" width="53.77734375" style="469" customWidth="1"/>
    <col min="5900" max="5900" width="12.6640625" style="469" customWidth="1"/>
    <col min="5901" max="6149" width="9" style="469"/>
    <col min="6150" max="6150" width="51.88671875" style="469" customWidth="1"/>
    <col min="6151" max="6154" width="24.33203125" style="469" customWidth="1"/>
    <col min="6155" max="6155" width="53.77734375" style="469" customWidth="1"/>
    <col min="6156" max="6156" width="12.6640625" style="469" customWidth="1"/>
    <col min="6157" max="6405" width="9" style="469"/>
    <col min="6406" max="6406" width="51.88671875" style="469" customWidth="1"/>
    <col min="6407" max="6410" width="24.33203125" style="469" customWidth="1"/>
    <col min="6411" max="6411" width="53.77734375" style="469" customWidth="1"/>
    <col min="6412" max="6412" width="12.6640625" style="469" customWidth="1"/>
    <col min="6413" max="6661" width="9" style="469"/>
    <col min="6662" max="6662" width="51.88671875" style="469" customWidth="1"/>
    <col min="6663" max="6666" width="24.33203125" style="469" customWidth="1"/>
    <col min="6667" max="6667" width="53.77734375" style="469" customWidth="1"/>
    <col min="6668" max="6668" width="12.6640625" style="469" customWidth="1"/>
    <col min="6669" max="6917" width="9" style="469"/>
    <col min="6918" max="6918" width="51.88671875" style="469" customWidth="1"/>
    <col min="6919" max="6922" width="24.33203125" style="469" customWidth="1"/>
    <col min="6923" max="6923" width="53.77734375" style="469" customWidth="1"/>
    <col min="6924" max="6924" width="12.6640625" style="469" customWidth="1"/>
    <col min="6925" max="7173" width="9" style="469"/>
    <col min="7174" max="7174" width="51.88671875" style="469" customWidth="1"/>
    <col min="7175" max="7178" width="24.33203125" style="469" customWidth="1"/>
    <col min="7179" max="7179" width="53.77734375" style="469" customWidth="1"/>
    <col min="7180" max="7180" width="12.6640625" style="469" customWidth="1"/>
    <col min="7181" max="7429" width="9" style="469"/>
    <col min="7430" max="7430" width="51.88671875" style="469" customWidth="1"/>
    <col min="7431" max="7434" width="24.33203125" style="469" customWidth="1"/>
    <col min="7435" max="7435" width="53.77734375" style="469" customWidth="1"/>
    <col min="7436" max="7436" width="12.6640625" style="469" customWidth="1"/>
    <col min="7437" max="7685" width="9" style="469"/>
    <col min="7686" max="7686" width="51.88671875" style="469" customWidth="1"/>
    <col min="7687" max="7690" width="24.33203125" style="469" customWidth="1"/>
    <col min="7691" max="7691" width="53.77734375" style="469" customWidth="1"/>
    <col min="7692" max="7692" width="12.6640625" style="469" customWidth="1"/>
    <col min="7693" max="7941" width="9" style="469"/>
    <col min="7942" max="7942" width="51.88671875" style="469" customWidth="1"/>
    <col min="7943" max="7946" width="24.33203125" style="469" customWidth="1"/>
    <col min="7947" max="7947" width="53.77734375" style="469" customWidth="1"/>
    <col min="7948" max="7948" width="12.6640625" style="469" customWidth="1"/>
    <col min="7949" max="8197" width="9" style="469"/>
    <col min="8198" max="8198" width="51.88671875" style="469" customWidth="1"/>
    <col min="8199" max="8202" width="24.33203125" style="469" customWidth="1"/>
    <col min="8203" max="8203" width="53.77734375" style="469" customWidth="1"/>
    <col min="8204" max="8204" width="12.6640625" style="469" customWidth="1"/>
    <col min="8205" max="8453" width="9" style="469"/>
    <col min="8454" max="8454" width="51.88671875" style="469" customWidth="1"/>
    <col min="8455" max="8458" width="24.33203125" style="469" customWidth="1"/>
    <col min="8459" max="8459" width="53.77734375" style="469" customWidth="1"/>
    <col min="8460" max="8460" width="12.6640625" style="469" customWidth="1"/>
    <col min="8461" max="8709" width="9" style="469"/>
    <col min="8710" max="8710" width="51.88671875" style="469" customWidth="1"/>
    <col min="8711" max="8714" width="24.33203125" style="469" customWidth="1"/>
    <col min="8715" max="8715" width="53.77734375" style="469" customWidth="1"/>
    <col min="8716" max="8716" width="12.6640625" style="469" customWidth="1"/>
    <col min="8717" max="8965" width="9" style="469"/>
    <col min="8966" max="8966" width="51.88671875" style="469" customWidth="1"/>
    <col min="8967" max="8970" width="24.33203125" style="469" customWidth="1"/>
    <col min="8971" max="8971" width="53.77734375" style="469" customWidth="1"/>
    <col min="8972" max="8972" width="12.6640625" style="469" customWidth="1"/>
    <col min="8973" max="9221" width="9" style="469"/>
    <col min="9222" max="9222" width="51.88671875" style="469" customWidth="1"/>
    <col min="9223" max="9226" width="24.33203125" style="469" customWidth="1"/>
    <col min="9227" max="9227" width="53.77734375" style="469" customWidth="1"/>
    <col min="9228" max="9228" width="12.6640625" style="469" customWidth="1"/>
    <col min="9229" max="9477" width="9" style="469"/>
    <col min="9478" max="9478" width="51.88671875" style="469" customWidth="1"/>
    <col min="9479" max="9482" width="24.33203125" style="469" customWidth="1"/>
    <col min="9483" max="9483" width="53.77734375" style="469" customWidth="1"/>
    <col min="9484" max="9484" width="12.6640625" style="469" customWidth="1"/>
    <col min="9485" max="9733" width="9" style="469"/>
    <col min="9734" max="9734" width="51.88671875" style="469" customWidth="1"/>
    <col min="9735" max="9738" width="24.33203125" style="469" customWidth="1"/>
    <col min="9739" max="9739" width="53.77734375" style="469" customWidth="1"/>
    <col min="9740" max="9740" width="12.6640625" style="469" customWidth="1"/>
    <col min="9741" max="9989" width="9" style="469"/>
    <col min="9990" max="9990" width="51.88671875" style="469" customWidth="1"/>
    <col min="9991" max="9994" width="24.33203125" style="469" customWidth="1"/>
    <col min="9995" max="9995" width="53.77734375" style="469" customWidth="1"/>
    <col min="9996" max="9996" width="12.6640625" style="469" customWidth="1"/>
    <col min="9997" max="10245" width="9" style="469"/>
    <col min="10246" max="10246" width="51.88671875" style="469" customWidth="1"/>
    <col min="10247" max="10250" width="24.33203125" style="469" customWidth="1"/>
    <col min="10251" max="10251" width="53.77734375" style="469" customWidth="1"/>
    <col min="10252" max="10252" width="12.6640625" style="469" customWidth="1"/>
    <col min="10253" max="10501" width="9" style="469"/>
    <col min="10502" max="10502" width="51.88671875" style="469" customWidth="1"/>
    <col min="10503" max="10506" width="24.33203125" style="469" customWidth="1"/>
    <col min="10507" max="10507" width="53.77734375" style="469" customWidth="1"/>
    <col min="10508" max="10508" width="12.6640625" style="469" customWidth="1"/>
    <col min="10509" max="10757" width="9" style="469"/>
    <col min="10758" max="10758" width="51.88671875" style="469" customWidth="1"/>
    <col min="10759" max="10762" width="24.33203125" style="469" customWidth="1"/>
    <col min="10763" max="10763" width="53.77734375" style="469" customWidth="1"/>
    <col min="10764" max="10764" width="12.6640625" style="469" customWidth="1"/>
    <col min="10765" max="11013" width="9" style="469"/>
    <col min="11014" max="11014" width="51.88671875" style="469" customWidth="1"/>
    <col min="11015" max="11018" width="24.33203125" style="469" customWidth="1"/>
    <col min="11019" max="11019" width="53.77734375" style="469" customWidth="1"/>
    <col min="11020" max="11020" width="12.6640625" style="469" customWidth="1"/>
    <col min="11021" max="11269" width="9" style="469"/>
    <col min="11270" max="11270" width="51.88671875" style="469" customWidth="1"/>
    <col min="11271" max="11274" width="24.33203125" style="469" customWidth="1"/>
    <col min="11275" max="11275" width="53.77734375" style="469" customWidth="1"/>
    <col min="11276" max="11276" width="12.6640625" style="469" customWidth="1"/>
    <col min="11277" max="11525" width="9" style="469"/>
    <col min="11526" max="11526" width="51.88671875" style="469" customWidth="1"/>
    <col min="11527" max="11530" width="24.33203125" style="469" customWidth="1"/>
    <col min="11531" max="11531" width="53.77734375" style="469" customWidth="1"/>
    <col min="11532" max="11532" width="12.6640625" style="469" customWidth="1"/>
    <col min="11533" max="11781" width="9" style="469"/>
    <col min="11782" max="11782" width="51.88671875" style="469" customWidth="1"/>
    <col min="11783" max="11786" width="24.33203125" style="469" customWidth="1"/>
    <col min="11787" max="11787" width="53.77734375" style="469" customWidth="1"/>
    <col min="11788" max="11788" width="12.6640625" style="469" customWidth="1"/>
    <col min="11789" max="12037" width="9" style="469"/>
    <col min="12038" max="12038" width="51.88671875" style="469" customWidth="1"/>
    <col min="12039" max="12042" width="24.33203125" style="469" customWidth="1"/>
    <col min="12043" max="12043" width="53.77734375" style="469" customWidth="1"/>
    <col min="12044" max="12044" width="12.6640625" style="469" customWidth="1"/>
    <col min="12045" max="12293" width="9" style="469"/>
    <col min="12294" max="12294" width="51.88671875" style="469" customWidth="1"/>
    <col min="12295" max="12298" width="24.33203125" style="469" customWidth="1"/>
    <col min="12299" max="12299" width="53.77734375" style="469" customWidth="1"/>
    <col min="12300" max="12300" width="12.6640625" style="469" customWidth="1"/>
    <col min="12301" max="12549" width="9" style="469"/>
    <col min="12550" max="12550" width="51.88671875" style="469" customWidth="1"/>
    <col min="12551" max="12554" width="24.33203125" style="469" customWidth="1"/>
    <col min="12555" max="12555" width="53.77734375" style="469" customWidth="1"/>
    <col min="12556" max="12556" width="12.6640625" style="469" customWidth="1"/>
    <col min="12557" max="12805" width="9" style="469"/>
    <col min="12806" max="12806" width="51.88671875" style="469" customWidth="1"/>
    <col min="12807" max="12810" width="24.33203125" style="469" customWidth="1"/>
    <col min="12811" max="12811" width="53.77734375" style="469" customWidth="1"/>
    <col min="12812" max="12812" width="12.6640625" style="469" customWidth="1"/>
    <col min="12813" max="13061" width="9" style="469"/>
    <col min="13062" max="13062" width="51.88671875" style="469" customWidth="1"/>
    <col min="13063" max="13066" width="24.33203125" style="469" customWidth="1"/>
    <col min="13067" max="13067" width="53.77734375" style="469" customWidth="1"/>
    <col min="13068" max="13068" width="12.6640625" style="469" customWidth="1"/>
    <col min="13069" max="13317" width="9" style="469"/>
    <col min="13318" max="13318" width="51.88671875" style="469" customWidth="1"/>
    <col min="13319" max="13322" width="24.33203125" style="469" customWidth="1"/>
    <col min="13323" max="13323" width="53.77734375" style="469" customWidth="1"/>
    <col min="13324" max="13324" width="12.6640625" style="469" customWidth="1"/>
    <col min="13325" max="13573" width="9" style="469"/>
    <col min="13574" max="13574" width="51.88671875" style="469" customWidth="1"/>
    <col min="13575" max="13578" width="24.33203125" style="469" customWidth="1"/>
    <col min="13579" max="13579" width="53.77734375" style="469" customWidth="1"/>
    <col min="13580" max="13580" width="12.6640625" style="469" customWidth="1"/>
    <col min="13581" max="13829" width="9" style="469"/>
    <col min="13830" max="13830" width="51.88671875" style="469" customWidth="1"/>
    <col min="13831" max="13834" width="24.33203125" style="469" customWidth="1"/>
    <col min="13835" max="13835" width="53.77734375" style="469" customWidth="1"/>
    <col min="13836" max="13836" width="12.6640625" style="469" customWidth="1"/>
    <col min="13837" max="14085" width="9" style="469"/>
    <col min="14086" max="14086" width="51.88671875" style="469" customWidth="1"/>
    <col min="14087" max="14090" width="24.33203125" style="469" customWidth="1"/>
    <col min="14091" max="14091" width="53.77734375" style="469" customWidth="1"/>
    <col min="14092" max="14092" width="12.6640625" style="469" customWidth="1"/>
    <col min="14093" max="14341" width="9" style="469"/>
    <col min="14342" max="14342" width="51.88671875" style="469" customWidth="1"/>
    <col min="14343" max="14346" width="24.33203125" style="469" customWidth="1"/>
    <col min="14347" max="14347" width="53.77734375" style="469" customWidth="1"/>
    <col min="14348" max="14348" width="12.6640625" style="469" customWidth="1"/>
    <col min="14349" max="14597" width="9" style="469"/>
    <col min="14598" max="14598" width="51.88671875" style="469" customWidth="1"/>
    <col min="14599" max="14602" width="24.33203125" style="469" customWidth="1"/>
    <col min="14603" max="14603" width="53.77734375" style="469" customWidth="1"/>
    <col min="14604" max="14604" width="12.6640625" style="469" customWidth="1"/>
    <col min="14605" max="14853" width="9" style="469"/>
    <col min="14854" max="14854" width="51.88671875" style="469" customWidth="1"/>
    <col min="14855" max="14858" width="24.33203125" style="469" customWidth="1"/>
    <col min="14859" max="14859" width="53.77734375" style="469" customWidth="1"/>
    <col min="14860" max="14860" width="12.6640625" style="469" customWidth="1"/>
    <col min="14861" max="15109" width="9" style="469"/>
    <col min="15110" max="15110" width="51.88671875" style="469" customWidth="1"/>
    <col min="15111" max="15114" width="24.33203125" style="469" customWidth="1"/>
    <col min="15115" max="15115" width="53.77734375" style="469" customWidth="1"/>
    <col min="15116" max="15116" width="12.6640625" style="469" customWidth="1"/>
    <col min="15117" max="15365" width="9" style="469"/>
    <col min="15366" max="15366" width="51.88671875" style="469" customWidth="1"/>
    <col min="15367" max="15370" width="24.33203125" style="469" customWidth="1"/>
    <col min="15371" max="15371" width="53.77734375" style="469" customWidth="1"/>
    <col min="15372" max="15372" width="12.6640625" style="469" customWidth="1"/>
    <col min="15373" max="15621" width="9" style="469"/>
    <col min="15622" max="15622" width="51.88671875" style="469" customWidth="1"/>
    <col min="15623" max="15626" width="24.33203125" style="469" customWidth="1"/>
    <col min="15627" max="15627" width="53.77734375" style="469" customWidth="1"/>
    <col min="15628" max="15628" width="12.6640625" style="469" customWidth="1"/>
    <col min="15629" max="15877" width="9" style="469"/>
    <col min="15878" max="15878" width="51.88671875" style="469" customWidth="1"/>
    <col min="15879" max="15882" width="24.33203125" style="469" customWidth="1"/>
    <col min="15883" max="15883" width="53.77734375" style="469" customWidth="1"/>
    <col min="15884" max="15884" width="12.6640625" style="469" customWidth="1"/>
    <col min="15885" max="16133" width="9" style="469"/>
    <col min="16134" max="16134" width="51.88671875" style="469" customWidth="1"/>
    <col min="16135" max="16138" width="24.33203125" style="469" customWidth="1"/>
    <col min="16139" max="16139" width="53.77734375" style="469" customWidth="1"/>
    <col min="16140" max="16140" width="12.6640625" style="469" customWidth="1"/>
    <col min="16141" max="16384" width="9" style="469"/>
  </cols>
  <sheetData>
    <row r="1" spans="1:11" ht="15">
      <c r="A1" s="503"/>
    </row>
    <row r="2" spans="1:11" ht="15.6">
      <c r="A2" s="2523" t="s">
        <v>2224</v>
      </c>
      <c r="B2" s="2523"/>
      <c r="C2" s="2523"/>
      <c r="D2" s="2523"/>
      <c r="E2" s="2523"/>
      <c r="F2" s="2523"/>
      <c r="G2" s="2523"/>
      <c r="H2" s="2523"/>
      <c r="I2" s="2523"/>
      <c r="J2" s="2523"/>
      <c r="K2" s="2523"/>
    </row>
    <row r="3" spans="1:11" ht="22.95" customHeight="1" thickBot="1">
      <c r="A3" s="504"/>
      <c r="B3" s="504"/>
      <c r="C3" s="504"/>
      <c r="D3" s="504"/>
      <c r="E3" s="504"/>
      <c r="F3" s="504"/>
      <c r="G3" s="822"/>
      <c r="H3" s="504"/>
      <c r="I3" s="504"/>
      <c r="J3" s="504"/>
      <c r="K3" s="504"/>
    </row>
    <row r="4" spans="1:11" ht="22.95" customHeight="1" thickBot="1">
      <c r="A4" s="505"/>
      <c r="B4" s="506"/>
      <c r="C4" s="506"/>
      <c r="D4" s="2524" t="s">
        <v>1367</v>
      </c>
      <c r="E4" s="2525"/>
      <c r="F4" s="2526"/>
      <c r="G4" s="823"/>
      <c r="H4" s="2524" t="s">
        <v>1368</v>
      </c>
      <c r="I4" s="2525"/>
      <c r="J4" s="2526"/>
      <c r="K4" s="507"/>
    </row>
    <row r="5" spans="1:11" s="937" customFormat="1" ht="22.95" customHeight="1">
      <c r="A5" s="934" t="s">
        <v>1291</v>
      </c>
      <c r="B5" s="938">
        <f>C5-1</f>
        <v>2015</v>
      </c>
      <c r="C5" s="938">
        <f>D5-1</f>
        <v>2016</v>
      </c>
      <c r="D5" s="938">
        <f>E5-1</f>
        <v>2017</v>
      </c>
      <c r="E5" s="938">
        <f>测算年份</f>
        <v>2018</v>
      </c>
      <c r="F5" s="938">
        <f>E5+1</f>
        <v>2019</v>
      </c>
      <c r="G5" s="939" t="s">
        <v>1369</v>
      </c>
      <c r="H5" s="934">
        <f>F5+1</f>
        <v>2020</v>
      </c>
      <c r="I5" s="934">
        <f>H5+1</f>
        <v>2021</v>
      </c>
      <c r="J5" s="934">
        <f>I5+1</f>
        <v>2022</v>
      </c>
      <c r="K5" s="936" t="s">
        <v>1293</v>
      </c>
    </row>
    <row r="6" spans="1:11" ht="22.95" customHeight="1">
      <c r="A6" s="508" t="s">
        <v>1370</v>
      </c>
      <c r="B6" s="594">
        <f t="shared" ref="B6:J6" si="0">B7+B17</f>
        <v>2344179</v>
      </c>
      <c r="C6" s="509">
        <f t="shared" si="0"/>
        <v>2470407.62</v>
      </c>
      <c r="D6" s="509">
        <f t="shared" si="0"/>
        <v>2564166.9403846157</v>
      </c>
      <c r="E6" s="509">
        <f t="shared" si="0"/>
        <v>2635091.4903846155</v>
      </c>
      <c r="F6" s="509">
        <f t="shared" si="0"/>
        <v>2709417.0330769233</v>
      </c>
      <c r="G6" s="509">
        <f>G7+G17</f>
        <v>2649710.2471794877</v>
      </c>
      <c r="H6" s="509">
        <f t="shared" si="0"/>
        <v>2755641.0164102567</v>
      </c>
      <c r="I6" s="509">
        <f t="shared" si="0"/>
        <v>2861571.7856410258</v>
      </c>
      <c r="J6" s="509">
        <f t="shared" si="0"/>
        <v>2967502.5548717948</v>
      </c>
      <c r="K6" s="477"/>
    </row>
    <row r="7" spans="1:11" ht="22.95" customHeight="1">
      <c r="A7" s="508" t="s">
        <v>1371</v>
      </c>
      <c r="B7" s="594">
        <f t="shared" ref="B7:H7" si="1">B8+B14</f>
        <v>2344179</v>
      </c>
      <c r="C7" s="509">
        <f t="shared" si="1"/>
        <v>2344179</v>
      </c>
      <c r="D7" s="602">
        <f>C6</f>
        <v>2470407.62</v>
      </c>
      <c r="E7" s="602">
        <f t="shared" ref="E7" si="2">D6</f>
        <v>2564166.9403846157</v>
      </c>
      <c r="F7" s="602">
        <f>E6</f>
        <v>2635091.4903846155</v>
      </c>
      <c r="G7" s="509">
        <f t="shared" si="1"/>
        <v>2600134.5964102568</v>
      </c>
      <c r="H7" s="509">
        <f t="shared" si="1"/>
        <v>2649710.2471794873</v>
      </c>
      <c r="I7" s="509">
        <f>H6</f>
        <v>2755641.0164102567</v>
      </c>
      <c r="J7" s="509">
        <f>I6</f>
        <v>2861571.7856410258</v>
      </c>
      <c r="K7" s="477"/>
    </row>
    <row r="8" spans="1:11" ht="22.95" customHeight="1" outlineLevel="1">
      <c r="A8" s="510" t="s">
        <v>1372</v>
      </c>
      <c r="B8" s="594">
        <f t="shared" ref="B8:J8" si="3">SUM(B9:B12)</f>
        <v>1105937</v>
      </c>
      <c r="C8" s="509">
        <f t="shared" si="3"/>
        <v>1105937</v>
      </c>
      <c r="D8" s="509">
        <f t="shared" si="3"/>
        <v>1151941.02</v>
      </c>
      <c r="E8" s="509">
        <f t="shared" si="3"/>
        <v>1175023.625</v>
      </c>
      <c r="F8" s="509">
        <f>SUM(F9:F12)</f>
        <v>1191577.175</v>
      </c>
      <c r="G8" s="509">
        <f>SUM(G9:G12)</f>
        <v>1172847.2733333334</v>
      </c>
      <c r="H8" s="509">
        <f t="shared" si="3"/>
        <v>1182224.9164102564</v>
      </c>
      <c r="I8" s="509">
        <f t="shared" si="3"/>
        <v>1219463.3779487179</v>
      </c>
      <c r="J8" s="509">
        <f t="shared" si="3"/>
        <v>1256701.8394871794</v>
      </c>
      <c r="K8" s="477"/>
    </row>
    <row r="9" spans="1:11" ht="22.95" customHeight="1" outlineLevel="1">
      <c r="A9" s="511" t="s">
        <v>1295</v>
      </c>
      <c r="B9" s="595">
        <f>输配电价测算参数!C6</f>
        <v>149036</v>
      </c>
      <c r="C9" s="509">
        <f>输配电价测算参数!C6</f>
        <v>149036</v>
      </c>
      <c r="D9" s="509">
        <f t="shared" ref="D9:H12" si="4">C9+C25</f>
        <v>156580.16</v>
      </c>
      <c r="E9" s="509">
        <f t="shared" si="4"/>
        <v>163136.16615384616</v>
      </c>
      <c r="F9" s="509">
        <f t="shared" si="4"/>
        <v>167837.76615384617</v>
      </c>
      <c r="G9" s="509">
        <f t="shared" ref="G9:G13" si="5">AVERAGE(D9:F9)</f>
        <v>162518.03076923077</v>
      </c>
      <c r="H9" s="509">
        <f>G9+G25</f>
        <v>167963.11384615384</v>
      </c>
      <c r="I9" s="509">
        <f t="shared" ref="I9:J12" si="6">H9+H25</f>
        <v>176640.0369230769</v>
      </c>
      <c r="J9" s="509">
        <f t="shared" si="6"/>
        <v>185316.95999999996</v>
      </c>
      <c r="K9" s="477"/>
    </row>
    <row r="10" spans="1:11" ht="22.95" customHeight="1" outlineLevel="1">
      <c r="A10" s="511" t="s">
        <v>1297</v>
      </c>
      <c r="B10" s="595">
        <f>输配电价测算参数!C7</f>
        <v>127038</v>
      </c>
      <c r="C10" s="509">
        <f>输配电价测算参数!C7</f>
        <v>127038</v>
      </c>
      <c r="D10" s="509">
        <f t="shared" si="4"/>
        <v>132486.56</v>
      </c>
      <c r="E10" s="509">
        <f t="shared" si="4"/>
        <v>137221.45333333334</v>
      </c>
      <c r="F10" s="509">
        <f t="shared" si="4"/>
        <v>140617.05333333334</v>
      </c>
      <c r="G10" s="509">
        <f t="shared" si="5"/>
        <v>136775.02222222221</v>
      </c>
      <c r="H10" s="509">
        <f t="shared" si="4"/>
        <v>140707.58222222221</v>
      </c>
      <c r="I10" s="509">
        <f t="shared" si="6"/>
        <v>146974.24888888886</v>
      </c>
      <c r="J10" s="509">
        <f t="shared" si="6"/>
        <v>153240.91555555552</v>
      </c>
      <c r="K10" s="477"/>
    </row>
    <row r="11" spans="1:11" ht="22.95" customHeight="1" outlineLevel="1">
      <c r="A11" s="511" t="s">
        <v>1298</v>
      </c>
      <c r="B11" s="595">
        <f>输配电价测算参数!C8</f>
        <v>454248</v>
      </c>
      <c r="C11" s="509">
        <f>输配电价测算参数!C8</f>
        <v>454248</v>
      </c>
      <c r="D11" s="509">
        <f>C11+C27</f>
        <v>467875</v>
      </c>
      <c r="E11" s="509">
        <f t="shared" si="4"/>
        <v>467875</v>
      </c>
      <c r="F11" s="509">
        <f t="shared" si="4"/>
        <v>467875</v>
      </c>
      <c r="G11" s="509">
        <f t="shared" si="5"/>
        <v>467875</v>
      </c>
      <c r="H11" s="509">
        <f t="shared" si="4"/>
        <v>467875</v>
      </c>
      <c r="I11" s="509">
        <f t="shared" si="6"/>
        <v>467875</v>
      </c>
      <c r="J11" s="509">
        <f t="shared" si="6"/>
        <v>467875</v>
      </c>
      <c r="K11" s="477"/>
    </row>
    <row r="12" spans="1:11" ht="22.95" customHeight="1" outlineLevel="1">
      <c r="A12" s="511" t="s">
        <v>1299</v>
      </c>
      <c r="B12" s="595">
        <f>输配电价测算参数!C9</f>
        <v>375615</v>
      </c>
      <c r="C12" s="509">
        <f>输配电价测算参数!C9</f>
        <v>375615</v>
      </c>
      <c r="D12" s="509">
        <f t="shared" si="4"/>
        <v>394999.3</v>
      </c>
      <c r="E12" s="509">
        <f t="shared" si="4"/>
        <v>406791.0055128205</v>
      </c>
      <c r="F12" s="509">
        <f t="shared" si="4"/>
        <v>415247.35551282048</v>
      </c>
      <c r="G12" s="509">
        <f t="shared" si="5"/>
        <v>405679.22034188034</v>
      </c>
      <c r="H12" s="509">
        <f t="shared" si="4"/>
        <v>405679.22034188034</v>
      </c>
      <c r="I12" s="509">
        <f t="shared" si="6"/>
        <v>427974.09213675215</v>
      </c>
      <c r="J12" s="509">
        <f t="shared" si="6"/>
        <v>450268.96393162396</v>
      </c>
      <c r="K12" s="477"/>
    </row>
    <row r="13" spans="1:11" ht="22.95" customHeight="1" outlineLevel="1">
      <c r="A13" s="511" t="s">
        <v>1373</v>
      </c>
      <c r="B13" s="595">
        <f>输配电价测算参数!C10</f>
        <v>5000</v>
      </c>
      <c r="C13" s="509">
        <f>输配电价测算参数!C10</f>
        <v>5000</v>
      </c>
      <c r="D13" s="512">
        <f>C13</f>
        <v>5000</v>
      </c>
      <c r="E13" s="512">
        <f>D13</f>
        <v>5000</v>
      </c>
      <c r="F13" s="512">
        <f>E13</f>
        <v>5000</v>
      </c>
      <c r="G13" s="509">
        <f t="shared" si="5"/>
        <v>5000</v>
      </c>
      <c r="H13" s="512">
        <f>G13</f>
        <v>5000</v>
      </c>
      <c r="I13" s="512">
        <f>H13</f>
        <v>5000</v>
      </c>
      <c r="J13" s="512">
        <f>I13</f>
        <v>5000</v>
      </c>
      <c r="K13" s="477" t="s">
        <v>1374</v>
      </c>
    </row>
    <row r="14" spans="1:11" ht="22.95" customHeight="1" outlineLevel="1">
      <c r="A14" s="510" t="s">
        <v>1375</v>
      </c>
      <c r="B14" s="594">
        <f>B15+B16</f>
        <v>1238242</v>
      </c>
      <c r="C14" s="509">
        <f>C15+C16</f>
        <v>1238242</v>
      </c>
      <c r="D14" s="509">
        <f t="shared" ref="D14:H15" si="7">C14+C18</f>
        <v>1297966.6000000001</v>
      </c>
      <c r="E14" s="509">
        <f t="shared" si="7"/>
        <v>1349868.3153846154</v>
      </c>
      <c r="F14" s="509">
        <f t="shared" si="7"/>
        <v>1387089.3153846154</v>
      </c>
      <c r="G14" s="509">
        <f t="shared" si="7"/>
        <v>1427287.3230769231</v>
      </c>
      <c r="H14" s="509">
        <f t="shared" si="7"/>
        <v>1467485.3307692308</v>
      </c>
      <c r="I14" s="509">
        <f>H14+H18</f>
        <v>1536177.6384615386</v>
      </c>
      <c r="J14" s="509">
        <f>I14+I18</f>
        <v>1604869.9461538463</v>
      </c>
      <c r="K14" s="2527" t="s">
        <v>1376</v>
      </c>
    </row>
    <row r="15" spans="1:11" ht="22.95" customHeight="1" outlineLevel="1">
      <c r="A15" s="511" t="s">
        <v>1377</v>
      </c>
      <c r="B15" s="595">
        <f>输配电价测算参数!C14</f>
        <v>1238242</v>
      </c>
      <c r="C15" s="509">
        <f>输配电价测算参数!C14</f>
        <v>1238242</v>
      </c>
      <c r="D15" s="509">
        <f>C15+C19</f>
        <v>1297966.6000000001</v>
      </c>
      <c r="E15" s="509">
        <f t="shared" si="7"/>
        <v>1349868.3153846154</v>
      </c>
      <c r="F15" s="509">
        <f>E15+E19</f>
        <v>1387089.3153846154</v>
      </c>
      <c r="G15" s="509">
        <f>F15</f>
        <v>1387089.3153846154</v>
      </c>
      <c r="H15" s="509">
        <f>G15+G19</f>
        <v>1427287.3230769231</v>
      </c>
      <c r="I15" s="509">
        <f>H15+H19</f>
        <v>1495979.6307692309</v>
      </c>
      <c r="J15" s="509">
        <f>I15+I19</f>
        <v>1564671.9384615386</v>
      </c>
      <c r="K15" s="2527"/>
    </row>
    <row r="16" spans="1:11" ht="22.95" customHeight="1" outlineLevel="1">
      <c r="A16" s="511" t="s">
        <v>1378</v>
      </c>
      <c r="B16" s="595">
        <f>输配电价测算参数!C15</f>
        <v>0</v>
      </c>
      <c r="C16" s="509">
        <f>输配电价测算参数!C15</f>
        <v>0</v>
      </c>
      <c r="D16" s="509">
        <f>C16+C21</f>
        <v>0</v>
      </c>
      <c r="E16" s="509">
        <f>D16+D21</f>
        <v>0</v>
      </c>
      <c r="F16" s="509">
        <f>E16+E21</f>
        <v>0</v>
      </c>
      <c r="G16" s="509">
        <f>F16</f>
        <v>0</v>
      </c>
      <c r="H16" s="509">
        <f>G16+G21</f>
        <v>0</v>
      </c>
      <c r="I16" s="509">
        <f>H16+H21</f>
        <v>0</v>
      </c>
      <c r="J16" s="509">
        <f>I16+I21</f>
        <v>0</v>
      </c>
      <c r="K16" s="2527"/>
    </row>
    <row r="17" spans="1:11" ht="22.95" customHeight="1">
      <c r="A17" s="508" t="s">
        <v>1379</v>
      </c>
      <c r="B17" s="509"/>
      <c r="C17" s="509">
        <f t="shared" ref="C17:J17" si="8">C18+C24</f>
        <v>126228.62</v>
      </c>
      <c r="D17" s="509">
        <f t="shared" si="8"/>
        <v>93759.320384615392</v>
      </c>
      <c r="E17" s="509">
        <f t="shared" si="8"/>
        <v>70924.55</v>
      </c>
      <c r="F17" s="509">
        <f t="shared" si="8"/>
        <v>74325.542692307703</v>
      </c>
      <c r="G17" s="509">
        <f t="shared" si="8"/>
        <v>49575.650769230779</v>
      </c>
      <c r="H17" s="509">
        <f t="shared" si="8"/>
        <v>105930.76923076925</v>
      </c>
      <c r="I17" s="509">
        <f t="shared" si="8"/>
        <v>105930.76923076925</v>
      </c>
      <c r="J17" s="509">
        <f t="shared" si="8"/>
        <v>105930.76923076925</v>
      </c>
      <c r="K17" s="477"/>
    </row>
    <row r="18" spans="1:11" ht="22.95" customHeight="1" outlineLevel="1">
      <c r="A18" s="510" t="s">
        <v>1380</v>
      </c>
      <c r="B18" s="509"/>
      <c r="C18" s="509">
        <f t="shared" ref="C18:J18" si="9">C19+C21</f>
        <v>59724.6</v>
      </c>
      <c r="D18" s="509">
        <f t="shared" si="9"/>
        <v>51901.715384615389</v>
      </c>
      <c r="E18" s="509">
        <f t="shared" si="9"/>
        <v>37221</v>
      </c>
      <c r="F18" s="509">
        <f t="shared" si="9"/>
        <v>40198.007692307699</v>
      </c>
      <c r="G18" s="509">
        <f t="shared" ref="G18" si="10">G19+G21</f>
        <v>40198.007692307699</v>
      </c>
      <c r="H18" s="509">
        <f>H19+H21</f>
        <v>68692.307692307702</v>
      </c>
      <c r="I18" s="509">
        <f t="shared" si="9"/>
        <v>68692.307692307702</v>
      </c>
      <c r="J18" s="509">
        <f t="shared" si="9"/>
        <v>68692.307692307702</v>
      </c>
      <c r="K18" s="477"/>
    </row>
    <row r="19" spans="1:11" ht="22.95" customHeight="1" outlineLevel="1">
      <c r="A19" s="511" t="s">
        <v>1377</v>
      </c>
      <c r="B19" s="509"/>
      <c r="C19" s="509">
        <f>C20*C23</f>
        <v>59724.6</v>
      </c>
      <c r="D19" s="509">
        <f t="shared" ref="D19:J19" si="11">D20*D23</f>
        <v>51901.715384615389</v>
      </c>
      <c r="E19" s="509">
        <f>E20*E23</f>
        <v>37221</v>
      </c>
      <c r="F19" s="509">
        <f t="shared" si="11"/>
        <v>40198.007692307699</v>
      </c>
      <c r="G19" s="509">
        <f>F19</f>
        <v>40198.007692307699</v>
      </c>
      <c r="H19" s="509">
        <f>H20*H23</f>
        <v>68692.307692307702</v>
      </c>
      <c r="I19" s="509">
        <f>I20*I23</f>
        <v>68692.307692307702</v>
      </c>
      <c r="J19" s="509">
        <f t="shared" si="11"/>
        <v>68692.307692307702</v>
      </c>
      <c r="K19" s="477"/>
    </row>
    <row r="20" spans="1:11" ht="22.95" customHeight="1" outlineLevel="1">
      <c r="A20" s="511" t="s">
        <v>1381</v>
      </c>
      <c r="B20" s="509"/>
      <c r="C20" s="509">
        <f>输配电价测算参数!C55*输配电价测算参数!C60/1.17-输配电价测算参数!C56</f>
        <v>1047800</v>
      </c>
      <c r="D20" s="509">
        <f>输配电价测算参数!D55*输配电价测算参数!D60/1.17-输配电价测算参数!D56</f>
        <v>910556.41025641025</v>
      </c>
      <c r="E20" s="509">
        <f>输配电价测算参数!E55*输配电价测算参数!E60/1.17-输配电价测算参数!E56</f>
        <v>653000</v>
      </c>
      <c r="F20" s="857">
        <f>输配电价测算参数!F55*输配电价测算参数!F60/1.17-输配电价测算参数!F56</f>
        <v>705228.20512820524</v>
      </c>
      <c r="G20" s="509">
        <f>F20</f>
        <v>705228.20512820524</v>
      </c>
      <c r="H20" s="509">
        <f>输配电价测算参数!G55*输配电价测算参数!G60/1.17-输配电价测算参数!G56</f>
        <v>1205128.2051282052</v>
      </c>
      <c r="I20" s="509">
        <f>输配电价测算参数!H55*输配电价测算参数!H60/1.17-输配电价测算参数!H56</f>
        <v>1205128.2051282052</v>
      </c>
      <c r="J20" s="509">
        <f>输配电价测算参数!I55*输配电价测算参数!I60/1.17-输配电价测算参数!I56</f>
        <v>1205128.2051282052</v>
      </c>
      <c r="K20" s="477" t="s">
        <v>1382</v>
      </c>
    </row>
    <row r="21" spans="1:11" ht="22.95" customHeight="1" outlineLevel="1">
      <c r="A21" s="511" t="s">
        <v>1378</v>
      </c>
      <c r="B21" s="594"/>
      <c r="C21" s="509">
        <f>C22*C23</f>
        <v>0</v>
      </c>
      <c r="D21" s="509">
        <f t="shared" ref="D21:J21" si="12">D22*D23</f>
        <v>0</v>
      </c>
      <c r="E21" s="509">
        <f t="shared" si="12"/>
        <v>0</v>
      </c>
      <c r="F21" s="509">
        <f t="shared" si="12"/>
        <v>0</v>
      </c>
      <c r="G21" s="509">
        <f>F21</f>
        <v>0</v>
      </c>
      <c r="H21" s="509">
        <f t="shared" si="12"/>
        <v>0</v>
      </c>
      <c r="I21" s="509">
        <f t="shared" si="12"/>
        <v>0</v>
      </c>
      <c r="J21" s="509">
        <f t="shared" si="12"/>
        <v>0</v>
      </c>
      <c r="K21" s="477"/>
    </row>
    <row r="22" spans="1:11" ht="22.95" customHeight="1" outlineLevel="1">
      <c r="A22" s="511" t="s">
        <v>1383</v>
      </c>
      <c r="B22" s="595"/>
      <c r="C22" s="509">
        <f>输配电价测算参数!C59*输配电价测算参数!C60/1.17</f>
        <v>0</v>
      </c>
      <c r="D22" s="509">
        <f>输配电价测算参数!D59*输配电价测算参数!D60/1.17</f>
        <v>0</v>
      </c>
      <c r="E22" s="509">
        <f>输配电价测算参数!E59*输配电价测算参数!E60/1.17</f>
        <v>0</v>
      </c>
      <c r="F22" s="509">
        <f>输配电价测算参数!F59*输配电价测算参数!F60/1.17</f>
        <v>0</v>
      </c>
      <c r="G22" s="509">
        <f>F22</f>
        <v>0</v>
      </c>
      <c r="H22" s="509">
        <f>输配电价测算参数!G59*输配电价测算参数!G60/1.17</f>
        <v>0</v>
      </c>
      <c r="I22" s="509">
        <f>输配电价测算参数!H59*输配电价测算参数!H60/1.17</f>
        <v>0</v>
      </c>
      <c r="J22" s="509">
        <f>输配电价测算参数!I59*输配电价测算参数!I60/1.17</f>
        <v>0</v>
      </c>
      <c r="K22" s="477" t="s">
        <v>1382</v>
      </c>
    </row>
    <row r="23" spans="1:11" ht="22.95" customHeight="1" outlineLevel="1">
      <c r="A23" s="511" t="s">
        <v>1384</v>
      </c>
      <c r="B23" s="595"/>
      <c r="C23" s="513">
        <f>输配电价测算参数!C45</f>
        <v>5.7000000000000002E-2</v>
      </c>
      <c r="D23" s="513">
        <f t="shared" ref="D23:J23" si="13">C23</f>
        <v>5.7000000000000002E-2</v>
      </c>
      <c r="E23" s="513">
        <f t="shared" si="13"/>
        <v>5.7000000000000002E-2</v>
      </c>
      <c r="F23" s="513">
        <f t="shared" si="13"/>
        <v>5.7000000000000002E-2</v>
      </c>
      <c r="G23" s="513">
        <f t="shared" si="13"/>
        <v>5.7000000000000002E-2</v>
      </c>
      <c r="H23" s="513">
        <f t="shared" si="13"/>
        <v>5.7000000000000002E-2</v>
      </c>
      <c r="I23" s="513">
        <f t="shared" si="13"/>
        <v>5.7000000000000002E-2</v>
      </c>
      <c r="J23" s="513">
        <f t="shared" si="13"/>
        <v>5.7000000000000002E-2</v>
      </c>
      <c r="K23" s="477" t="s">
        <v>1385</v>
      </c>
    </row>
    <row r="24" spans="1:11" ht="22.95" customHeight="1" outlineLevel="1">
      <c r="A24" s="510" t="s">
        <v>1386</v>
      </c>
      <c r="B24" s="594"/>
      <c r="C24" s="602">
        <f>SUM(C25:C28)+20500</f>
        <v>66504.02</v>
      </c>
      <c r="D24" s="602">
        <f>SUM(D25:D28)+18775</f>
        <v>41857.604999999996</v>
      </c>
      <c r="E24" s="602">
        <f>SUM(E25:E28)+17150</f>
        <v>33703.550000000003</v>
      </c>
      <c r="F24" s="602">
        <f>SUM(F25:F28)+16250</f>
        <v>34127.535000000003</v>
      </c>
      <c r="G24" s="509">
        <f>SUM(G25:G28)</f>
        <v>9377.6430769230774</v>
      </c>
      <c r="H24" s="509">
        <f t="shared" ref="H24:J24" si="14">SUM(H25:H28)</f>
        <v>37238.461538461546</v>
      </c>
      <c r="I24" s="509">
        <f t="shared" si="14"/>
        <v>37238.461538461546</v>
      </c>
      <c r="J24" s="509">
        <f t="shared" si="14"/>
        <v>37238.461538461546</v>
      </c>
      <c r="K24" s="477"/>
    </row>
    <row r="25" spans="1:11" ht="22.95" customHeight="1" outlineLevel="1">
      <c r="A25" s="511" t="s">
        <v>1387</v>
      </c>
      <c r="B25" s="595"/>
      <c r="C25" s="509">
        <f>(C20+C22)*输配电价测算参数!$C$46+输配电价测算参数!C58*输配电价测算参数!$C$46</f>
        <v>7544.16</v>
      </c>
      <c r="D25" s="509">
        <f>(D20+D22)*输配电价测算参数!$C$46+输配电价测算参数!D58*输配电价测算参数!$C$46</f>
        <v>6556.0061538461532</v>
      </c>
      <c r="E25" s="509">
        <f>(E20+E22)*输配电价测算参数!$C$46+输配电价测算参数!E58*输配电价测算参数!$C$46</f>
        <v>4701.5999999999995</v>
      </c>
      <c r="F25" s="509">
        <f>(F20+F22)*输配电价测算参数!$C$46+输配电价测算参数!F58*输配电价测算参数!$C$46</f>
        <v>5077.6430769230774</v>
      </c>
      <c r="G25" s="509">
        <f t="shared" ref="G25:G26" si="15">AVERAGE(D25:F25)</f>
        <v>5445.083076923077</v>
      </c>
      <c r="H25" s="509">
        <f>(H20+H22)*输配电价测算参数!$C$46+输配电价测算参数!G58*输配电价测算参数!$C$46</f>
        <v>8676.923076923078</v>
      </c>
      <c r="I25" s="509">
        <f>(I20+I22)*输配电价测算参数!$C$46+输配电价测算参数!H58*输配电价测算参数!$C$46</f>
        <v>8676.923076923078</v>
      </c>
      <c r="J25" s="509">
        <f>(J20+J22)*输配电价测算参数!$C$46+输配电价测算参数!I58*输配电价测算参数!$C$46</f>
        <v>8676.923076923078</v>
      </c>
      <c r="K25" s="2527" t="s">
        <v>1388</v>
      </c>
    </row>
    <row r="26" spans="1:11" ht="22.95" customHeight="1" outlineLevel="1">
      <c r="A26" s="511" t="s">
        <v>1389</v>
      </c>
      <c r="B26" s="595"/>
      <c r="C26" s="509">
        <f>(C20+C22)*输配电价测算参数!$C$47+输配电价测算参数!C58*输配电价测算参数!$C$47</f>
        <v>5448.5599999999995</v>
      </c>
      <c r="D26" s="509">
        <f>(D20+D22)*输配电价测算参数!$C$47+输配电价测算参数!D58*输配电价测算参数!$C$47</f>
        <v>4734.8933333333334</v>
      </c>
      <c r="E26" s="509">
        <f>(E20+E22)*输配电价测算参数!$C$47+输配电价测算参数!E58*输配电价测算参数!$C$47</f>
        <v>3395.6</v>
      </c>
      <c r="F26" s="509">
        <f>(F20+F22)*输配电价测算参数!$C$47+输配电价测算参数!F58*输配电价测算参数!$C$47</f>
        <v>3667.186666666667</v>
      </c>
      <c r="G26" s="509">
        <f t="shared" si="15"/>
        <v>3932.56</v>
      </c>
      <c r="H26" s="509">
        <f>(H20+H22)*输配电价测算参数!$C$47+输配电价测算参数!G58*输配电价测算参数!$C$47</f>
        <v>6266.666666666667</v>
      </c>
      <c r="I26" s="509">
        <f>(I20+I22)*输配电价测算参数!$C$47+输配电价测算参数!H58*输配电价测算参数!$C$47</f>
        <v>6266.666666666667</v>
      </c>
      <c r="J26" s="509">
        <f>(J20+J22)*输配电价测算参数!$C$47+输配电价测算参数!I58*输配电价测算参数!$C$47</f>
        <v>6266.666666666667</v>
      </c>
      <c r="K26" s="2527"/>
    </row>
    <row r="27" spans="1:11" ht="22.95" customHeight="1" outlineLevel="1">
      <c r="A27" s="514" t="s">
        <v>1298</v>
      </c>
      <c r="B27" s="596"/>
      <c r="C27" s="1708">
        <v>13627</v>
      </c>
      <c r="D27" s="512"/>
      <c r="E27" s="512"/>
      <c r="F27" s="512"/>
      <c r="G27" s="509">
        <v>0</v>
      </c>
      <c r="H27" s="509"/>
      <c r="I27" s="509"/>
      <c r="J27" s="509"/>
      <c r="K27" s="515" t="s">
        <v>1390</v>
      </c>
    </row>
    <row r="28" spans="1:11" ht="22.95" customHeight="1" outlineLevel="1">
      <c r="A28" s="514" t="s">
        <v>1299</v>
      </c>
      <c r="B28" s="596"/>
      <c r="C28" s="1708">
        <f>(C20+C22)*输配电价测算参数!$C$48</f>
        <v>19384.3</v>
      </c>
      <c r="D28" s="1708">
        <f>(D20+D22)*输配电价测算参数!$C$48*0.7</f>
        <v>11791.705512820512</v>
      </c>
      <c r="E28" s="1708">
        <f>(E20+E22)*输配电价测算参数!$C$48*0.7</f>
        <v>8456.35</v>
      </c>
      <c r="F28" s="1708">
        <f>(F20+F22)*输配电价测算参数!$C$48*0.7</f>
        <v>9132.7052564102578</v>
      </c>
      <c r="G28" s="509"/>
      <c r="H28" s="512">
        <f>(H20+H22)*输配电价测算参数!$C$48</f>
        <v>22294.871794871797</v>
      </c>
      <c r="I28" s="512">
        <f>(I20+I22)*输配电价测算参数!$C$48</f>
        <v>22294.871794871797</v>
      </c>
      <c r="J28" s="512">
        <f>(J20+J22)*输配电价测算参数!$C$48</f>
        <v>22294.871794871797</v>
      </c>
      <c r="K28" s="515" t="s">
        <v>1391</v>
      </c>
    </row>
    <row r="29" spans="1:11" ht="22.95" customHeight="1">
      <c r="A29" s="508" t="s">
        <v>1392</v>
      </c>
      <c r="B29" s="594">
        <f>B30+B35</f>
        <v>247335.0173455</v>
      </c>
      <c r="C29" s="509">
        <f>C30+C35</f>
        <v>247335.0173455</v>
      </c>
      <c r="D29" s="509">
        <f>D30+D35</f>
        <v>241993.48732440002</v>
      </c>
      <c r="E29" s="509">
        <f>E30+E35</f>
        <v>232692.48405839872</v>
      </c>
      <c r="F29" s="509">
        <f>F30+F35</f>
        <v>217220.75787479489</v>
      </c>
      <c r="G29" s="509"/>
      <c r="H29" s="509">
        <f>H30+H35</f>
        <v>202000.86582921544</v>
      </c>
      <c r="I29" s="509">
        <f>I30+I35</f>
        <v>195807.66001055905</v>
      </c>
      <c r="J29" s="509">
        <f>J30+J35</f>
        <v>188176.48376882574</v>
      </c>
      <c r="K29" s="477"/>
    </row>
    <row r="30" spans="1:11" ht="22.95" customHeight="1">
      <c r="A30" s="508" t="s">
        <v>1393</v>
      </c>
      <c r="B30" s="594">
        <f t="shared" ref="B30:E30" si="16">(B31+B32+B33)*B34</f>
        <v>247335.0173455</v>
      </c>
      <c r="C30" s="509">
        <f t="shared" si="16"/>
        <v>247335.0173455</v>
      </c>
      <c r="D30" s="509">
        <f t="shared" si="16"/>
        <v>241993.48732440002</v>
      </c>
      <c r="E30" s="509">
        <f t="shared" si="16"/>
        <v>232692.48405839872</v>
      </c>
      <c r="F30" s="509">
        <f>(F31+F32+F33)*F34</f>
        <v>217220.75787479489</v>
      </c>
      <c r="G30" s="509"/>
      <c r="H30" s="509">
        <f>(H31+H32+H33)*H34</f>
        <v>202000.86582921544</v>
      </c>
      <c r="I30" s="509">
        <f>(I31+I32+I33)*I34</f>
        <v>195807.66001055905</v>
      </c>
      <c r="J30" s="509">
        <f>(J31+J32+J33)*J34</f>
        <v>188176.48376882574</v>
      </c>
      <c r="K30" s="477" t="s">
        <v>1394</v>
      </c>
    </row>
    <row r="31" spans="1:11" ht="22.95" customHeight="1" outlineLevel="1">
      <c r="A31" s="511" t="s">
        <v>24</v>
      </c>
      <c r="B31" s="595">
        <f>输配电价测算参数!C18</f>
        <v>10978000</v>
      </c>
      <c r="C31" s="509">
        <f>输配电价测算参数!C18</f>
        <v>10978000</v>
      </c>
      <c r="D31" s="509">
        <f>C31+C20-C19-C15</f>
        <v>10727833.4</v>
      </c>
      <c r="E31" s="509">
        <f>D31+D20-D19-D15</f>
        <v>10288521.494871795</v>
      </c>
      <c r="F31" s="509">
        <f>E31+E20-E19-E15</f>
        <v>9554432.17948718</v>
      </c>
      <c r="G31" s="509"/>
      <c r="H31" s="509">
        <f>F31+F20-F19-F15</f>
        <v>8832373.0615384635</v>
      </c>
      <c r="I31" s="509">
        <f>H31+H20-H19-H15</f>
        <v>8541521.635897439</v>
      </c>
      <c r="J31" s="509">
        <f>I31+I20-I19-I15</f>
        <v>8181977.9025641065</v>
      </c>
      <c r="K31" s="858">
        <f>H31-F31</f>
        <v>-722059.11794871651</v>
      </c>
    </row>
    <row r="32" spans="1:11" ht="22.95" customHeight="1" outlineLevel="1">
      <c r="A32" s="511" t="s">
        <v>1395</v>
      </c>
      <c r="B32" s="595">
        <f>输配电价测算参数!C19</f>
        <v>26500</v>
      </c>
      <c r="C32" s="509">
        <f>输配电价测算参数!C19</f>
        <v>26500</v>
      </c>
      <c r="D32" s="509">
        <f>C32-C13+输配电价测算参数!D67</f>
        <v>21500</v>
      </c>
      <c r="E32" s="509">
        <f>D32-D13+输配电价测算参数!E67</f>
        <v>16500</v>
      </c>
      <c r="F32" s="509">
        <f>E32-E13+输配电价测算参数!F67</f>
        <v>11500</v>
      </c>
      <c r="G32" s="509"/>
      <c r="H32" s="509">
        <f>F32-F13+输配电价测算参数!G67</f>
        <v>6500</v>
      </c>
      <c r="I32" s="509">
        <f>H32-H13+输配电价测算参数!H67</f>
        <v>1500</v>
      </c>
      <c r="J32" s="509">
        <f>I32-I13+输配电价测算参数!I67</f>
        <v>-3500</v>
      </c>
      <c r="K32" s="477"/>
    </row>
    <row r="33" spans="1:12" ht="22.95" customHeight="1" outlineLevel="1">
      <c r="A33" s="511" t="s">
        <v>1396</v>
      </c>
      <c r="B33" s="595">
        <f>输配电价测算参数!C31</f>
        <v>810773</v>
      </c>
      <c r="C33" s="509">
        <f>输配电价测算参数!C31</f>
        <v>810773</v>
      </c>
      <c r="D33" s="509">
        <f t="shared" ref="D33:F34" si="17">C33</f>
        <v>810773</v>
      </c>
      <c r="E33" s="509">
        <f t="shared" si="17"/>
        <v>810773</v>
      </c>
      <c r="F33" s="509">
        <f t="shared" si="17"/>
        <v>810773</v>
      </c>
      <c r="G33" s="509">
        <f>F33</f>
        <v>810773</v>
      </c>
      <c r="H33" s="509">
        <f t="shared" ref="H33:H34" si="18">G33</f>
        <v>810773</v>
      </c>
      <c r="I33" s="509">
        <f>H33</f>
        <v>810773</v>
      </c>
      <c r="J33" s="509">
        <f>I33</f>
        <v>810773</v>
      </c>
      <c r="K33" s="477"/>
    </row>
    <row r="34" spans="1:12" ht="22.95" customHeight="1" outlineLevel="1">
      <c r="A34" s="511" t="s">
        <v>1328</v>
      </c>
      <c r="B34" s="595">
        <f>C34</f>
        <v>2.0933500000000001E-2</v>
      </c>
      <c r="C34" s="516">
        <f>输配电价测算参数!C36</f>
        <v>2.0933500000000001E-2</v>
      </c>
      <c r="D34" s="516">
        <f t="shared" si="17"/>
        <v>2.0933500000000001E-2</v>
      </c>
      <c r="E34" s="516">
        <f t="shared" si="17"/>
        <v>2.0933500000000001E-2</v>
      </c>
      <c r="F34" s="516">
        <f t="shared" si="17"/>
        <v>2.0933500000000001E-2</v>
      </c>
      <c r="G34" s="516">
        <f>F34</f>
        <v>2.0933500000000001E-2</v>
      </c>
      <c r="H34" s="516">
        <f t="shared" si="18"/>
        <v>2.0933500000000001E-2</v>
      </c>
      <c r="I34" s="516">
        <f>H34</f>
        <v>2.0933500000000001E-2</v>
      </c>
      <c r="J34" s="516">
        <f>I34</f>
        <v>2.0933500000000001E-2</v>
      </c>
      <c r="K34" s="477"/>
    </row>
    <row r="35" spans="1:12" ht="22.95" customHeight="1">
      <c r="A35" s="508" t="s">
        <v>1397</v>
      </c>
      <c r="B35" s="594">
        <f t="shared" ref="B35:F35" si="19">B36*B37</f>
        <v>0</v>
      </c>
      <c r="C35" s="509">
        <f t="shared" si="19"/>
        <v>0</v>
      </c>
      <c r="D35" s="509">
        <f t="shared" si="19"/>
        <v>0</v>
      </c>
      <c r="E35" s="509">
        <f t="shared" si="19"/>
        <v>0</v>
      </c>
      <c r="F35" s="509">
        <f t="shared" si="19"/>
        <v>0</v>
      </c>
      <c r="G35" s="509"/>
      <c r="H35" s="509">
        <f>H36*H37</f>
        <v>0</v>
      </c>
      <c r="I35" s="509">
        <f>I36*I37</f>
        <v>0</v>
      </c>
      <c r="J35" s="509">
        <f>J36*J37</f>
        <v>0</v>
      </c>
      <c r="K35" s="477"/>
    </row>
    <row r="36" spans="1:12" ht="22.95" customHeight="1" outlineLevel="1">
      <c r="A36" s="511" t="s">
        <v>1398</v>
      </c>
      <c r="B36" s="595">
        <f>输配电价测算参数!C20</f>
        <v>0</v>
      </c>
      <c r="C36" s="509">
        <f>输配电价测算参数!C20</f>
        <v>0</v>
      </c>
      <c r="D36" s="509">
        <f>C36+C22-C16-C21</f>
        <v>0</v>
      </c>
      <c r="E36" s="509">
        <f>D36+D22-D16-D21</f>
        <v>0</v>
      </c>
      <c r="F36" s="509">
        <f>E36+E22-E16-E21</f>
        <v>0</v>
      </c>
      <c r="G36" s="509"/>
      <c r="H36" s="509">
        <f>F36+F22-F16-F21</f>
        <v>0</v>
      </c>
      <c r="I36" s="509">
        <f>H36+H22-H16-H21</f>
        <v>0</v>
      </c>
      <c r="J36" s="509">
        <f>I36+I22-I16-I21</f>
        <v>0</v>
      </c>
      <c r="K36" s="477"/>
    </row>
    <row r="37" spans="1:12" ht="22.95" customHeight="1" outlineLevel="1">
      <c r="A37" s="511" t="s">
        <v>1328</v>
      </c>
      <c r="B37" s="595">
        <f>B34</f>
        <v>2.0933500000000001E-2</v>
      </c>
      <c r="C37" s="516">
        <f>C34</f>
        <v>2.0933500000000001E-2</v>
      </c>
      <c r="D37" s="516">
        <f t="shared" ref="D37:J37" si="20">C37</f>
        <v>2.0933500000000001E-2</v>
      </c>
      <c r="E37" s="516">
        <f t="shared" si="20"/>
        <v>2.0933500000000001E-2</v>
      </c>
      <c r="F37" s="516">
        <f t="shared" si="20"/>
        <v>2.0933500000000001E-2</v>
      </c>
      <c r="G37" s="516">
        <f t="shared" si="20"/>
        <v>2.0933500000000001E-2</v>
      </c>
      <c r="H37" s="850">
        <f t="shared" si="20"/>
        <v>2.0933500000000001E-2</v>
      </c>
      <c r="I37" s="516">
        <f t="shared" si="20"/>
        <v>2.0933500000000001E-2</v>
      </c>
      <c r="J37" s="516">
        <f t="shared" si="20"/>
        <v>2.0933500000000001E-2</v>
      </c>
      <c r="K37" s="477"/>
    </row>
    <row r="38" spans="1:12" ht="22.95" customHeight="1">
      <c r="A38" s="508" t="s">
        <v>1399</v>
      </c>
      <c r="B38" s="595">
        <f>B39+B40</f>
        <v>99136.7626653888</v>
      </c>
      <c r="C38" s="517">
        <f>C39+C40</f>
        <v>103482.10565344333</v>
      </c>
      <c r="D38" s="517">
        <f>D39+D40</f>
        <v>106718.64936997912</v>
      </c>
      <c r="E38" s="517">
        <f>E39+E40</f>
        <v>108561.25263284618</v>
      </c>
      <c r="F38" s="517">
        <f>F39+F40</f>
        <v>105699.23397911678</v>
      </c>
      <c r="G38" s="509"/>
      <c r="H38" s="517">
        <f>H39+H40</f>
        <v>98445.279536072398</v>
      </c>
      <c r="I38" s="517">
        <f>I39+I40</f>
        <v>98289.903595113006</v>
      </c>
      <c r="J38" s="517">
        <f>J39+J40</f>
        <v>97633.555547050753</v>
      </c>
      <c r="K38" s="477"/>
    </row>
    <row r="39" spans="1:12" ht="22.95" customHeight="1" outlineLevel="1">
      <c r="A39" s="518" t="s">
        <v>1400</v>
      </c>
      <c r="B39" s="595">
        <f>(B31+B32+B33+B36)*(1-输配电价测算参数!$C$43)*输配电价测算参数!$C$38/(1-输配电价测算参数!$C$44)*输配电价测算参数!$C$44</f>
        <v>79365.157953166665</v>
      </c>
      <c r="C39" s="517">
        <f>(C31+C32+C33+C36)*(1-输配电价测算参数!$C$43)*输配电价测算参数!$C$38/(1-输配电价测算参数!$C$44)*输配电价测算参数!$C$44</f>
        <v>79365.157953166665</v>
      </c>
      <c r="D39" s="517">
        <f>(D31+D32+D33+D36)*(1-输配电价测算参数!$C$43)*输配电价测算参数!$C$38/(1-输配电价测算参数!$C$44)*输配电价测算参数!$C$44</f>
        <v>77651.161373199997</v>
      </c>
      <c r="E39" s="517">
        <f>(E31+E32+E33+E36)*(1-输配电价测算参数!$C$43)*输配电价测算参数!$C$38/(1-输配电价测算参数!$C$44)*输配电价测算参数!$C$44</f>
        <v>74666.644254469662</v>
      </c>
      <c r="F39" s="517">
        <f>(F31+F32+F33+F36)*(1-输配电价测算参数!$C$43)*输配电价测算参数!$C$38/(1-输配电价测算参数!$C$44)*输配电价测算参数!$C$44</f>
        <v>69702.058141478643</v>
      </c>
      <c r="G39" s="509"/>
      <c r="H39" s="517">
        <f>(H31+H32+H33+H36)*(1-输配电价测算参数!$C$43)*输配电价测算参数!$C$38/(1-输配电价测算参数!$C$44)*输配电价测算参数!$C$44</f>
        <v>64818.280869697453</v>
      </c>
      <c r="I39" s="517">
        <f>(I31+I32+I33+I36)*(1-输配电价测算参数!$C$43)*输配电价测算参数!$C$38/(1-输配电价测算参数!$C$44)*输配电价测算参数!$C$44</f>
        <v>62830.997535095754</v>
      </c>
      <c r="J39" s="517">
        <f>(J31+J32+J33+J36)*(1-输配电价测算参数!$C$43)*输配电价测算参数!$C$38/(1-输配电价测算参数!$C$44)*输配电价测算参数!$C$44</f>
        <v>60382.296521006872</v>
      </c>
      <c r="K39" s="477"/>
    </row>
    <row r="40" spans="1:12" ht="22.95" customHeight="1" outlineLevel="1">
      <c r="A40" s="518" t="s">
        <v>1401</v>
      </c>
      <c r="B40" s="595">
        <f>((B6+B29+B39)*17%-(B9+B25)*17%-(B10+B26)*3%-(输配电价测算参数!C55*输配电价测算参数!C60+输配电价测算参数!C59*输配电价测算参数!C60)/1.17*17%)*12%/(1-17%*12%)</f>
        <v>19771.604712222139</v>
      </c>
      <c r="C40" s="1709">
        <f>((C6+C29+C39)*17%-(C9+C25)*17%-(C10+C26)*3%-(输配电价测算参数!C55*输配电价测算参数!C60+输配电价测算参数!C59*输配电价测算参数!C60)/1.17*17%)*13%/(1-17%*13%)</f>
        <v>24116.947700276662</v>
      </c>
      <c r="D40" s="1709">
        <f>((D6+D29+D39)*17%-(D9+D25)*17%-(D10+D26)*3%-(输配电价测算参数!D55*输配电价测算参数!D60+输配电价测算参数!D59*输配电价测算参数!D60)/1.17*17%)*13%/(1-17%*13%)</f>
        <v>29067.48799677912</v>
      </c>
      <c r="E40" s="1709">
        <f>((E6+E29+E39)*17%-(E9+E25)*17%-(E10+E26)*3%-(输配电价测算参数!E55*输配电价测算参数!E60+输配电价测算参数!E59*输配电价测算参数!E60)/1.17*17%)*13%/(1-17%*13%)</f>
        <v>33894.608378376521</v>
      </c>
      <c r="F40" s="1709">
        <f>((F6+F29+F39)*17%-(F9+F25)*17%-(F10+F26)*3%-(输配电价测算参数!F55*输配电价测算参数!F60+输配电价测算参数!F59*输配电价测算参数!F60)/1.17*17%)*13%/(1-17%*13%)</f>
        <v>35997.175837638126</v>
      </c>
      <c r="G40" s="509"/>
      <c r="H40" s="517">
        <f>((H6+H29+H39)*17%-(H9+H25)*17%-(H10+H26)*3%-(输配电价测算参数!G55*输配电价测算参数!G60+输配电价测算参数!G59*输配电价测算参数!G60)/1.17*17%)*12%/(1-17%*12%)</f>
        <v>33626.998666374944</v>
      </c>
      <c r="I40" s="517">
        <f>((I6+I29+I39)*17%-(I9+I25)*17%-(I10+I26)*3%-(输配电价测算参数!H55*输配电价测算参数!H60+输配电价测算参数!H59*输配电价测算参数!H60)/1.17*17%)*12%/(1-17%*12%)</f>
        <v>35458.906060017252</v>
      </c>
      <c r="J40" s="517">
        <f>((J6+J29+J39)*17%-(J9+J25)*17%-(J10+J26)*3%-(输配电价测算参数!I55*输配电价测算参数!I60+输配电价测算参数!I59*输配电价测算参数!I60)/1.17*17%)*12%/(1-17%*12%)</f>
        <v>37251.259026043888</v>
      </c>
      <c r="K40" s="477" t="s">
        <v>1920</v>
      </c>
    </row>
    <row r="41" spans="1:12" ht="22.95" customHeight="1">
      <c r="A41" s="508" t="s">
        <v>1403</v>
      </c>
      <c r="B41" s="595">
        <f>B38+B29+B6</f>
        <v>2690650.7800108888</v>
      </c>
      <c r="C41" s="517">
        <f>C38+C29+C6</f>
        <v>2821224.7429989437</v>
      </c>
      <c r="D41" s="517">
        <f>D38+D29+D6</f>
        <v>2912879.0770789948</v>
      </c>
      <c r="E41" s="517">
        <f>E38+E29+E6</f>
        <v>2976345.2270758604</v>
      </c>
      <c r="F41" s="517">
        <f>F38+F29+F6</f>
        <v>3032337.0249308348</v>
      </c>
      <c r="G41" s="509"/>
      <c r="H41" s="517">
        <f>H38+H29+H6</f>
        <v>3056087.1617755448</v>
      </c>
      <c r="I41" s="517">
        <f>I38+I29+I6</f>
        <v>3155669.349246698</v>
      </c>
      <c r="J41" s="517">
        <f>J38+J29+J6</f>
        <v>3253312.5941876713</v>
      </c>
      <c r="K41" s="477"/>
    </row>
    <row r="42" spans="1:12" ht="22.95" customHeight="1">
      <c r="A42" s="508" t="s">
        <v>1404</v>
      </c>
      <c r="B42" s="594">
        <f>输配电价测算参数!C21</f>
        <v>73400</v>
      </c>
      <c r="C42" s="509">
        <f>输配电价测算参数!C21</f>
        <v>73400</v>
      </c>
      <c r="D42" s="509">
        <f t="shared" ref="D42:J42" si="21">C42</f>
        <v>73400</v>
      </c>
      <c r="E42" s="509">
        <f t="shared" si="21"/>
        <v>73400</v>
      </c>
      <c r="F42" s="509">
        <f t="shared" si="21"/>
        <v>73400</v>
      </c>
      <c r="G42" s="509">
        <f t="shared" si="21"/>
        <v>73400</v>
      </c>
      <c r="H42" s="509">
        <f t="shared" si="21"/>
        <v>73400</v>
      </c>
      <c r="I42" s="509">
        <f t="shared" si="21"/>
        <v>73400</v>
      </c>
      <c r="J42" s="509">
        <f t="shared" si="21"/>
        <v>73400</v>
      </c>
      <c r="K42" s="477"/>
    </row>
    <row r="43" spans="1:12" ht="22.95" customHeight="1">
      <c r="A43" s="508" t="s">
        <v>1545</v>
      </c>
      <c r="B43" s="595">
        <f>B41-B42</f>
        <v>2617250.7800108888</v>
      </c>
      <c r="C43" s="517">
        <f>C41-C42</f>
        <v>2747824.7429989437</v>
      </c>
      <c r="D43" s="517">
        <f>D41-D42</f>
        <v>2839479.0770789948</v>
      </c>
      <c r="E43" s="517">
        <f>E41-E42</f>
        <v>2902945.2270758604</v>
      </c>
      <c r="F43" s="517">
        <f>F41-F42</f>
        <v>2958937.0249308348</v>
      </c>
      <c r="G43" s="509"/>
      <c r="H43" s="517">
        <f>H41-H42</f>
        <v>2982687.1617755448</v>
      </c>
      <c r="I43" s="517">
        <f>I41-I42</f>
        <v>3082269.349246698</v>
      </c>
      <c r="J43" s="517">
        <f>J41-J42</f>
        <v>3179912.5941876713</v>
      </c>
      <c r="K43" s="477"/>
    </row>
    <row r="44" spans="1:12" ht="22.95" customHeight="1">
      <c r="A44" s="508" t="s">
        <v>1546</v>
      </c>
      <c r="B44" s="608">
        <f>输配电价测算参数!C70</f>
        <v>0</v>
      </c>
      <c r="C44" s="608">
        <f>输配电价测算参数!D70</f>
        <v>12350000</v>
      </c>
      <c r="D44" s="608">
        <f>输配电价测算参数!E70</f>
        <v>12535249.999999998</v>
      </c>
      <c r="E44" s="608">
        <f>输配电价测算参数!F70</f>
        <v>12723278.749999996</v>
      </c>
      <c r="F44" s="608">
        <f>输配电价测算参数!G70</f>
        <v>12914127.931249995</v>
      </c>
      <c r="G44" s="509"/>
      <c r="H44" s="512">
        <f>输配电价测算参数!H70</f>
        <v>13559834.327812495</v>
      </c>
      <c r="I44" s="512">
        <f>输配电价测算参数!I70</f>
        <v>14237826.044203119</v>
      </c>
      <c r="J44" s="512">
        <f>输配电价测算参数!J70</f>
        <v>14949717.346413275</v>
      </c>
      <c r="K44" s="477" t="s">
        <v>1405</v>
      </c>
    </row>
    <row r="45" spans="1:12" ht="22.95" customHeight="1">
      <c r="A45" s="508" t="s">
        <v>1406</v>
      </c>
      <c r="B45" s="605" t="e">
        <f>B43*1.17/B44*1000</f>
        <v>#DIV/0!</v>
      </c>
      <c r="C45" s="605">
        <f t="shared" ref="C45:F45" si="22">C43*1.17/C44*1000</f>
        <v>260.32023881042619</v>
      </c>
      <c r="D45" s="605">
        <f>D43*1.17/D44*1000</f>
        <v>265.02786304081883</v>
      </c>
      <c r="E45" s="605">
        <f t="shared" si="22"/>
        <v>266.94737908487286</v>
      </c>
      <c r="F45" s="605">
        <f t="shared" si="22"/>
        <v>268.07511413850335</v>
      </c>
      <c r="G45" s="825"/>
      <c r="H45" s="606">
        <f>H43*1.17/H44*1000</f>
        <v>257.35889502127577</v>
      </c>
      <c r="I45" s="606">
        <f t="shared" ref="I45:J45" si="23">I43*1.17/I44*1000</f>
        <v>253.28692227469028</v>
      </c>
      <c r="J45" s="606">
        <f t="shared" si="23"/>
        <v>248.86742999807916</v>
      </c>
      <c r="K45" s="519"/>
      <c r="L45" s="520"/>
    </row>
    <row r="46" spans="1:12" ht="22.95" customHeight="1">
      <c r="A46" s="508" t="s">
        <v>1407</v>
      </c>
      <c r="B46" s="607" t="e">
        <f>B43/B44*1000</f>
        <v>#DIV/0!</v>
      </c>
      <c r="C46" s="607">
        <f t="shared" ref="C46:J46" si="24">C43/C44*1000</f>
        <v>222.4959306072019</v>
      </c>
      <c r="D46" s="607">
        <f t="shared" si="24"/>
        <v>226.51954106052892</v>
      </c>
      <c r="E46" s="607">
        <f t="shared" si="24"/>
        <v>228.16015306399393</v>
      </c>
      <c r="F46" s="607">
        <f t="shared" si="24"/>
        <v>229.12402917820802</v>
      </c>
      <c r="G46" s="826"/>
      <c r="H46" s="607">
        <f t="shared" si="24"/>
        <v>219.96486753955193</v>
      </c>
      <c r="I46" s="607">
        <f t="shared" si="24"/>
        <v>216.48454895272675</v>
      </c>
      <c r="J46" s="607">
        <f t="shared" si="24"/>
        <v>212.70720512656339</v>
      </c>
      <c r="K46" s="521"/>
    </row>
    <row r="47" spans="1:12" ht="22.95" customHeight="1">
      <c r="A47" s="508" t="s">
        <v>1408</v>
      </c>
      <c r="B47" s="597"/>
      <c r="C47" s="522">
        <f>AVERAGE(D45:F45)</f>
        <v>266.683452088065</v>
      </c>
      <c r="D47" s="2522" t="s">
        <v>1409</v>
      </c>
      <c r="E47" s="2522"/>
      <c r="F47" s="2522"/>
      <c r="G47" s="523">
        <f>AVERAGE(H45:J45)</f>
        <v>253.1710824313484</v>
      </c>
      <c r="H47" s="520"/>
      <c r="I47" s="520"/>
      <c r="J47" s="520"/>
    </row>
    <row r="48" spans="1:12" ht="22.95" customHeight="1">
      <c r="A48" s="508" t="s">
        <v>1411</v>
      </c>
      <c r="B48" s="594"/>
      <c r="C48" s="524">
        <f>C47/1.17</f>
        <v>227.93457443424359</v>
      </c>
      <c r="D48" s="2522" t="s">
        <v>1585</v>
      </c>
      <c r="E48" s="2522"/>
      <c r="F48" s="2522"/>
      <c r="G48" s="528">
        <f>G47/1.17</f>
        <v>216.38554053961403</v>
      </c>
    </row>
    <row r="49" spans="1:7" ht="22.95" customHeight="1">
      <c r="A49" s="510" t="s">
        <v>1410</v>
      </c>
      <c r="B49" s="594"/>
      <c r="C49" s="526">
        <f>C48-C47</f>
        <v>-38.74887765382141</v>
      </c>
      <c r="D49" s="911"/>
      <c r="E49" s="911"/>
      <c r="F49" s="911"/>
      <c r="G49" s="911"/>
    </row>
    <row r="50" spans="1:7" ht="22.95" customHeight="1">
      <c r="A50" s="476"/>
      <c r="B50" s="844"/>
      <c r="C50" s="845"/>
    </row>
    <row r="51" spans="1:7" customFormat="1" ht="22.95" customHeight="1">
      <c r="B51" s="469"/>
      <c r="C51" s="469"/>
      <c r="D51" s="520"/>
    </row>
    <row r="52" spans="1:7" customFormat="1" ht="22.95" customHeight="1">
      <c r="B52" s="469"/>
      <c r="C52" s="469"/>
    </row>
    <row r="53" spans="1:7" customFormat="1" ht="22.95" customHeight="1"/>
    <row r="54" spans="1:7" customFormat="1" ht="22.95" customHeight="1"/>
    <row r="55" spans="1:7" customFormat="1" ht="22.95" customHeight="1"/>
  </sheetData>
  <mergeCells count="7">
    <mergeCell ref="D48:F48"/>
    <mergeCell ref="A2:K2"/>
    <mergeCell ref="D4:F4"/>
    <mergeCell ref="H4:J4"/>
    <mergeCell ref="K14:K16"/>
    <mergeCell ref="K25:K26"/>
    <mergeCell ref="D47:F47"/>
  </mergeCells>
  <phoneticPr fontId="20" type="noConversion"/>
  <pageMargins left="0.7" right="0.7" top="0.75" bottom="0.75" header="0.3" footer="0.3"/>
  <legacy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2">
    <tabColor rgb="FFC00000"/>
    <pageSetUpPr fitToPage="1"/>
  </sheetPr>
  <dimension ref="A1:P55"/>
  <sheetViews>
    <sheetView showGridLines="0" zoomScaleNormal="100" zoomScalePageLayoutView="85" workbookViewId="0">
      <pane xSplit="2" ySplit="3" topLeftCell="C18" activePane="bottomRight" state="frozen"/>
      <selection activeCell="G35" sqref="G35"/>
      <selection pane="topRight" activeCell="G35" sqref="G35"/>
      <selection pane="bottomLeft" activeCell="G35" sqref="G35"/>
      <selection pane="bottomRight" activeCell="G11" sqref="G6:G11"/>
    </sheetView>
  </sheetViews>
  <sheetFormatPr defaultColWidth="8.77734375" defaultRowHeight="15" outlineLevelCol="1"/>
  <cols>
    <col min="1" max="1" width="2.6640625" style="1373" customWidth="1"/>
    <col min="2" max="2" width="36.109375" style="1373" customWidth="1"/>
    <col min="3" max="3" width="13.77734375" style="1373" customWidth="1" outlineLevel="1"/>
    <col min="4" max="4" width="17.88671875" style="1373" customWidth="1" outlineLevel="1"/>
    <col min="5" max="6" width="13.77734375" style="1373" customWidth="1" outlineLevel="1"/>
    <col min="7" max="11" width="13.77734375" style="1373" customWidth="1"/>
    <col min="12" max="12" width="46" style="1373" customWidth="1" outlineLevel="1"/>
    <col min="13" max="13" width="8.77734375" style="1373"/>
    <col min="14" max="14" width="11.88671875" style="1373" bestFit="1" customWidth="1"/>
    <col min="15" max="16384" width="8.77734375" style="1373"/>
  </cols>
  <sheetData>
    <row r="1" spans="1:16">
      <c r="A1" s="1440"/>
      <c r="B1" s="1441" t="s">
        <v>690</v>
      </c>
      <c r="C1" s="1465"/>
      <c r="D1" s="1440"/>
      <c r="E1" s="1440"/>
      <c r="F1" s="1440"/>
      <c r="G1" s="1466" t="str">
        <f>"当前模式："&amp;测算模式</f>
        <v>当前模式：1.实际收入+实际成本</v>
      </c>
      <c r="H1" s="1864"/>
      <c r="I1" s="1864"/>
      <c r="J1" s="1864"/>
      <c r="K1" s="1864"/>
      <c r="L1" s="1440"/>
    </row>
    <row r="2" spans="1:16" ht="15.6">
      <c r="A2" s="1442"/>
      <c r="B2" s="1194"/>
      <c r="C2" s="2494" t="s">
        <v>30</v>
      </c>
      <c r="D2" s="2494"/>
      <c r="E2" s="2494"/>
      <c r="F2" s="2494"/>
      <c r="G2" s="1443" t="s">
        <v>31</v>
      </c>
      <c r="H2" s="1443"/>
      <c r="I2" s="1443"/>
      <c r="J2" s="1443"/>
      <c r="K2" s="2116">
        <f ca="1">G6+G7+G8+G9+G10+G11</f>
        <v>859.81985121847856</v>
      </c>
      <c r="L2" s="1444"/>
    </row>
    <row r="3" spans="1:16" ht="15.6">
      <c r="A3" s="1442"/>
      <c r="B3" s="1444" t="s">
        <v>299</v>
      </c>
      <c r="C3" s="1543">
        <f>G3-4</f>
        <v>2014</v>
      </c>
      <c r="D3" s="1543">
        <f>G3-3</f>
        <v>2015</v>
      </c>
      <c r="E3" s="1543">
        <f>G3-2</f>
        <v>2016</v>
      </c>
      <c r="F3" s="1543">
        <f>G3-1</f>
        <v>2017</v>
      </c>
      <c r="G3" s="1544">
        <f>测算年份</f>
        <v>2018</v>
      </c>
      <c r="H3" s="1544">
        <f>假设!H3</f>
        <v>2019</v>
      </c>
      <c r="I3" s="1544">
        <f>假设!I3</f>
        <v>2020</v>
      </c>
      <c r="J3" s="1544">
        <f>假设!J3</f>
        <v>2021</v>
      </c>
      <c r="K3" s="1544">
        <f>假设!K3</f>
        <v>2022</v>
      </c>
      <c r="L3" s="1190" t="s">
        <v>337</v>
      </c>
    </row>
    <row r="4" spans="1:16" ht="18" customHeight="1">
      <c r="A4" s="1469"/>
      <c r="B4" s="1545" t="s">
        <v>298</v>
      </c>
      <c r="C4" s="1546">
        <f>VLOOKUP($B4,历史利润表!$B$3:$Q$101,C$3-2010,FALSE)</f>
        <v>796.60442812539998</v>
      </c>
      <c r="D4" s="1562">
        <f>VLOOKUP($B4,历史利润表!$B$3:$Q$101,D$3-2010,FALSE)</f>
        <v>810.2762171503</v>
      </c>
      <c r="E4" s="1562">
        <f>VLOOKUP($B4,历史利润表!$B$3:$Q$101,E$3-2010,FALSE)</f>
        <v>852.73232172429994</v>
      </c>
      <c r="F4" s="1562">
        <f>VLOOKUP($B4,历史利润表!$B$3:$Q$101,F$3-2010,FALSE)</f>
        <v>882.71881000960002</v>
      </c>
      <c r="G4" s="1563">
        <f>实际收入!G5+IF(经济活动分析!F10=TRUE,经济活动分析!E10*假设!G14/1000,0)+IF(经济活动分析!F11=TRUE,((假设!G20*假设!G6+假设!G17*假设!G11)/假设!G6-((假设!G20+经济活动分析!E11)*假设!G6+假设!G17*假设!G11)/假设!G6)*实际收入!G14/1000,0)</f>
        <v>890.25524394621448</v>
      </c>
      <c r="H4" s="1563">
        <f>实际收入!H5</f>
        <v>915.74650518460101</v>
      </c>
      <c r="I4" s="1563">
        <f>实际收入!I5</f>
        <v>937.6265044142159</v>
      </c>
      <c r="J4" s="1563">
        <f>实际收入!J5</f>
        <v>957.36226371932889</v>
      </c>
      <c r="K4" s="1563">
        <f>实际收入!K5</f>
        <v>977.53220972915415</v>
      </c>
      <c r="L4" s="1547" t="s">
        <v>775</v>
      </c>
      <c r="M4" s="1491"/>
      <c r="N4" s="1526"/>
      <c r="O4" s="1526"/>
      <c r="P4" s="1548"/>
    </row>
    <row r="5" spans="1:16" ht="18" customHeight="1">
      <c r="A5" s="1469"/>
      <c r="B5" s="1549" t="s">
        <v>44</v>
      </c>
      <c r="C5" s="1550">
        <f>VLOOKUP($B5,历史利润表!$B$3:$Q$101,C$3-2010,FALSE)</f>
        <v>768.13423680829999</v>
      </c>
      <c r="D5" s="1893">
        <f>VLOOKUP($B5,历史利润表!$B$3:$Q$101,D$3-2010,FALSE)</f>
        <v>783.09630905929998</v>
      </c>
      <c r="E5" s="1893">
        <f>VLOOKUP($B5,历史利润表!$B$3:$Q$101,E$3-2010,FALSE)</f>
        <v>819.15922779520008</v>
      </c>
      <c r="F5" s="1893">
        <f>VLOOKUP($B5,历史利润表!$B$3:$Q$101,F$3-2010,FALSE)</f>
        <v>852.41506452470003</v>
      </c>
      <c r="G5" s="2367">
        <f ca="1">SUM(G6:G11)</f>
        <v>859.81985121847856</v>
      </c>
      <c r="H5" s="1894">
        <f t="shared" ref="H5:K5" ca="1" si="0">SUM(H6:H11)</f>
        <v>885.14491104510807</v>
      </c>
      <c r="I5" s="1894">
        <f t="shared" ca="1" si="0"/>
        <v>906.10967872374147</v>
      </c>
      <c r="J5" s="1894">
        <f t="shared" ca="1" si="0"/>
        <v>925.01601026575634</v>
      </c>
      <c r="K5" s="1894">
        <f t="shared" ca="1" si="0"/>
        <v>943.74068306591005</v>
      </c>
      <c r="L5" s="1884">
        <f ca="1">G4-G5</f>
        <v>30.435392727735916</v>
      </c>
      <c r="M5" s="1491"/>
      <c r="N5" s="1526"/>
      <c r="O5" s="1526"/>
      <c r="P5" s="1548"/>
    </row>
    <row r="6" spans="1:16" ht="18" customHeight="1">
      <c r="A6" s="1469"/>
      <c r="B6" s="1553" t="s">
        <v>583</v>
      </c>
      <c r="C6" s="1550">
        <f>VLOOKUP($B6,历史利润表!$B$3:$Q$101,C$3-2010,FALSE)</f>
        <v>765.46425773670001</v>
      </c>
      <c r="D6" s="1550">
        <f>VLOOKUP($B6,历史利润表!$B$3:$Q$101,D$3-2010,FALSE)</f>
        <v>778.64127223560001</v>
      </c>
      <c r="E6" s="1550">
        <f>VLOOKUP($B6,历史利润表!$B$3:$Q$101,E$3-2010,FALSE)</f>
        <v>813.95038584740007</v>
      </c>
      <c r="F6" s="1550">
        <f>VLOOKUP($B6,历史利润表!$B$3:$Q$101,F$3-2010,FALSE)</f>
        <v>844.62453204029998</v>
      </c>
      <c r="G6" s="1551">
        <f ca="1">实际收入!G16+IF(经济活动分析!F12=TRUE,经济活动分析!E12,0)</f>
        <v>852.13186448465535</v>
      </c>
      <c r="H6" s="1551">
        <f ca="1">实际收入!H16</f>
        <v>877.35623711419544</v>
      </c>
      <c r="I6" s="1551">
        <f ca="1">实际收入!I16</f>
        <v>898.15880450746499</v>
      </c>
      <c r="J6" s="1551">
        <f ca="1">实际收入!J16</f>
        <v>916.88316920539148</v>
      </c>
      <c r="K6" s="1551">
        <f ca="1">实际收入!K16</f>
        <v>935.37478005812545</v>
      </c>
      <c r="L6" s="1552" t="s">
        <v>778</v>
      </c>
      <c r="M6" s="1491"/>
      <c r="N6" s="1526"/>
      <c r="O6" s="1526"/>
      <c r="P6" s="1548"/>
    </row>
    <row r="7" spans="1:16" ht="18" customHeight="1">
      <c r="A7" s="1469"/>
      <c r="B7" s="1553" t="s">
        <v>351</v>
      </c>
      <c r="C7" s="1550">
        <f>VLOOKUP($B7,历史利润表!$B$3:$Q$101,C$3-2010,FALSE)</f>
        <v>3.5867487117000003</v>
      </c>
      <c r="D7" s="1550">
        <f>VLOOKUP($B7,历史利润表!$B$3:$Q$101,D$3-2010,FALSE)</f>
        <v>3.2671226669000002</v>
      </c>
      <c r="E7" s="1550">
        <f>VLOOKUP($B7,历史利润表!$B$3:$Q$101,E$3-2010,FALSE)</f>
        <v>3.7404287943000001</v>
      </c>
      <c r="F7" s="1550">
        <f>VLOOKUP($B7,历史利润表!$B$3:$Q$101,F$3-2010,FALSE)</f>
        <v>6.1103996416999999</v>
      </c>
      <c r="G7" s="1888">
        <f>G4*(假设!G59+IF(经济活动分析!F13=TRUE,经济活动分析!E13,0))</f>
        <v>6.1625687160459783</v>
      </c>
      <c r="H7" s="1551">
        <f>H4*假设!H59</f>
        <v>6.339025580645731</v>
      </c>
      <c r="I7" s="1551">
        <f>I4*假设!I59</f>
        <v>6.4904843894271833</v>
      </c>
      <c r="J7" s="1551">
        <f>J4*假设!J59</f>
        <v>6.6271002349480552</v>
      </c>
      <c r="K7" s="1551">
        <f>K4*假设!K59</f>
        <v>6.7667216290703855</v>
      </c>
      <c r="L7" s="1552" t="s">
        <v>776</v>
      </c>
      <c r="M7" s="1491"/>
      <c r="N7" s="1526"/>
      <c r="O7" s="1526"/>
    </row>
    <row r="8" spans="1:16" ht="18" customHeight="1">
      <c r="A8" s="1469"/>
      <c r="B8" s="1553" t="s">
        <v>334</v>
      </c>
      <c r="C8" s="1550">
        <f>VLOOKUP($B8,历史利润表!$B$3:$Q$101,C$3-2010,FALSE)</f>
        <v>9.84728609E-2</v>
      </c>
      <c r="D8" s="1550">
        <f>VLOOKUP($B8,历史利润表!$B$3:$Q$101,D$3-2010,FALSE)</f>
        <v>0.55166360170000006</v>
      </c>
      <c r="E8" s="1550">
        <f>VLOOKUP($B8,历史利润表!$B$3:$Q$101,E$3-2010,FALSE)</f>
        <v>0.91817756150000007</v>
      </c>
      <c r="F8" s="1550">
        <f>VLOOKUP($B8,历史利润表!$B$3:$Q$101,F$3-2010,FALSE)</f>
        <v>0.64244614759999996</v>
      </c>
      <c r="G8" s="1888">
        <f>F8*(1+假设!G60)</f>
        <v>0.70669076236000006</v>
      </c>
      <c r="H8" s="1551">
        <f>G8*(1+假设!H60)</f>
        <v>0.77735983859600011</v>
      </c>
      <c r="I8" s="1551">
        <f>H8*(1+假设!I60)</f>
        <v>0.85509582245560023</v>
      </c>
      <c r="J8" s="1551">
        <f>I8*(1+假设!J60)</f>
        <v>0.94060540470116027</v>
      </c>
      <c r="K8" s="1551">
        <f>J8*(1+假设!K60)</f>
        <v>1.0346659451712763</v>
      </c>
      <c r="L8" s="1892" t="s">
        <v>2210</v>
      </c>
      <c r="M8" s="1491"/>
      <c r="N8" s="1526"/>
      <c r="O8" s="1526"/>
    </row>
    <row r="9" spans="1:16" ht="18" customHeight="1">
      <c r="A9" s="1469"/>
      <c r="B9" s="1553" t="s">
        <v>61</v>
      </c>
      <c r="C9" s="1550">
        <f>VLOOKUP($B9,历史利润表!$B$3:$Q$101,C$3-2010,FALSE)</f>
        <v>1.5190390368</v>
      </c>
      <c r="D9" s="1550">
        <f>VLOOKUP($B9,历史利润表!$B$3:$Q$101,D$3-2010,FALSE)</f>
        <v>1.3818965437999999</v>
      </c>
      <c r="E9" s="1550">
        <f>VLOOKUP($B9,历史利润表!$B$3:$Q$101,E$3-2010,FALSE)</f>
        <v>1.3719273333999999</v>
      </c>
      <c r="F9" s="1550">
        <f>VLOOKUP($B9,历史利润表!$B$3:$Q$101,F$3-2010,FALSE)</f>
        <v>1.6626269233000002</v>
      </c>
      <c r="G9" s="1888">
        <f>F9*(1+假设!G61)</f>
        <v>1.7260255686577797</v>
      </c>
      <c r="H9" s="1551">
        <f>G9*(1+假设!H61)</f>
        <v>1.7918417065852235</v>
      </c>
      <c r="I9" s="1551">
        <f>H9*(1+假设!I61)</f>
        <v>1.8601675199719092</v>
      </c>
      <c r="J9" s="1551">
        <f>I9*(1+假设!J61)</f>
        <v>1.9310987067896268</v>
      </c>
      <c r="K9" s="1551">
        <f>J9*(1+假设!K61)</f>
        <v>2.0047346141281319</v>
      </c>
      <c r="L9" s="1552" t="s">
        <v>773</v>
      </c>
      <c r="M9" s="1491"/>
      <c r="N9" s="1526"/>
      <c r="O9" s="1526"/>
    </row>
    <row r="10" spans="1:16" ht="18" customHeight="1">
      <c r="A10" s="1469"/>
      <c r="B10" s="1553" t="s">
        <v>341</v>
      </c>
      <c r="C10" s="1550">
        <f>VLOOKUP($B10,历史利润表!$B$3:$Q$101,C$3-2010,FALSE)</f>
        <v>-0.63414611840000001</v>
      </c>
      <c r="D10" s="1550">
        <f>VLOOKUP($B10,历史利润表!$B$3:$Q$101,D$3-2010,FALSE)</f>
        <v>-0.81544300219999999</v>
      </c>
      <c r="E10" s="1550">
        <f>VLOOKUP($B10,历史利润表!$B$3:$Q$101,E$3-2010,FALSE)</f>
        <v>-0.64352519419999998</v>
      </c>
      <c r="F10" s="1550">
        <f>VLOOKUP($B10,历史利润表!$B$3:$Q$101,F$3-2010,FALSE)</f>
        <v>-0.6535169556</v>
      </c>
      <c r="G10" s="1888">
        <f ca="1">债务!G34</f>
        <v>-0.93587504064049842</v>
      </c>
      <c r="H10" s="1551">
        <f ca="1">债务!H34</f>
        <v>-1.1481299223144541</v>
      </c>
      <c r="I10" s="1551">
        <f ca="1">债务!I34</f>
        <v>-1.2834502429782739</v>
      </c>
      <c r="J10" s="1551">
        <f ca="1">债务!J34</f>
        <v>-1.3945400134740746</v>
      </c>
      <c r="K10" s="1551">
        <f ca="1">债务!K34</f>
        <v>-1.4687959079851665</v>
      </c>
      <c r="L10" s="1552" t="s">
        <v>777</v>
      </c>
      <c r="M10" s="1491"/>
      <c r="N10" s="1526"/>
      <c r="O10" s="1526"/>
    </row>
    <row r="11" spans="1:16" ht="18" customHeight="1">
      <c r="A11" s="1469"/>
      <c r="B11" s="1554" t="s">
        <v>63</v>
      </c>
      <c r="C11" s="1550">
        <f>VLOOKUP($B11,历史利润表!$B$3:$Q$101,C$3-2010,FALSE)</f>
        <v>-1.9001354194</v>
      </c>
      <c r="D11" s="1550">
        <f>VLOOKUP($B11,历史利润表!$B$3:$Q$101,D$3-2010,FALSE)</f>
        <v>6.9797013499999991E-2</v>
      </c>
      <c r="E11" s="1550">
        <f>VLOOKUP($B11,历史利润表!$B$3:$Q$101,E$3-2010,FALSE)</f>
        <v>-0.1781665472</v>
      </c>
      <c r="F11" s="2118">
        <f>VLOOKUP($B11,历史利润表!$B$3:$Q$101,F$3-2010,FALSE)</f>
        <v>2.8576727400000002E-2</v>
      </c>
      <c r="G11" s="1888">
        <f>假设!G64</f>
        <v>2.8576727400000002E-2</v>
      </c>
      <c r="H11" s="1888">
        <f>假设!H64</f>
        <v>2.8576727400000002E-2</v>
      </c>
      <c r="I11" s="1888">
        <f>假设!I64</f>
        <v>2.8576727400000002E-2</v>
      </c>
      <c r="J11" s="1888">
        <f>假设!J64</f>
        <v>2.8576727400000002E-2</v>
      </c>
      <c r="K11" s="1888">
        <f>假设!K64</f>
        <v>2.8576727400000002E-2</v>
      </c>
      <c r="L11" s="1552"/>
      <c r="M11" s="1526"/>
      <c r="N11" s="1526"/>
      <c r="O11" s="1526"/>
    </row>
    <row r="12" spans="1:16" ht="18" customHeight="1">
      <c r="A12" s="1469"/>
      <c r="B12" s="1554" t="s">
        <v>346</v>
      </c>
      <c r="C12" s="1550">
        <f>VLOOKUP($B12,历史利润表!$B$3:$Q$101,C$3-2010,FALSE)</f>
        <v>0</v>
      </c>
      <c r="D12" s="1550">
        <f>VLOOKUP($B12,历史利润表!$B$3:$Q$101,D$3-2010,FALSE)</f>
        <v>0</v>
      </c>
      <c r="E12" s="1550">
        <f>VLOOKUP($B12,历史利润表!$B$3:$Q$101,E$3-2010,FALSE)</f>
        <v>0</v>
      </c>
      <c r="F12" s="1550">
        <f>VLOOKUP($B12,历史利润表!$B$3:$Q$101,F$3-2010,FALSE)</f>
        <v>0</v>
      </c>
      <c r="G12" s="1551">
        <f>假设!G65</f>
        <v>0</v>
      </c>
      <c r="H12" s="1551">
        <f>假设!H65</f>
        <v>0</v>
      </c>
      <c r="I12" s="1551">
        <f>假设!I65</f>
        <v>0</v>
      </c>
      <c r="J12" s="1551">
        <f>假设!J65</f>
        <v>0</v>
      </c>
      <c r="K12" s="1551">
        <f>假设!K65</f>
        <v>0</v>
      </c>
      <c r="L12" s="1552" t="s">
        <v>779</v>
      </c>
      <c r="M12" s="1526"/>
      <c r="N12" s="1526"/>
      <c r="O12" s="1526"/>
    </row>
    <row r="13" spans="1:16" ht="18" customHeight="1">
      <c r="A13" s="1469"/>
      <c r="B13" s="1554" t="s">
        <v>350</v>
      </c>
      <c r="C13" s="1550">
        <f>VLOOKUP($B13,历史利润表!$B$3:$Q$101,C$3-2010,FALSE)</f>
        <v>3.7491075832999998</v>
      </c>
      <c r="D13" s="1550">
        <f>VLOOKUP($B13,历史利润表!$B$3:$Q$101,D$3-2010,FALSE)</f>
        <v>3.5344663863999997</v>
      </c>
      <c r="E13" s="1550">
        <f>VLOOKUP($B13,历史利润表!$B$3:$Q$101,E$3-2010,FALSE)</f>
        <v>3.0286453032999998</v>
      </c>
      <c r="F13" s="1550">
        <f>VLOOKUP($B13,历史利润表!$B$3:$Q$101,F$3-2010,FALSE)</f>
        <v>1.0948207815</v>
      </c>
      <c r="G13" s="1551">
        <f>AVERAGE(资产负债表!G15+资产负债表!G17,资产负债表!F15+资产负债表!F17)*假设!G62</f>
        <v>1.093034816178674</v>
      </c>
      <c r="H13" s="1551">
        <f>AVERAGE(资产负债表!H15+资产负债表!H17,资产负债表!G15+资产负债表!G17)*假设!H62</f>
        <v>1.137098312494577</v>
      </c>
      <c r="I13" s="1551">
        <f>AVERAGE(资产负债表!I15+资产负债表!I17,资产负债表!H15+资产负债表!H17)*假设!I62</f>
        <v>1.182938139883235</v>
      </c>
      <c r="J13" s="1551">
        <f>AVERAGE(资产负债表!J15+资产负债表!J17,资产负债表!I15+资产负债表!I17)*假设!J62</f>
        <v>1.2306259075528105</v>
      </c>
      <c r="K13" s="1551">
        <f>AVERAGE(资产负债表!K15+资产负债表!K17,资产负债表!J15+资产负债表!J17)*假设!K62</f>
        <v>1.2802361114924112</v>
      </c>
      <c r="L13" s="1555" t="s">
        <v>774</v>
      </c>
      <c r="M13" s="1526"/>
      <c r="N13" s="1526"/>
      <c r="O13" s="1526"/>
    </row>
    <row r="14" spans="1:16" ht="18" customHeight="1">
      <c r="A14" s="1469"/>
      <c r="B14" s="1554" t="s">
        <v>1161</v>
      </c>
      <c r="C14" s="1550">
        <f>VLOOKUP($B14,历史利润表!$B$3:$Q$101,C$3-2010,FALSE)</f>
        <v>0</v>
      </c>
      <c r="D14" s="1550">
        <f>VLOOKUP($B14,历史利润表!$B$3:$Q$101,D$3-2010,FALSE)</f>
        <v>0</v>
      </c>
      <c r="E14" s="1550">
        <f>VLOOKUP($B14,历史利润表!$B$3:$Q$101,E$3-2010,FALSE)</f>
        <v>0</v>
      </c>
      <c r="F14" s="1550">
        <f>VLOOKUP($B14,历史利润表!$B$3:$Q$101,F$3-2010,FALSE)</f>
        <v>0</v>
      </c>
      <c r="G14" s="1551">
        <f>假设!G66</f>
        <v>2</v>
      </c>
      <c r="H14" s="1551">
        <f>假设!H66</f>
        <v>4</v>
      </c>
      <c r="I14" s="1551">
        <f>假设!I66</f>
        <v>6</v>
      </c>
      <c r="J14" s="1551">
        <f>假设!J66</f>
        <v>8</v>
      </c>
      <c r="K14" s="1551">
        <f>假设!K66</f>
        <v>10</v>
      </c>
      <c r="L14" s="2383" t="s">
        <v>2426</v>
      </c>
      <c r="M14" s="1526"/>
      <c r="N14" s="1526"/>
      <c r="O14" s="1526"/>
    </row>
    <row r="15" spans="1:16" ht="18" customHeight="1">
      <c r="A15" s="1469"/>
      <c r="B15" s="1556" t="s">
        <v>45</v>
      </c>
      <c r="C15" s="1550">
        <f t="shared" ref="C15:F15" si="1">C4-C5+C12+C13+C14</f>
        <v>32.219298900399991</v>
      </c>
      <c r="D15" s="1893">
        <f t="shared" si="1"/>
        <v>30.714374477400014</v>
      </c>
      <c r="E15" s="1893">
        <f t="shared" si="1"/>
        <v>36.601739232399858</v>
      </c>
      <c r="F15" s="1893">
        <f t="shared" si="1"/>
        <v>31.398566266399992</v>
      </c>
      <c r="G15" s="1894">
        <f ca="1">G4-G5+G12+G13+G14</f>
        <v>33.528427543914589</v>
      </c>
      <c r="H15" s="1894">
        <f t="shared" ref="H15:K15" ca="1" si="2">H4-H5+H12+H13+H14</f>
        <v>35.738692451987504</v>
      </c>
      <c r="I15" s="1894">
        <f t="shared" ca="1" si="2"/>
        <v>38.699763830357668</v>
      </c>
      <c r="J15" s="1894">
        <f t="shared" ca="1" si="2"/>
        <v>41.576879361125371</v>
      </c>
      <c r="K15" s="1894">
        <f t="shared" ca="1" si="2"/>
        <v>45.071762774736513</v>
      </c>
      <c r="L15" s="1552"/>
      <c r="M15" s="1491"/>
      <c r="N15" s="1526"/>
      <c r="O15" s="1526"/>
    </row>
    <row r="16" spans="1:16" ht="18" customHeight="1">
      <c r="A16" s="1469"/>
      <c r="B16" s="1554" t="s">
        <v>404</v>
      </c>
      <c r="C16" s="1550">
        <f>VLOOKUP($B16,历史利润表!$B$3:$Q$101,C$3-2010,FALSE)</f>
        <v>2.1129386902</v>
      </c>
      <c r="D16" s="1550">
        <f>VLOOKUP($B16,历史利润表!$B$3:$Q$101,D$3-2010,FALSE)</f>
        <v>1.1393394945999999</v>
      </c>
      <c r="E16" s="1550">
        <f>VLOOKUP($B16,历史利润表!$B$3:$Q$101,E$3-2010,FALSE)</f>
        <v>2.5897836813999997</v>
      </c>
      <c r="F16" s="1550">
        <f>VLOOKUP($B16,历史利润表!$B$3:$Q$101,F$3-2010,FALSE)</f>
        <v>1.1406059123000001</v>
      </c>
      <c r="G16" s="1551">
        <f>假设!G67</f>
        <v>1.1835</v>
      </c>
      <c r="H16" s="1551">
        <f>假设!H67</f>
        <v>1.1835</v>
      </c>
      <c r="I16" s="1551">
        <f>假设!I67</f>
        <v>1.1835</v>
      </c>
      <c r="J16" s="1551">
        <f>假设!J67</f>
        <v>1.1835</v>
      </c>
      <c r="K16" s="1551">
        <f>假设!K67</f>
        <v>1.1835</v>
      </c>
      <c r="L16" s="1552" t="s">
        <v>779</v>
      </c>
      <c r="M16" s="1491"/>
      <c r="N16" s="1526"/>
      <c r="O16" s="1526"/>
    </row>
    <row r="17" spans="1:15" ht="18" customHeight="1" thickBot="1">
      <c r="A17" s="1469"/>
      <c r="B17" s="1557" t="s">
        <v>405</v>
      </c>
      <c r="C17" s="1558">
        <f>VLOOKUP($B17,历史利润表!$B$3:$Q$101,C$3-2010,FALSE)</f>
        <v>1.1237603653000001</v>
      </c>
      <c r="D17" s="1558">
        <f>VLOOKUP($B17,历史利润表!$B$3:$Q$101,D$3-2010,FALSE)</f>
        <v>2.4446557372999997</v>
      </c>
      <c r="E17" s="1558">
        <f>VLOOKUP($B17,历史利润表!$B$3:$Q$101,E$3-2010,FALSE)</f>
        <v>4.4894937922000002</v>
      </c>
      <c r="F17" s="1558">
        <f>VLOOKUP($B17,历史利润表!$B$3:$Q$101,F$3-2010,FALSE)</f>
        <v>3.3925745897000001</v>
      </c>
      <c r="G17" s="1559">
        <f>假设!G68</f>
        <v>3.3327</v>
      </c>
      <c r="H17" s="1559">
        <f>假设!H68</f>
        <v>3.3327</v>
      </c>
      <c r="I17" s="1559">
        <f>假设!I68</f>
        <v>3.3327</v>
      </c>
      <c r="J17" s="1559">
        <f>假设!J68</f>
        <v>3.3327</v>
      </c>
      <c r="K17" s="1559">
        <f>假设!K68</f>
        <v>3.3327</v>
      </c>
      <c r="L17" s="1560" t="s">
        <v>779</v>
      </c>
      <c r="M17" s="1491"/>
      <c r="N17" s="1526"/>
      <c r="O17" s="1526"/>
    </row>
    <row r="18" spans="1:15" ht="18" customHeight="1">
      <c r="A18" s="1469"/>
      <c r="B18" s="1561" t="s">
        <v>46</v>
      </c>
      <c r="C18" s="1562">
        <f>VLOOKUP($B18,历史利润表!$B$3:$Q$101,C$3-2010,FALSE)</f>
        <v>33.208477225300001</v>
      </c>
      <c r="D18" s="1562">
        <f>VLOOKUP($B18,历史利润表!$B$3:$Q$101,D$3-2010,FALSE)</f>
        <v>29.409058234699998</v>
      </c>
      <c r="E18" s="1562">
        <f>VLOOKUP($B18,历史利润表!$B$3:$Q$101,E$3-2010,FALSE)</f>
        <v>34.702029121599999</v>
      </c>
      <c r="F18" s="1562">
        <f>VLOOKUP($B18,历史利润表!$B$3:$Q$101,F$3-2010,FALSE)</f>
        <v>30.636240490199999</v>
      </c>
      <c r="G18" s="1563">
        <f ca="1">G15+G16-G17</f>
        <v>31.379227543914592</v>
      </c>
      <c r="H18" s="1563">
        <f t="shared" ref="H18:K18" ca="1" si="3">H15+H16-H17</f>
        <v>33.589492451987503</v>
      </c>
      <c r="I18" s="1563">
        <f t="shared" ca="1" si="3"/>
        <v>36.550563830357667</v>
      </c>
      <c r="J18" s="1563">
        <f t="shared" ca="1" si="3"/>
        <v>39.427679361125371</v>
      </c>
      <c r="K18" s="1563">
        <f t="shared" ca="1" si="3"/>
        <v>42.922562774736512</v>
      </c>
      <c r="L18" s="1547"/>
      <c r="M18" s="1491"/>
      <c r="N18" s="1526"/>
    </row>
    <row r="19" spans="1:15" ht="18" customHeight="1">
      <c r="A19" s="1469"/>
      <c r="B19" s="1554" t="s">
        <v>66</v>
      </c>
      <c r="C19" s="1550">
        <f>VLOOKUP($B19,历史利润表!$B$3:$Q$101,C$3-2010,FALSE)</f>
        <v>8.2392040361000003</v>
      </c>
      <c r="D19" s="1550">
        <f>VLOOKUP($B19,历史利润表!$B$3:$Q$101,D$3-2010,FALSE)</f>
        <v>7.1310452111</v>
      </c>
      <c r="E19" s="1550">
        <f>VLOOKUP($B19,历史利润表!$B$3:$Q$101,E$3-2010,FALSE)</f>
        <v>7.9657802373000006</v>
      </c>
      <c r="F19" s="1550">
        <f>VLOOKUP($B19,历史利润表!$B$3:$Q$101,F$3-2010,FALSE)</f>
        <v>7.5816064260999996</v>
      </c>
      <c r="G19" s="1551">
        <f ca="1">IF(G18&lt;0,0,G18*假设!G69)</f>
        <v>7.8448068859786479</v>
      </c>
      <c r="H19" s="1551">
        <f ca="1">IF(H18&lt;0,0,H18*假设!H69)</f>
        <v>8.3973731129968758</v>
      </c>
      <c r="I19" s="1551">
        <f ca="1">IF(I18&lt;0,0,I18*假设!I69)</f>
        <v>9.1376409575894169</v>
      </c>
      <c r="J19" s="1551">
        <f ca="1">IF(J18&lt;0,0,J18*假设!J69)</f>
        <v>9.8569198402813427</v>
      </c>
      <c r="K19" s="1551">
        <f ca="1">IF(K18&lt;0,0,K18*假设!K69)</f>
        <v>10.730640693684128</v>
      </c>
      <c r="L19" s="1552" t="s">
        <v>780</v>
      </c>
      <c r="M19" s="1491"/>
      <c r="N19" s="1526"/>
    </row>
    <row r="20" spans="1:15" ht="18" customHeight="1">
      <c r="A20" s="1469"/>
      <c r="B20" s="1556" t="s">
        <v>47</v>
      </c>
      <c r="C20" s="1550">
        <f>VLOOKUP($B20,历史利润表!$B$3:$Q$101,C$3-2010,FALSE)</f>
        <v>24.969273189199999</v>
      </c>
      <c r="D20" s="1550">
        <f>VLOOKUP($B20,历史利润表!$B$3:$Q$101,D$3-2010,FALSE)</f>
        <v>22.2780130236</v>
      </c>
      <c r="E20" s="1550">
        <f>VLOOKUP($B20,历史利润表!$B$3:$Q$101,E$3-2010,FALSE)</f>
        <v>26.736248884299997</v>
      </c>
      <c r="F20" s="1550">
        <f>VLOOKUP($B20,历史利润表!$B$3:$Q$101,F$3-2010,FALSE)</f>
        <v>23.0546340641</v>
      </c>
      <c r="G20" s="1551">
        <f ca="1">G18-G19</f>
        <v>23.534420657935943</v>
      </c>
      <c r="H20" s="1551">
        <f t="shared" ref="H20:K20" ca="1" si="4">H18-H19</f>
        <v>25.192119338990629</v>
      </c>
      <c r="I20" s="1551">
        <f t="shared" ca="1" si="4"/>
        <v>27.412922872768249</v>
      </c>
      <c r="J20" s="1551">
        <f t="shared" ca="1" si="4"/>
        <v>29.570759520844028</v>
      </c>
      <c r="K20" s="1551">
        <f t="shared" ca="1" si="4"/>
        <v>32.191922081052383</v>
      </c>
      <c r="L20" s="1552"/>
      <c r="M20" s="1491"/>
      <c r="N20" s="1526"/>
    </row>
    <row r="21" spans="1:15" ht="18" customHeight="1">
      <c r="A21" s="1469"/>
      <c r="B21" s="1553" t="s">
        <v>400</v>
      </c>
      <c r="C21" s="1550">
        <f>VLOOKUP($B21,历史利润表!$B$3:$Q$101,C$3-2010,FALSE)</f>
        <v>25.008490129600002</v>
      </c>
      <c r="D21" s="1550">
        <f>VLOOKUP($B21,历史利润表!$B$3:$Q$101,D$3-2010,FALSE)</f>
        <v>22.254057325799998</v>
      </c>
      <c r="E21" s="1550">
        <f>VLOOKUP($B21,历史利润表!$B$3:$Q$101,E$3-2010,FALSE)</f>
        <v>26.721835465100003</v>
      </c>
      <c r="F21" s="1550">
        <f>VLOOKUP($B21,历史利润表!$B$3:$Q$101,F$3-2010,FALSE)</f>
        <v>23.0437169737</v>
      </c>
      <c r="G21" s="1551">
        <f ca="1">G20-G22</f>
        <v>23.522504853411061</v>
      </c>
      <c r="H21" s="1551">
        <f t="shared" ref="H21:K21" ca="1" si="5">H20-H22</f>
        <v>25.17936421856621</v>
      </c>
      <c r="I21" s="1551">
        <f t="shared" ca="1" si="5"/>
        <v>27.399043328624998</v>
      </c>
      <c r="J21" s="1551">
        <f t="shared" ca="1" si="5"/>
        <v>29.555787433992002</v>
      </c>
      <c r="K21" s="1551">
        <f t="shared" ca="1" si="5"/>
        <v>32.175622863137761</v>
      </c>
      <c r="L21" s="1552"/>
      <c r="M21" s="1526"/>
      <c r="N21" s="1526"/>
    </row>
    <row r="22" spans="1:15" ht="18" customHeight="1">
      <c r="A22" s="1469"/>
      <c r="B22" s="1895" t="s">
        <v>349</v>
      </c>
      <c r="C22" s="1896">
        <f>VLOOKUP($B22,历史利润表!$B$3:$Q$101,C$3-2010,FALSE)</f>
        <v>-3.9216940399999997E-2</v>
      </c>
      <c r="D22" s="2111">
        <f>VLOOKUP($B22,历史利润表!$B$3:$Q$101,D$3-2010,FALSE)</f>
        <v>2.3955697799999998E-2</v>
      </c>
      <c r="E22" s="2111">
        <f>VLOOKUP($B22,历史利润表!$B$3:$Q$101,E$3-2010,FALSE)</f>
        <v>1.4413419199999999E-2</v>
      </c>
      <c r="F22" s="2111">
        <f>VLOOKUP($B22,历史利润表!$B$3:$Q$101,F$3-2010,FALSE)</f>
        <v>1.0917090400000001E-2</v>
      </c>
      <c r="G22" s="2112">
        <f ca="1">G20*假设!G70</f>
        <v>1.1915804524883371E-2</v>
      </c>
      <c r="H22" s="2112">
        <f ca="1">H20*假设!H70</f>
        <v>1.2755120424420667E-2</v>
      </c>
      <c r="I22" s="2112">
        <f ca="1">I20*假设!I70</f>
        <v>1.3879544143248901E-2</v>
      </c>
      <c r="J22" s="2112">
        <f ca="1">J20*假设!J70</f>
        <v>1.4972086852025128E-2</v>
      </c>
      <c r="K22" s="2112">
        <f ca="1">K20*假设!K70</f>
        <v>1.6299217914622736E-2</v>
      </c>
      <c r="L22" s="1897"/>
      <c r="M22" s="1526"/>
      <c r="N22" s="1526"/>
    </row>
    <row r="23" spans="1:15">
      <c r="B23" s="1898"/>
      <c r="C23" s="1898"/>
      <c r="D23" s="1898"/>
      <c r="E23" s="1898"/>
      <c r="F23" s="1899"/>
      <c r="G23" s="1899"/>
      <c r="H23" s="1899"/>
      <c r="I23" s="1899"/>
      <c r="J23" s="1899"/>
      <c r="K23" s="1899"/>
      <c r="L23" s="1898"/>
    </row>
    <row r="24" spans="1:15">
      <c r="D24" s="1548">
        <f>D4/C4-1</f>
        <v>1.7162582258139158E-2</v>
      </c>
      <c r="E24" s="1548">
        <f t="shared" ref="E24:K24" si="6">E4/D4-1</f>
        <v>5.2397076053047442E-2</v>
      </c>
      <c r="F24" s="1548">
        <f t="shared" si="6"/>
        <v>3.5165183166347758E-2</v>
      </c>
      <c r="G24" s="1548">
        <f>G4/F4-1</f>
        <v>8.5377516046503121E-3</v>
      </c>
      <c r="H24" s="1548">
        <f t="shared" si="6"/>
        <v>2.8633654686932131E-2</v>
      </c>
      <c r="I24" s="1548">
        <f t="shared" si="6"/>
        <v>2.3893074235870726E-2</v>
      </c>
      <c r="J24" s="1548">
        <f t="shared" si="6"/>
        <v>2.1048636330350812E-2</v>
      </c>
      <c r="K24" s="1548">
        <f t="shared" si="6"/>
        <v>2.1068248430291758E-2</v>
      </c>
    </row>
    <row r="25" spans="1:15" ht="18" customHeight="1">
      <c r="D25" s="1548">
        <f>D5/C5-1</f>
        <v>1.9478460318562707E-2</v>
      </c>
      <c r="E25" s="1548">
        <f t="shared" ref="E25:K25" si="7">E5/D5-1</f>
        <v>4.6051703115828735E-2</v>
      </c>
      <c r="F25" s="1548">
        <f t="shared" si="7"/>
        <v>4.059752438974451E-2</v>
      </c>
      <c r="G25" s="1548">
        <f t="shared" ca="1" si="7"/>
        <v>8.6868322744946269E-3</v>
      </c>
      <c r="H25" s="1548">
        <f t="shared" ca="1" si="7"/>
        <v>2.9453913852699021E-2</v>
      </c>
      <c r="I25" s="1548">
        <f t="shared" ca="1" si="7"/>
        <v>2.3685124793724421E-2</v>
      </c>
      <c r="J25" s="1548">
        <f t="shared" ca="1" si="7"/>
        <v>2.0865389682896307E-2</v>
      </c>
      <c r="K25" s="1548">
        <f t="shared" ca="1" si="7"/>
        <v>2.0242539147808047E-2</v>
      </c>
    </row>
    <row r="26" spans="1:15">
      <c r="B26" s="1370"/>
      <c r="G26" s="1564"/>
      <c r="H26" s="1564"/>
      <c r="I26" s="1564"/>
      <c r="J26" s="1564"/>
      <c r="K26" s="1564"/>
      <c r="L26" s="1565"/>
    </row>
    <row r="27" spans="1:15">
      <c r="B27" s="1370"/>
      <c r="G27" s="1566"/>
      <c r="H27" s="1566"/>
      <c r="I27" s="1566"/>
      <c r="J27" s="1566"/>
      <c r="K27" s="1566"/>
      <c r="L27" s="1567"/>
    </row>
    <row r="28" spans="1:15">
      <c r="F28" s="1526"/>
      <c r="G28" s="1567"/>
      <c r="H28" s="1567"/>
      <c r="I28" s="1567"/>
      <c r="J28" s="1567"/>
      <c r="K28" s="1567"/>
    </row>
    <row r="29" spans="1:15" s="1372" customFormat="1">
      <c r="B29" s="1492"/>
      <c r="C29" s="1492"/>
      <c r="D29" s="1535" t="s">
        <v>1627</v>
      </c>
      <c r="E29" s="1535" t="s">
        <v>1625</v>
      </c>
      <c r="F29" s="1535" t="s">
        <v>1628</v>
      </c>
    </row>
    <row r="30" spans="1:15" s="1372" customFormat="1">
      <c r="B30" s="1492" t="s">
        <v>1626</v>
      </c>
      <c r="C30" s="1492"/>
      <c r="D30" s="1536">
        <f>动因指标和成果指标内部影响分析!F16</f>
        <v>10</v>
      </c>
      <c r="E30" s="1537">
        <f ca="1">国资委考核指标!G5</f>
        <v>0.30373616747300303</v>
      </c>
      <c r="F30" s="1537">
        <f ca="1">国资委考核指标!G23</f>
        <v>-24.199425139865632</v>
      </c>
    </row>
    <row r="31" spans="1:15" s="1372" customFormat="1">
      <c r="B31" s="1542">
        <f ca="1">G18</f>
        <v>31.379227543914592</v>
      </c>
      <c r="C31" s="1568">
        <v>23.449570950126962</v>
      </c>
      <c r="D31" s="1537">
        <f>C31+D30</f>
        <v>33.449570950126962</v>
      </c>
      <c r="E31" s="1537">
        <f t="dataTable" ref="E31:F31" dt2D="0" dtr="0" r1="G18" ca="1"/>
        <v>0.30349278295940141</v>
      </c>
      <c r="F31" s="1537">
        <v>-22.685400061546844</v>
      </c>
      <c r="G31" s="1399"/>
      <c r="H31" s="1399"/>
      <c r="I31" s="1399"/>
      <c r="J31" s="1399"/>
      <c r="K31" s="1399"/>
    </row>
    <row r="32" spans="1:15" s="1372" customFormat="1"/>
    <row r="33" s="1372" customFormat="1"/>
    <row r="34" s="1372" customFormat="1"/>
    <row r="35" s="1372" customFormat="1"/>
    <row r="36" s="1372" customFormat="1"/>
    <row r="37" s="1372" customFormat="1"/>
    <row r="38" s="1372" customFormat="1"/>
    <row r="39" s="1372" customFormat="1"/>
    <row r="40" s="1372" customFormat="1"/>
    <row r="41" s="1372" customFormat="1"/>
    <row r="42" s="1372" customFormat="1"/>
    <row r="43" s="1372" customFormat="1"/>
    <row r="44" s="1372" customFormat="1"/>
    <row r="45" s="1372" customFormat="1"/>
    <row r="46" s="1372" customFormat="1"/>
    <row r="47" s="1372" customFormat="1"/>
    <row r="48" s="1372" customFormat="1"/>
    <row r="55" spans="7:11">
      <c r="G55" s="1569">
        <f ca="1">F55+(损益表!G21+0)</f>
        <v>23.522504853411061</v>
      </c>
      <c r="H55" s="1569"/>
      <c r="I55" s="1569"/>
      <c r="J55" s="1569"/>
      <c r="K55" s="1569"/>
    </row>
  </sheetData>
  <mergeCells count="1">
    <mergeCell ref="C2:F2"/>
  </mergeCells>
  <phoneticPr fontId="20" type="noConversion"/>
  <printOptions horizontalCentered="1"/>
  <pageMargins left="0.70866141732283472" right="0.70866141732283472" top="0.74803149606299213" bottom="0.74803149606299213" header="0.31496062992125984" footer="0.31496062992125984"/>
  <pageSetup paperSize="9" scale="68" orientation="landscape"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3">
    <tabColor rgb="FFC00000"/>
    <pageSetUpPr fitToPage="1"/>
  </sheetPr>
  <dimension ref="A1:AB105"/>
  <sheetViews>
    <sheetView showGridLines="0" zoomScale="90" zoomScaleNormal="90" zoomScalePageLayoutView="70" workbookViewId="0">
      <pane xSplit="2" ySplit="3" topLeftCell="C58" activePane="bottomRight" state="frozen"/>
      <selection activeCell="H43" sqref="H43"/>
      <selection pane="topRight" activeCell="H43" sqref="H43"/>
      <selection pane="bottomLeft" activeCell="H43" sqref="H43"/>
      <selection pane="bottomRight" activeCell="G65" sqref="G65"/>
    </sheetView>
  </sheetViews>
  <sheetFormatPr defaultColWidth="8.77734375" defaultRowHeight="15" outlineLevelRow="1" outlineLevelCol="1"/>
  <cols>
    <col min="1" max="1" width="8.44140625" style="1373" customWidth="1"/>
    <col min="2" max="2" width="28.109375" style="1373" customWidth="1"/>
    <col min="3" max="6" width="13.77734375" style="1373" bestFit="1" customWidth="1"/>
    <col min="7" max="7" width="15.6640625" style="1373" bestFit="1" customWidth="1"/>
    <col min="8" max="11" width="15.6640625" style="1373" customWidth="1"/>
    <col min="12" max="12" width="31.6640625" style="1373" customWidth="1" outlineLevel="1"/>
    <col min="13" max="13" width="8.77734375" style="1373"/>
    <col min="14" max="14" width="9.88671875" style="1373" bestFit="1" customWidth="1"/>
    <col min="15" max="15" width="8.77734375" style="1373"/>
    <col min="16" max="16" width="12.109375" style="1373" bestFit="1" customWidth="1"/>
    <col min="17" max="17" width="8.77734375" style="1373"/>
    <col min="18" max="18" width="14.44140625" style="1373" bestFit="1" customWidth="1"/>
    <col min="19" max="21" width="8.77734375" style="1373"/>
    <col min="22" max="22" width="14.44140625" style="1373" bestFit="1" customWidth="1"/>
    <col min="23" max="16384" width="8.77734375" style="1373"/>
  </cols>
  <sheetData>
    <row r="1" spans="1:12">
      <c r="A1" s="1440"/>
      <c r="B1" s="1441" t="s">
        <v>689</v>
      </c>
      <c r="C1" s="1465"/>
      <c r="D1" s="1440"/>
      <c r="E1" s="1440"/>
      <c r="F1" s="1440"/>
      <c r="G1" s="1466" t="str">
        <f>"当前模式："&amp;测算模式</f>
        <v>当前模式：1.实际收入+实际成本</v>
      </c>
      <c r="H1" s="1864"/>
      <c r="I1" s="1864"/>
      <c r="J1" s="1864"/>
      <c r="K1" s="1864"/>
      <c r="L1" s="1440"/>
    </row>
    <row r="2" spans="1:12" ht="15.6">
      <c r="A2" s="1442"/>
      <c r="B2" s="1194"/>
      <c r="C2" s="2494" t="s">
        <v>30</v>
      </c>
      <c r="D2" s="2494"/>
      <c r="E2" s="2494"/>
      <c r="F2" s="2494"/>
      <c r="G2" s="1443" t="s">
        <v>31</v>
      </c>
      <c r="H2" s="1443"/>
      <c r="I2" s="1443"/>
      <c r="J2" s="1443"/>
      <c r="K2" s="1443"/>
      <c r="L2" s="1190" t="s">
        <v>337</v>
      </c>
    </row>
    <row r="3" spans="1:12" s="2134" customFormat="1" ht="15.6">
      <c r="A3" s="2129"/>
      <c r="B3" s="2130" t="s">
        <v>332</v>
      </c>
      <c r="C3" s="2131">
        <f>G3-4</f>
        <v>2014</v>
      </c>
      <c r="D3" s="2131">
        <f>G3-3</f>
        <v>2015</v>
      </c>
      <c r="E3" s="2131">
        <f>G3-2</f>
        <v>2016</v>
      </c>
      <c r="F3" s="2131">
        <f>G3-1</f>
        <v>2017</v>
      </c>
      <c r="G3" s="2132">
        <f>测算年份</f>
        <v>2018</v>
      </c>
      <c r="H3" s="2132">
        <f>假设!H3</f>
        <v>2019</v>
      </c>
      <c r="I3" s="2132">
        <f>假设!I3</f>
        <v>2020</v>
      </c>
      <c r="J3" s="2132">
        <f>假设!J3</f>
        <v>2021</v>
      </c>
      <c r="K3" s="2132">
        <f>假设!K3</f>
        <v>2022</v>
      </c>
      <c r="L3" s="2133" t="s">
        <v>179</v>
      </c>
    </row>
    <row r="4" spans="1:12" s="1370" customFormat="1" ht="15.6">
      <c r="A4" s="1469"/>
      <c r="B4" s="1109" t="s">
        <v>389</v>
      </c>
      <c r="C4" s="1945"/>
      <c r="D4" s="1945"/>
      <c r="E4" s="1945"/>
      <c r="F4" s="1945"/>
      <c r="G4" s="1946"/>
      <c r="H4" s="1946"/>
      <c r="I4" s="1494"/>
      <c r="J4" s="1494"/>
      <c r="K4" s="1494"/>
      <c r="L4" s="1495"/>
    </row>
    <row r="5" spans="1:12" s="1370" customFormat="1" ht="15.6">
      <c r="A5" s="1469"/>
      <c r="B5" s="1480" t="s">
        <v>384</v>
      </c>
      <c r="C5" s="1496"/>
      <c r="D5" s="1496"/>
      <c r="E5" s="1496"/>
      <c r="F5" s="1496"/>
      <c r="G5" s="1494"/>
      <c r="H5" s="1494"/>
      <c r="I5" s="1494"/>
      <c r="J5" s="1494"/>
      <c r="K5" s="1494"/>
      <c r="L5" s="1495"/>
    </row>
    <row r="6" spans="1:12">
      <c r="A6" s="1469"/>
      <c r="B6" s="1472" t="s">
        <v>331</v>
      </c>
      <c r="C6" s="1473">
        <f>VLOOKUP($B6,历史资产负债表!$B$3:$P$147,C$3-2010,FALSE)</f>
        <v>89.522596727199996</v>
      </c>
      <c r="D6" s="1473">
        <f>VLOOKUP($B6,历史资产负债表!$B$3:$P$147,D$3-2010,FALSE)</f>
        <v>107.65935087850001</v>
      </c>
      <c r="E6" s="1473">
        <f>VLOOKUP($B6,历史资产负债表!$B$3:$P$147,E$3-2010,FALSE)</f>
        <v>126.23381364069999</v>
      </c>
      <c r="F6" s="1473">
        <f>VLOOKUP($B6,历史资产负债表!$B$3:$P$147,F$3-2010,FALSE)</f>
        <v>162.28785960479999</v>
      </c>
      <c r="G6" s="1488">
        <f ca="1">现金流量表!G47</f>
        <v>219.77373745139934</v>
      </c>
      <c r="H6" s="1488">
        <f ca="1">现金流量表!H47</f>
        <v>247.18981227438232</v>
      </c>
      <c r="I6" s="1488">
        <f ca="1">现金流量表!I47</f>
        <v>273.9018657169272</v>
      </c>
      <c r="J6" s="1488">
        <f ca="1">现金流量表!J47</f>
        <v>291.62572047270271</v>
      </c>
      <c r="K6" s="1488">
        <f ca="1">现金流量表!K47</f>
        <v>303.60422352136425</v>
      </c>
      <c r="L6" s="1370" t="s">
        <v>401</v>
      </c>
    </row>
    <row r="7" spans="1:12">
      <c r="A7" s="1469"/>
      <c r="B7" s="1497" t="s">
        <v>336</v>
      </c>
      <c r="C7" s="1473">
        <f>VLOOKUP($B7,历史资产负债表!$B$3:$P$147,C$3-2010,FALSE)</f>
        <v>5.3954805315000005</v>
      </c>
      <c r="D7" s="1473">
        <f>VLOOKUP($B7,历史资产负债表!$B$3:$P$147,D$3-2010,FALSE)</f>
        <v>3.4855679111</v>
      </c>
      <c r="E7" s="1473">
        <f>VLOOKUP($B7,历史资产负债表!$B$3:$P$147,E$3-2010,FALSE)</f>
        <v>4.2035258193999994</v>
      </c>
      <c r="F7" s="1473">
        <f>VLOOKUP($B7,历史资产负债表!$B$3:$P$147,F$3-2010,FALSE)</f>
        <v>4.7360659083999996</v>
      </c>
      <c r="G7" s="1488">
        <f>假设!G74*损益表!G4</f>
        <v>4.7765012627091714</v>
      </c>
      <c r="H7" s="1488">
        <f>假设!H74*损益表!H4</f>
        <v>4.9132699504772814</v>
      </c>
      <c r="I7" s="1488">
        <f>假设!I74*损益表!I4</f>
        <v>5.0306630741449085</v>
      </c>
      <c r="J7" s="1488">
        <f>假设!J74*损益表!J4</f>
        <v>5.1365516716931099</v>
      </c>
      <c r="K7" s="1488">
        <f>假设!K74*损益表!K4</f>
        <v>5.2447698183873701</v>
      </c>
      <c r="L7" s="1370" t="s">
        <v>781</v>
      </c>
    </row>
    <row r="8" spans="1:12">
      <c r="A8" s="1469"/>
      <c r="B8" s="1497" t="s">
        <v>160</v>
      </c>
      <c r="C8" s="1473">
        <f>VLOOKUP($B8,历史资产负债表!$B$3:$P$147,C$3-2010,FALSE)</f>
        <v>3.7662921479000002</v>
      </c>
      <c r="D8" s="1473">
        <f>VLOOKUP($B8,历史资产负债表!$B$3:$P$147,D$3-2010,FALSE)</f>
        <v>17.036731602</v>
      </c>
      <c r="E8" s="1473">
        <f>VLOOKUP($B8,历史资产负债表!$B$3:$P$147,E$3-2010,FALSE)</f>
        <v>2.3471658267</v>
      </c>
      <c r="F8" s="1473">
        <f>VLOOKUP($B8,历史资产负债表!$B$3:$P$147,F$3-2010,FALSE)</f>
        <v>2.6679724946999999</v>
      </c>
      <c r="G8" s="1488">
        <f>假设!G78*固定资产!G6</f>
        <v>2.7016746359372865</v>
      </c>
      <c r="H8" s="1488">
        <f>假设!H78*固定资产!H6</f>
        <v>2.8637751140935244</v>
      </c>
      <c r="I8" s="1488">
        <f>假设!I78*固定资产!I6</f>
        <v>3.0356016209391359</v>
      </c>
      <c r="J8" s="1488">
        <f>假设!J78*固定资产!J6</f>
        <v>3.217737718195484</v>
      </c>
      <c r="K8" s="1488">
        <f>假设!K78*固定资产!K6</f>
        <v>3.410801981287213</v>
      </c>
      <c r="L8" s="1370" t="s">
        <v>782</v>
      </c>
    </row>
    <row r="9" spans="1:12">
      <c r="A9" s="1469"/>
      <c r="B9" s="1497" t="s">
        <v>9</v>
      </c>
      <c r="C9" s="1473">
        <f>VLOOKUP($B9,历史资产负债表!$B$3:$P$147,C$3-2010,FALSE)</f>
        <v>32.228979067099999</v>
      </c>
      <c r="D9" s="1473">
        <f>VLOOKUP($B9,历史资产负债表!$B$3:$P$147,D$3-2010,FALSE)</f>
        <v>36.706841884299998</v>
      </c>
      <c r="E9" s="1473">
        <f>VLOOKUP($B9,历史资产负债表!$B$3:$P$147,E$3-2010,FALSE)</f>
        <v>56.0319517549</v>
      </c>
      <c r="F9" s="1473">
        <f>VLOOKUP($B9,历史资产负债表!$B$3:$P$147,F$3-2010,FALSE)</f>
        <v>30.355245955800001</v>
      </c>
      <c r="G9" s="1488">
        <f>假设!G80</f>
        <v>24.709700000000002</v>
      </c>
      <c r="H9" s="1488">
        <f>假设!H80</f>
        <v>27.532472977899999</v>
      </c>
      <c r="I9" s="1488">
        <f>假设!I80</f>
        <v>26.121086488949999</v>
      </c>
      <c r="J9" s="1488">
        <f>假设!J80</f>
        <v>26.826779733424999</v>
      </c>
      <c r="K9" s="1488">
        <f>假设!K80</f>
        <v>26.473933111187499</v>
      </c>
      <c r="L9" s="1370"/>
    </row>
    <row r="10" spans="1:12">
      <c r="A10" s="1469"/>
      <c r="B10" s="1497" t="s">
        <v>8</v>
      </c>
      <c r="C10" s="1473">
        <f>VLOOKUP($B10,历史资产负债表!$B$3:$P$147,C$3-2010,FALSE)</f>
        <v>6.6785011347000003</v>
      </c>
      <c r="D10" s="1473">
        <f>VLOOKUP($B10,历史资产负债表!$B$3:$P$147,D$3-2010,FALSE)</f>
        <v>5.1855814192</v>
      </c>
      <c r="E10" s="1473">
        <f>VLOOKUP($B10,历史资产负债表!$B$3:$P$147,E$3-2010,FALSE)</f>
        <v>4.6764850181000002</v>
      </c>
      <c r="F10" s="1473">
        <f>VLOOKUP($B10,历史资产负债表!$B$3:$P$147,F$3-2010,FALSE)</f>
        <v>4.0062520119</v>
      </c>
      <c r="G10" s="1488">
        <f>假设!G76*实际收入!G21</f>
        <v>4.2907824513775354</v>
      </c>
      <c r="H10" s="1488">
        <f>假设!H76*实际收入!H21</f>
        <v>4.3980520126619735</v>
      </c>
      <c r="I10" s="1488">
        <f>假设!I76*实际收入!I21</f>
        <v>4.5080033129785217</v>
      </c>
      <c r="J10" s="1488">
        <f>假设!J76*实际收入!J21</f>
        <v>4.6207033958029848</v>
      </c>
      <c r="K10" s="1488">
        <f>假设!K76*实际收入!K21</f>
        <v>4.7362209806980591</v>
      </c>
      <c r="L10" s="1854" t="s">
        <v>2191</v>
      </c>
    </row>
    <row r="11" spans="1:12">
      <c r="A11" s="1469"/>
      <c r="B11" s="2163" t="s">
        <v>1944</v>
      </c>
      <c r="C11" s="1473">
        <f>VLOOKUP($B11,历史资产负债表!$B$3:$P$147,C$3-2010,FALSE)</f>
        <v>0</v>
      </c>
      <c r="D11" s="1473">
        <f>VLOOKUP($B11,历史资产负债表!$B$3:$P$147,D$3-2010,FALSE)</f>
        <v>0</v>
      </c>
      <c r="E11" s="1473">
        <f>VLOOKUP($B11,历史资产负债表!$B$3:$P$147,E$3-2010,FALSE)</f>
        <v>2</v>
      </c>
      <c r="F11" s="1473">
        <f>VLOOKUP($B11,历史资产负债表!$B$3:$P$147,F$3-2010,FALSE)</f>
        <v>29</v>
      </c>
      <c r="G11" s="1488">
        <f>F11</f>
        <v>29</v>
      </c>
      <c r="H11" s="1488">
        <f t="shared" ref="H11:K11" si="0">G11</f>
        <v>29</v>
      </c>
      <c r="I11" s="1488">
        <f t="shared" si="0"/>
        <v>29</v>
      </c>
      <c r="J11" s="1488">
        <f t="shared" si="0"/>
        <v>29</v>
      </c>
      <c r="K11" s="1488">
        <f t="shared" si="0"/>
        <v>29</v>
      </c>
      <c r="L11" s="1854"/>
    </row>
    <row r="12" spans="1:12">
      <c r="A12" s="1469"/>
      <c r="B12" s="1497" t="s">
        <v>161</v>
      </c>
      <c r="C12" s="1473">
        <f>VLOOKUP($B12,历史资产负债表!$B$3:$P$147,C$3-2010,FALSE)</f>
        <v>0</v>
      </c>
      <c r="D12" s="1473">
        <f>VLOOKUP($B12,历史资产负债表!$B$3:$P$147,D$3-2010,FALSE)</f>
        <v>0</v>
      </c>
      <c r="E12" s="1473">
        <f>VLOOKUP($B12,历史资产负债表!$B$3:$P$147,E$3-2010,FALSE)</f>
        <v>0.36885559070000001</v>
      </c>
      <c r="F12" s="1473">
        <f>VLOOKUP($B12,历史资产负债表!$B$3:$P$147,F$3-2010,FALSE)</f>
        <v>0.34329129609999998</v>
      </c>
      <c r="G12" s="1488">
        <f>假设!G81</f>
        <v>0.34329129609999998</v>
      </c>
      <c r="H12" s="1488">
        <f>假设!H81</f>
        <v>0.34329129609999998</v>
      </c>
      <c r="I12" s="1488">
        <f>假设!I81</f>
        <v>0.34329129609999998</v>
      </c>
      <c r="J12" s="1488">
        <f>假设!J81</f>
        <v>0.34329129609999998</v>
      </c>
      <c r="K12" s="1488">
        <f>假设!K81</f>
        <v>0.34329129609999998</v>
      </c>
      <c r="L12" s="1370"/>
    </row>
    <row r="13" spans="1:12" ht="15.6">
      <c r="A13" s="2148">
        <f>F13-SUM(F6:F12)</f>
        <v>0</v>
      </c>
      <c r="B13" s="1498" t="s">
        <v>315</v>
      </c>
      <c r="C13" s="1473">
        <f>VLOOKUP($B13,历史资产负债表!$B$3:$P$147,C$3-2010,FALSE)</f>
        <v>137.5918496084</v>
      </c>
      <c r="D13" s="1473">
        <f>VLOOKUP($B13,历史资产负债表!$B$3:$P$147,D$3-2010,FALSE)</f>
        <v>170.0740736951</v>
      </c>
      <c r="E13" s="1473">
        <f>VLOOKUP($B13,历史资产负债表!$B$3:$P$147,E$3-2010,FALSE)</f>
        <v>195.86179765049999</v>
      </c>
      <c r="F13" s="1473">
        <f>VLOOKUP($B13,历史资产负债表!$B$3:$P$147,F$3-2010,FALSE)</f>
        <v>233.39668727169999</v>
      </c>
      <c r="G13" s="1488">
        <f ca="1">SUM(G6:G12)</f>
        <v>285.5956870975233</v>
      </c>
      <c r="H13" s="1488">
        <f ca="1">SUM(H6:H12)</f>
        <v>316.24067362561516</v>
      </c>
      <c r="I13" s="1488">
        <f ca="1">SUM(I6:I12)</f>
        <v>341.94051151003976</v>
      </c>
      <c r="J13" s="1488">
        <f ca="1">SUM(J6:J12)</f>
        <v>360.7707842879193</v>
      </c>
      <c r="K13" s="1488">
        <f ca="1">SUM(K6:K12)</f>
        <v>372.8132407090244</v>
      </c>
      <c r="L13" s="1370"/>
    </row>
    <row r="14" spans="1:12" ht="15.6">
      <c r="A14" s="1469"/>
      <c r="B14" s="1499" t="s">
        <v>385</v>
      </c>
      <c r="C14" s="1473"/>
      <c r="D14" s="1473"/>
      <c r="E14" s="1473"/>
      <c r="F14" s="1473"/>
      <c r="G14" s="1488"/>
      <c r="H14" s="1488"/>
      <c r="I14" s="1488"/>
      <c r="J14" s="1488"/>
      <c r="K14" s="1488"/>
      <c r="L14" s="1370"/>
    </row>
    <row r="15" spans="1:12">
      <c r="A15" s="1469"/>
      <c r="B15" s="1500" t="s">
        <v>132</v>
      </c>
      <c r="C15" s="1473">
        <f>VLOOKUP($B15,历史资产负债表!$B$3:$P$147,C$3-2010,FALSE)</f>
        <v>5.7030332894000004</v>
      </c>
      <c r="D15" s="1473">
        <f>VLOOKUP($B15,历史资产负债表!$B$3:$P$147,D$3-2010,FALSE)</f>
        <v>5.9390722779999994</v>
      </c>
      <c r="E15" s="1473">
        <f>VLOOKUP($B15,历史资产负债表!$B$3:$P$147,E$3-2010,FALSE)</f>
        <v>6.8351227810999999</v>
      </c>
      <c r="F15" s="1473">
        <f>VLOOKUP($B15,历史资产负债表!$B$3:$P$147,F$3-2010,FALSE)</f>
        <v>7.0235327811000001</v>
      </c>
      <c r="G15" s="1488">
        <f>假设!G82</f>
        <v>7.3066723538233935</v>
      </c>
      <c r="H15" s="1488">
        <f>假设!H82</f>
        <v>7.6012261279381033</v>
      </c>
      <c r="I15" s="1488">
        <f>假设!I82</f>
        <v>7.9076542439753457</v>
      </c>
      <c r="J15" s="1488">
        <f>假设!J82</f>
        <v>8.226435392104742</v>
      </c>
      <c r="K15" s="1488">
        <f>假设!K82</f>
        <v>8.5580675599256129</v>
      </c>
      <c r="L15" s="2106" t="s">
        <v>2318</v>
      </c>
    </row>
    <row r="16" spans="1:12">
      <c r="A16" s="1469"/>
      <c r="B16" s="1500" t="s">
        <v>27</v>
      </c>
      <c r="C16" s="1473">
        <f>VLOOKUP($B16,历史资产负债表!$B$3:$P$147,C$3-2010,FALSE)</f>
        <v>40</v>
      </c>
      <c r="D16" s="1473">
        <f>VLOOKUP($B16,历史资产负债表!$B$3:$P$147,D$3-2010,FALSE)</f>
        <v>38</v>
      </c>
      <c r="E16" s="1473">
        <f>VLOOKUP($B16,历史资产负债表!$B$3:$P$147,E$3-2010,FALSE)</f>
        <v>29</v>
      </c>
      <c r="F16" s="1473">
        <f>VLOOKUP($B16,历史资产负债表!$B$3:$P$147,F$3-2010,FALSE)</f>
        <v>2</v>
      </c>
      <c r="G16" s="1488">
        <f>假设!G83</f>
        <v>2.0410044917094154</v>
      </c>
      <c r="H16" s="1488">
        <f>假设!H83</f>
        <v>2.1022346264606981</v>
      </c>
      <c r="I16" s="1488">
        <f>假设!I83</f>
        <v>2.1547904921222156</v>
      </c>
      <c r="J16" s="1488">
        <f>假设!J83</f>
        <v>2.2021958829489043</v>
      </c>
      <c r="K16" s="1488">
        <f>假设!K83</f>
        <v>2.2506441923737803</v>
      </c>
      <c r="L16" s="1370"/>
    </row>
    <row r="17" spans="1:12">
      <c r="A17" s="1469"/>
      <c r="B17" s="1500" t="s">
        <v>99</v>
      </c>
      <c r="C17" s="1473">
        <f>VLOOKUP($B17,历史资产负债表!$B$3:$P$147,C$3-2010,FALSE)</f>
        <v>18.805424873699998</v>
      </c>
      <c r="D17" s="1473">
        <f>VLOOKUP($B17,历史资产负债表!$B$3:$P$147,D$3-2010,FALSE)</f>
        <v>19.846321312499999</v>
      </c>
      <c r="E17" s="1473">
        <f>VLOOKUP($B17,历史资产负债表!$B$3:$P$147,E$3-2010,FALSE)</f>
        <v>20.902917016</v>
      </c>
      <c r="F17" s="1473">
        <f>VLOOKUP($B17,历史资产负债表!$B$3:$P$147,F$3-2010,FALSE)</f>
        <v>19.554463674400001</v>
      </c>
      <c r="G17" s="1488">
        <f>F17*(1+假设!G62)-现金流量表!G26</f>
        <v>20.342762478173448</v>
      </c>
      <c r="H17" s="1488">
        <f>G17*(1+假设!H62)-现金流量表!H26</f>
        <v>21.162839959919239</v>
      </c>
      <c r="I17" s="1488">
        <f>H17*(1+假设!I62)-现金流量表!I26</f>
        <v>22.015977213010643</v>
      </c>
      <c r="J17" s="1488">
        <f>I17*(1+假设!J62)-现金流量表!J26</f>
        <v>22.903506975519065</v>
      </c>
      <c r="K17" s="1488">
        <f>J17*(1+假设!K62)-现金流量表!K26</f>
        <v>23.826815712165992</v>
      </c>
      <c r="L17" s="1370" t="s">
        <v>783</v>
      </c>
    </row>
    <row r="18" spans="1:12">
      <c r="A18" s="1469"/>
      <c r="B18" s="2164" t="s">
        <v>2319</v>
      </c>
      <c r="C18" s="1473">
        <f>VLOOKUP($B18,历史资产负债表!$B$3:$P$147,C$3-2010,FALSE)</f>
        <v>1.0950547556999999</v>
      </c>
      <c r="D18" s="1473">
        <f>VLOOKUP($B18,历史资产负债表!$B$3:$P$147,D$3-2010,FALSE)</f>
        <v>0.98421689180000005</v>
      </c>
      <c r="E18" s="1473">
        <f>VLOOKUP($B18,历史资产负债表!$B$3:$P$147,E$3-2010,FALSE)</f>
        <v>0.89942380919999998</v>
      </c>
      <c r="F18" s="1473">
        <f>VLOOKUP($B18,历史资产负债表!$B$3:$P$147,F$3-2010,FALSE)</f>
        <v>0.81490690060000004</v>
      </c>
      <c r="G18" s="2147">
        <f>F18</f>
        <v>0.81490690060000004</v>
      </c>
      <c r="H18" s="2147">
        <f t="shared" ref="H18:K18" si="1">G18</f>
        <v>0.81490690060000004</v>
      </c>
      <c r="I18" s="2147">
        <f t="shared" si="1"/>
        <v>0.81490690060000004</v>
      </c>
      <c r="J18" s="2147">
        <f t="shared" si="1"/>
        <v>0.81490690060000004</v>
      </c>
      <c r="K18" s="2147">
        <f t="shared" si="1"/>
        <v>0.81490690060000004</v>
      </c>
      <c r="L18" s="1370"/>
    </row>
    <row r="19" spans="1:12">
      <c r="A19" s="1469"/>
      <c r="B19" s="1500" t="s">
        <v>338</v>
      </c>
      <c r="C19" s="1473">
        <f>VLOOKUP($B19,历史资产负债表!$B$3:$P$147,C$3-2010,FALSE)</f>
        <v>2410.1879499509</v>
      </c>
      <c r="D19" s="1473">
        <f>VLOOKUP($B19,历史资产负债表!$B$3:$P$147,D$3-2010,FALSE)</f>
        <v>2607.7860514785002</v>
      </c>
      <c r="E19" s="1473">
        <f>VLOOKUP($B19,历史资产负债表!$B$3:$P$147,E$3-2010,FALSE)</f>
        <v>2895.7713315095002</v>
      </c>
      <c r="F19" s="1473">
        <f>VLOOKUP($B19,历史资产负债表!$B$3:$P$147,F$3-2010,FALSE)</f>
        <v>2985.2999820478999</v>
      </c>
      <c r="G19" s="1488">
        <f ca="1">固定资产!G5</f>
        <v>3186.0830323173905</v>
      </c>
      <c r="H19" s="1488">
        <f ca="1">固定资产!H5</f>
        <v>3335.1700718795864</v>
      </c>
      <c r="I19" s="1488">
        <f ca="1">固定资产!I5</f>
        <v>3480.6857898340531</v>
      </c>
      <c r="J19" s="1488">
        <f ca="1">固定资产!J5</f>
        <v>3632.6600365589102</v>
      </c>
      <c r="K19" s="1488">
        <f ca="1">固定资产!K5</f>
        <v>3793.5279952428505</v>
      </c>
      <c r="L19" s="1370">
        <v>-2.79611650012157E-3</v>
      </c>
    </row>
    <row r="20" spans="1:12">
      <c r="A20" s="1469"/>
      <c r="B20" s="1500" t="s">
        <v>1269</v>
      </c>
      <c r="C20" s="1473">
        <f>VLOOKUP($B20,历史资产负债表!$B$3:$P$147,C$3-2010,FALSE)</f>
        <v>1212.7171050228999</v>
      </c>
      <c r="D20" s="1473">
        <f>VLOOKUP($B20,历史资产负债表!$B$3:$P$147,D$3-2010,FALSE)</f>
        <v>1337.9460916466999</v>
      </c>
      <c r="E20" s="1473">
        <f>VLOOKUP($B20,历史资产负债表!$B$3:$P$147,E$3-2010,FALSE)</f>
        <v>1464.9090454992001</v>
      </c>
      <c r="F20" s="1473">
        <f>VLOOKUP($B20,历史资产负债表!$B$3:$P$147,F$3-2010,FALSE)</f>
        <v>1607.5122100370002</v>
      </c>
      <c r="G20" s="1488">
        <f ca="1">固定资产!G14</f>
        <v>1748.1864574411106</v>
      </c>
      <c r="H20" s="1488">
        <f ca="1">固定资产!H14</f>
        <v>1893.0326647401339</v>
      </c>
      <c r="I20" s="1488">
        <f ca="1">固定资产!I14</f>
        <v>2040.0845872860289</v>
      </c>
      <c r="J20" s="1488">
        <f ca="1">固定资产!J14</f>
        <v>2188.5408546394574</v>
      </c>
      <c r="K20" s="1488">
        <f ca="1">固定资产!K14</f>
        <v>2337.7309747053719</v>
      </c>
      <c r="L20" s="1370"/>
    </row>
    <row r="21" spans="1:12">
      <c r="A21" s="1469"/>
      <c r="B21" s="1500" t="s">
        <v>24</v>
      </c>
      <c r="C21" s="1473">
        <f>VLOOKUP($B21,历史资产负债表!$B$3:$P$147,C$3-2010,FALSE)</f>
        <v>1197.4708449280001</v>
      </c>
      <c r="D21" s="1473">
        <f>VLOOKUP($B21,历史资产负债表!$B$3:$P$147,D$3-2010,FALSE)</f>
        <v>1269.8399598317999</v>
      </c>
      <c r="E21" s="1473">
        <f>VLOOKUP($B21,历史资产负债表!$B$3:$P$147,E$3-2010,FALSE)</f>
        <v>1430.8622860103001</v>
      </c>
      <c r="F21" s="1473">
        <f>VLOOKUP($B21,历史资产负债表!$B$3:$P$147,F$3-2010,FALSE)</f>
        <v>1377.7877720109</v>
      </c>
      <c r="G21" s="1488">
        <f ca="1">G19-G20</f>
        <v>1437.8965748762798</v>
      </c>
      <c r="H21" s="1488">
        <f ca="1">H19-H20</f>
        <v>1442.1374071394525</v>
      </c>
      <c r="I21" s="1488">
        <f ca="1">I19-I20</f>
        <v>1440.6012025480243</v>
      </c>
      <c r="J21" s="1488">
        <f ca="1">J19-J20</f>
        <v>1444.1191819194528</v>
      </c>
      <c r="K21" s="1488">
        <f ca="1">K19-K20</f>
        <v>1455.7970205374786</v>
      </c>
      <c r="L21" s="1370"/>
    </row>
    <row r="22" spans="1:12">
      <c r="A22" s="1469"/>
      <c r="B22" s="1500" t="s">
        <v>133</v>
      </c>
      <c r="C22" s="1473">
        <f>VLOOKUP($B22,历史资产负债表!$B$3:$P$147,C$3-2010,FALSE)</f>
        <v>0.13129785250000001</v>
      </c>
      <c r="D22" s="1473">
        <f>VLOOKUP($B22,历史资产负债表!$B$3:$P$147,D$3-2010,FALSE)</f>
        <v>0.13129785250000001</v>
      </c>
      <c r="E22" s="1473">
        <f>VLOOKUP($B22,历史资产负债表!$B$3:$P$147,E$3-2010,FALSE)</f>
        <v>0.13129785250000001</v>
      </c>
      <c r="F22" s="1473">
        <f>VLOOKUP($B22,历史资产负债表!$B$3:$P$147,F$3-2010,FALSE)</f>
        <v>0.13129785250000001</v>
      </c>
      <c r="G22" s="1488">
        <f>固定资产!G17</f>
        <v>0.13129785250000001</v>
      </c>
      <c r="H22" s="1488">
        <f>固定资产!H17</f>
        <v>0.13129785250000001</v>
      </c>
      <c r="I22" s="1488">
        <f>固定资产!I17</f>
        <v>0.13129785250000001</v>
      </c>
      <c r="J22" s="1488">
        <f>固定资产!J17</f>
        <v>0.13129785250000001</v>
      </c>
      <c r="K22" s="1488">
        <f>固定资产!K17</f>
        <v>0.13129785250000001</v>
      </c>
      <c r="L22" s="1370"/>
    </row>
    <row r="23" spans="1:12">
      <c r="A23" s="1469"/>
      <c r="B23" s="1500" t="s">
        <v>11</v>
      </c>
      <c r="C23" s="1473">
        <f>VLOOKUP($B23,历史资产负债表!$B$3:$P$147,C$3-2010,FALSE)</f>
        <v>1197.3395470754999</v>
      </c>
      <c r="D23" s="1473">
        <f>VLOOKUP($B23,历史资产负债表!$B$3:$P$147,D$3-2010,FALSE)</f>
        <v>1269.7086619792999</v>
      </c>
      <c r="E23" s="1473">
        <f>VLOOKUP($B23,历史资产负债表!$B$3:$P$147,E$3-2010,FALSE)</f>
        <v>1430.7309881578001</v>
      </c>
      <c r="F23" s="1473">
        <f>VLOOKUP($B23,历史资产负债表!$B$3:$P$147,F$3-2010,FALSE)</f>
        <v>1377.6592702749001</v>
      </c>
      <c r="G23" s="1488">
        <f ca="1">固定资产!G18</f>
        <v>1437.7652770237794</v>
      </c>
      <c r="H23" s="1488">
        <f ca="1">固定资产!H18</f>
        <v>1442.0061092869532</v>
      </c>
      <c r="I23" s="1488">
        <f ca="1">固定资产!I18</f>
        <v>1440.4699046955243</v>
      </c>
      <c r="J23" s="1488">
        <f ca="1">固定资产!J18</f>
        <v>1443.987884066953</v>
      </c>
      <c r="K23" s="1488">
        <f ca="1">固定资产!K18</f>
        <v>1455.6657226849788</v>
      </c>
      <c r="L23" s="1370"/>
    </row>
    <row r="24" spans="1:12">
      <c r="A24" s="1469"/>
      <c r="B24" s="2164" t="s">
        <v>2320</v>
      </c>
      <c r="C24" s="1473">
        <f>VLOOKUP($B24,历史资产负债表!$B$3:$P$147,C$3-2010,FALSE)</f>
        <v>0.35542515060000002</v>
      </c>
      <c r="D24" s="1473">
        <f>VLOOKUP($B24,历史资产负债表!$B$3:$P$147,D$3-2010,FALSE)</f>
        <v>2.9650549543999998</v>
      </c>
      <c r="E24" s="1473">
        <f>VLOOKUP($B24,历史资产负债表!$B$3:$P$147,E$3-2010,FALSE)</f>
        <v>2.7096246299999998E-2</v>
      </c>
      <c r="F24" s="1473">
        <f>VLOOKUP($B24,历史资产负债表!$B$3:$P$147,F$3-2010,FALSE)</f>
        <v>2.4070785899999999E-2</v>
      </c>
      <c r="G24" s="2397">
        <f>F24</f>
        <v>2.4070785899999999E-2</v>
      </c>
      <c r="H24" s="1488">
        <f t="shared" ref="H24:K24" si="2">G24</f>
        <v>2.4070785899999999E-2</v>
      </c>
      <c r="I24" s="1488">
        <f t="shared" si="2"/>
        <v>2.4070785899999999E-2</v>
      </c>
      <c r="J24" s="1488">
        <f t="shared" si="2"/>
        <v>2.4070785899999999E-2</v>
      </c>
      <c r="K24" s="1488">
        <f t="shared" si="2"/>
        <v>2.4070785899999999E-2</v>
      </c>
      <c r="L24" s="1370"/>
    </row>
    <row r="25" spans="1:12">
      <c r="A25" s="1469"/>
      <c r="B25" s="1500" t="s">
        <v>12</v>
      </c>
      <c r="C25" s="1473">
        <f>VLOOKUP($B25,历史资产负债表!$B$3:$P$147,C$3-2010,FALSE)</f>
        <v>192.4820082693</v>
      </c>
      <c r="D25" s="1473">
        <f>VLOOKUP($B25,历史资产负债表!$B$3:$P$147,D$3-2010,FALSE)</f>
        <v>291.88806595569997</v>
      </c>
      <c r="E25" s="1473">
        <f>VLOOKUP($B25,历史资产负债表!$B$3:$P$147,E$3-2010,FALSE)</f>
        <v>219.95465513869999</v>
      </c>
      <c r="F25" s="1473">
        <f>VLOOKUP($B25,历史资产负债表!$B$3:$P$147,F$3-2010,FALSE)</f>
        <v>232.11039270720002</v>
      </c>
      <c r="G25" s="1488">
        <f ca="1">固定资产!G7</f>
        <v>166.49387785731943</v>
      </c>
      <c r="H25" s="1488">
        <f ca="1">固定资产!H7</f>
        <v>160.57504058317608</v>
      </c>
      <c r="I25" s="1488">
        <f ca="1">固定资产!I7</f>
        <v>167.02800676593012</v>
      </c>
      <c r="J25" s="1488">
        <f ca="1">固定资产!J7</f>
        <v>176.41353765831872</v>
      </c>
      <c r="K25" s="1488">
        <f ca="1">固定资产!K7</f>
        <v>186.87127775198428</v>
      </c>
      <c r="L25" s="1370"/>
    </row>
    <row r="26" spans="1:12">
      <c r="A26" s="1469"/>
      <c r="B26" s="1500" t="s">
        <v>13</v>
      </c>
      <c r="C26" s="1473">
        <f>VLOOKUP($B26,历史资产负债表!$B$3:$P$147,C$3-2010,FALSE)</f>
        <v>2.6763003272999999</v>
      </c>
      <c r="D26" s="1473">
        <f>VLOOKUP($B26,历史资产负债表!$B$3:$P$147,D$3-2010,FALSE)</f>
        <v>2.6546278390999998</v>
      </c>
      <c r="E26" s="1473">
        <f>VLOOKUP($B26,历史资产负债表!$B$3:$P$147,E$3-2010,FALSE)</f>
        <v>2.9005864921</v>
      </c>
      <c r="F26" s="1473">
        <f>VLOOKUP($B26,历史资产负债表!$B$3:$P$147,F$3-2010,FALSE)</f>
        <v>2.8764600336999999</v>
      </c>
      <c r="G26" s="1488">
        <f>固定资产!G22</f>
        <v>3.3319309282100007</v>
      </c>
      <c r="H26" s="1488">
        <f>固定资产!H22</f>
        <v>3.734322044300002</v>
      </c>
      <c r="I26" s="1488">
        <f>固定资产!I22</f>
        <v>4.083633381970003</v>
      </c>
      <c r="J26" s="1488">
        <f>固定资产!J22</f>
        <v>4.3798649412200037</v>
      </c>
      <c r="K26" s="1488">
        <f>固定资产!K22</f>
        <v>4.6230167220500045</v>
      </c>
      <c r="L26" s="1370"/>
    </row>
    <row r="27" spans="1:12">
      <c r="A27" s="1469"/>
      <c r="B27" s="2164" t="s">
        <v>1947</v>
      </c>
      <c r="C27" s="1473">
        <f>VLOOKUP($B27,历史资产负债表!$B$3:$P$147,C$3-2010,FALSE)</f>
        <v>0.12110991939999999</v>
      </c>
      <c r="D27" s="1473">
        <f>VLOOKUP($B27,历史资产负债表!$B$3:$P$147,D$3-2010,FALSE)</f>
        <v>8.7317911499999998E-2</v>
      </c>
      <c r="E27" s="1473">
        <f>VLOOKUP($B27,历史资产负债表!$B$3:$P$147,E$3-2010,FALSE)</f>
        <v>4.8842389999999999E-2</v>
      </c>
      <c r="F27" s="1473">
        <f>VLOOKUP($B27,历史资产负债表!$B$3:$P$147,F$3-2010,FALSE)</f>
        <v>0.1225035736</v>
      </c>
      <c r="G27" s="1488">
        <f>F27</f>
        <v>0.1225035736</v>
      </c>
      <c r="H27" s="1488">
        <f t="shared" ref="H27:K27" si="3">G27</f>
        <v>0.1225035736</v>
      </c>
      <c r="I27" s="1488">
        <f t="shared" si="3"/>
        <v>0.1225035736</v>
      </c>
      <c r="J27" s="1488">
        <f t="shared" si="3"/>
        <v>0.1225035736</v>
      </c>
      <c r="K27" s="1488">
        <f t="shared" si="3"/>
        <v>0.1225035736</v>
      </c>
      <c r="L27" s="1370"/>
    </row>
    <row r="28" spans="1:12">
      <c r="A28" s="1469"/>
      <c r="B28" s="2164" t="s">
        <v>1948</v>
      </c>
      <c r="C28" s="1473">
        <f>VLOOKUP($B28,历史资产负债表!$B$3:$P$147,C$3-2010,FALSE)</f>
        <v>4.1294795283000001</v>
      </c>
      <c r="D28" s="1473">
        <f>VLOOKUP($B28,历史资产负债表!$B$3:$P$147,D$3-2010,FALSE)</f>
        <v>4.1608683447999999</v>
      </c>
      <c r="E28" s="1473">
        <f>VLOOKUP($B28,历史资产负债表!$B$3:$P$147,E$3-2010,FALSE)</f>
        <v>4.3125470448000005</v>
      </c>
      <c r="F28" s="1473">
        <f>VLOOKUP($B28,历史资产负债表!$B$3:$P$147,F$3-2010,FALSE)</f>
        <v>4.4901149124000002</v>
      </c>
      <c r="G28" s="1488">
        <f>F28</f>
        <v>4.4901149124000002</v>
      </c>
      <c r="H28" s="1488">
        <f t="shared" ref="H28:K28" si="4">G28</f>
        <v>4.4901149124000002</v>
      </c>
      <c r="I28" s="1488">
        <f t="shared" si="4"/>
        <v>4.4901149124000002</v>
      </c>
      <c r="J28" s="1488">
        <f t="shared" si="4"/>
        <v>4.4901149124000002</v>
      </c>
      <c r="K28" s="1488">
        <f t="shared" si="4"/>
        <v>4.4901149124000002</v>
      </c>
      <c r="L28" s="1370"/>
    </row>
    <row r="29" spans="1:12">
      <c r="A29" s="1469"/>
      <c r="B29" s="1500" t="s">
        <v>92</v>
      </c>
      <c r="C29" s="1473">
        <f>VLOOKUP($B29,历史资产负债表!$B$3:$P$147,C$3-2010,FALSE)</f>
        <v>0</v>
      </c>
      <c r="D29" s="1473">
        <f>VLOOKUP($B29,历史资产负债表!$B$3:$P$147,D$3-2010,FALSE)</f>
        <v>0</v>
      </c>
      <c r="E29" s="1473">
        <f>VLOOKUP($B29,历史资产负债表!$B$3:$P$147,E$3-2010,FALSE)</f>
        <v>0</v>
      </c>
      <c r="F29" s="1473">
        <f>VLOOKUP($B29,历史资产负债表!$B$3:$P$147,F$3-2010,FALSE)</f>
        <v>0</v>
      </c>
      <c r="G29" s="1488">
        <f>假设!G84</f>
        <v>0</v>
      </c>
      <c r="H29" s="1488">
        <f>假设!H84</f>
        <v>0</v>
      </c>
      <c r="I29" s="1488">
        <f>假设!I84</f>
        <v>0</v>
      </c>
      <c r="J29" s="1488">
        <f>假设!J84</f>
        <v>0</v>
      </c>
      <c r="K29" s="1488">
        <f>假设!K84</f>
        <v>0</v>
      </c>
      <c r="L29" s="1370"/>
    </row>
    <row r="30" spans="1:12" ht="15.6">
      <c r="A30" s="2149">
        <f>SUM(F15:F18,F23:F29)-F30</f>
        <v>0</v>
      </c>
      <c r="B30" s="1498" t="s">
        <v>74</v>
      </c>
      <c r="C30" s="1473">
        <f>VLOOKUP($B30,历史资产负债表!$B$3:$P$147,C$3-2010,FALSE)</f>
        <v>1462.7073831892001</v>
      </c>
      <c r="D30" s="1473">
        <f>VLOOKUP($B30,历史资产负债表!$B$3:$P$147,D$3-2010,FALSE)</f>
        <v>1636.2342074670998</v>
      </c>
      <c r="E30" s="1473">
        <f>VLOOKUP($B30,历史资产负债表!$B$3:$P$147,E$3-2010,FALSE)</f>
        <v>1715.6121790760001</v>
      </c>
      <c r="F30" s="1473">
        <f>VLOOKUP($B30,历史资产负债表!$B$3:$P$147,F$3-2010,FALSE)</f>
        <v>1646.6757156438</v>
      </c>
      <c r="G30" s="1488">
        <f ca="1">SUM(G15:G18,G23:G29)</f>
        <v>1642.7331213055152</v>
      </c>
      <c r="H30" s="1488">
        <f ca="1">SUM(H15:H18,H23:H29)</f>
        <v>1642.6333688012473</v>
      </c>
      <c r="I30" s="1488">
        <f ca="1">SUM(I15:I18,I23:I29)</f>
        <v>1649.1115629650326</v>
      </c>
      <c r="J30" s="1488">
        <f ca="1">SUM(J15:J18,J23:J29)</f>
        <v>1663.5650210895644</v>
      </c>
      <c r="K30" s="1488">
        <f ca="1">SUM(K15:K18,K23:K29)</f>
        <v>1687.2471407959783</v>
      </c>
      <c r="L30" s="1370"/>
    </row>
    <row r="31" spans="1:12" ht="15.6">
      <c r="A31" s="1469"/>
      <c r="B31" s="1501" t="s">
        <v>388</v>
      </c>
      <c r="C31" s="1502">
        <f>VLOOKUP($B31,历史资产负债表!$B$3:$P$147,C$3-2010,FALSE)</f>
        <v>1600.2992327976001</v>
      </c>
      <c r="D31" s="1502">
        <f>VLOOKUP($B31,历史资产负债表!$B$3:$P$147,D$3-2010,FALSE)</f>
        <v>1806.3082811622</v>
      </c>
      <c r="E31" s="1502">
        <f>VLOOKUP($B31,历史资产负债表!$B$3:$P$147,E$3-2010,FALSE)</f>
        <v>1911.4739767265</v>
      </c>
      <c r="F31" s="1502">
        <f>VLOOKUP($B31,历史资产负债表!$B$3:$P$147,F$3-2010,FALSE)</f>
        <v>1880.0724029154999</v>
      </c>
      <c r="G31" s="1503">
        <f ca="1">G30+G13</f>
        <v>1928.3288084030385</v>
      </c>
      <c r="H31" s="1503">
        <f ca="1">H30+H13</f>
        <v>1958.8740424268626</v>
      </c>
      <c r="I31" s="1503">
        <f ca="1">I30+I13</f>
        <v>1991.0520744750725</v>
      </c>
      <c r="J31" s="1503">
        <f ca="1">J30+J13</f>
        <v>2024.3358053774837</v>
      </c>
      <c r="K31" s="1503">
        <f ca="1">K30+K13</f>
        <v>2060.0603815050026</v>
      </c>
      <c r="L31" s="1504"/>
    </row>
    <row r="32" spans="1:12" ht="15.6">
      <c r="A32" s="1469"/>
      <c r="B32" s="1505" t="s">
        <v>390</v>
      </c>
      <c r="C32" s="1473"/>
      <c r="D32" s="1473"/>
      <c r="E32" s="1473"/>
      <c r="F32" s="1473"/>
      <c r="G32" s="1488"/>
      <c r="H32" s="1488"/>
      <c r="I32" s="1488"/>
      <c r="J32" s="1488"/>
      <c r="K32" s="1488"/>
      <c r="L32" s="1370"/>
    </row>
    <row r="33" spans="1:12" ht="15.6">
      <c r="A33" s="1469"/>
      <c r="B33" s="1506" t="s">
        <v>386</v>
      </c>
      <c r="C33" s="1473"/>
      <c r="D33" s="1473"/>
      <c r="E33" s="1473"/>
      <c r="F33" s="1473"/>
      <c r="G33" s="1488"/>
      <c r="H33" s="1488"/>
      <c r="I33" s="1488"/>
      <c r="J33" s="1488"/>
      <c r="K33" s="1488"/>
      <c r="L33" s="1370"/>
    </row>
    <row r="34" spans="1:12">
      <c r="A34" s="1469"/>
      <c r="B34" s="1507" t="s">
        <v>14</v>
      </c>
      <c r="C34" s="1473">
        <f>VLOOKUP($B34,历史资产负债表!$B$3:$P$147,C$3-2010,FALSE)</f>
        <v>0</v>
      </c>
      <c r="D34" s="1473">
        <f>VLOOKUP($B34,历史资产负债表!$B$3:$P$147,D$3-2010,FALSE)</f>
        <v>0</v>
      </c>
      <c r="E34" s="1473">
        <f>VLOOKUP($B34,历史资产负债表!$B$3:$P$147,E$3-2010,FALSE)</f>
        <v>0</v>
      </c>
      <c r="F34" s="1473">
        <f>VLOOKUP($B34,历史资产负债表!$B$3:$P$147,F$3-2010,FALSE)</f>
        <v>0</v>
      </c>
      <c r="G34" s="1488">
        <f ca="1">债务!G8</f>
        <v>0</v>
      </c>
      <c r="H34" s="1488">
        <f ca="1">债务!H8</f>
        <v>0</v>
      </c>
      <c r="I34" s="1488">
        <f ca="1">债务!I8</f>
        <v>0</v>
      </c>
      <c r="J34" s="1488">
        <f ca="1">债务!J8</f>
        <v>0</v>
      </c>
      <c r="K34" s="1488">
        <f ca="1">债务!K8</f>
        <v>0</v>
      </c>
      <c r="L34" s="1370"/>
    </row>
    <row r="35" spans="1:12">
      <c r="A35" s="1469"/>
      <c r="B35" s="1507" t="s">
        <v>339</v>
      </c>
      <c r="C35" s="1473">
        <f>VLOOKUP($B35,历史资产负债表!$B$3:$P$147,C$3-2010,FALSE)</f>
        <v>77.712229931400003</v>
      </c>
      <c r="D35" s="1473">
        <f>VLOOKUP($B35,历史资产负债表!$B$3:$P$147,D$3-2010,FALSE)</f>
        <v>105.63760728129999</v>
      </c>
      <c r="E35" s="1473">
        <f>VLOOKUP($B35,历史资产负债表!$B$3:$P$147,E$3-2010,FALSE)</f>
        <v>74.178976668600001</v>
      </c>
      <c r="F35" s="1473">
        <f>VLOOKUP($B35,历史资产负债表!$B$3:$P$147,F$3-2010,FALSE)</f>
        <v>80.1626164356</v>
      </c>
      <c r="G35" s="1488">
        <f ca="1">损益表!G5*假设!G86</f>
        <v>82.542705716973941</v>
      </c>
      <c r="H35" s="1488">
        <f ca="1">损益表!H5*假设!H86</f>
        <v>84.97391146033037</v>
      </c>
      <c r="I35" s="1488">
        <f ca="1">损益表!I5*假设!I86</f>
        <v>86.986529157479183</v>
      </c>
      <c r="J35" s="1488">
        <f ca="1">损益表!J5*假设!J86</f>
        <v>88.801536985512612</v>
      </c>
      <c r="K35" s="1488">
        <f ca="1">损益表!K5*假设!K86</f>
        <v>90.599105574327368</v>
      </c>
      <c r="L35" s="1370" t="s">
        <v>784</v>
      </c>
    </row>
    <row r="36" spans="1:12">
      <c r="A36" s="1469"/>
      <c r="B36" s="1507" t="s">
        <v>317</v>
      </c>
      <c r="C36" s="1473">
        <f>VLOOKUP($B36,历史资产负债表!$B$3:$P$147,C$3-2010,FALSE)</f>
        <v>29.8013003033</v>
      </c>
      <c r="D36" s="1473">
        <f>VLOOKUP($B36,历史资产负债表!$B$3:$P$147,D$3-2010,FALSE)</f>
        <v>34.717300991199998</v>
      </c>
      <c r="E36" s="1473">
        <f>VLOOKUP($B36,历史资产负债表!$B$3:$P$147,E$3-2010,FALSE)</f>
        <v>50.190198178900005</v>
      </c>
      <c r="F36" s="1473">
        <f>VLOOKUP($B36,历史资产负债表!$B$3:$P$147,F$3-2010,FALSE)</f>
        <v>52.999565051600001</v>
      </c>
      <c r="G36" s="1488">
        <f>假设!G87*损益表!G4</f>
        <v>55.195825124665298</v>
      </c>
      <c r="H36" s="1488">
        <f>假设!H87*损益表!H4</f>
        <v>56.776283321445263</v>
      </c>
      <c r="I36" s="1488">
        <f>假设!I87*损益表!I4</f>
        <v>58.132843273681388</v>
      </c>
      <c r="J36" s="1488">
        <f>假设!J87*损益表!J4</f>
        <v>59.35646035059839</v>
      </c>
      <c r="K36" s="1488">
        <f>假设!K87*损益表!K4</f>
        <v>60.606997003207553</v>
      </c>
      <c r="L36" s="1370" t="s">
        <v>785</v>
      </c>
    </row>
    <row r="37" spans="1:12">
      <c r="A37" s="1469"/>
      <c r="B37" s="1507" t="s">
        <v>93</v>
      </c>
      <c r="C37" s="1473">
        <f>VLOOKUP($B37,历史资产负债表!$B$3:$P$147,C$3-2010,FALSE)</f>
        <v>1.5038346653000001</v>
      </c>
      <c r="D37" s="1473">
        <f>VLOOKUP($B37,历史资产负债表!$B$3:$P$147,D$3-2010,FALSE)</f>
        <v>1.5185370650999999</v>
      </c>
      <c r="E37" s="1473">
        <f>VLOOKUP($B37,历史资产负债表!$B$3:$P$147,E$3-2010,FALSE)</f>
        <v>0.86527297910000001</v>
      </c>
      <c r="F37" s="1473">
        <f>VLOOKUP($B37,历史资产负债表!$B$3:$P$147,F$3-2010,FALSE)</f>
        <v>1.0857833706</v>
      </c>
      <c r="G37" s="1488">
        <f>假设!G96</f>
        <v>1.1655</v>
      </c>
      <c r="H37" s="1488">
        <f>假设!H96</f>
        <v>1.1655</v>
      </c>
      <c r="I37" s="1488">
        <f>假设!I96</f>
        <v>1.1655</v>
      </c>
      <c r="J37" s="1488">
        <f>假设!J96</f>
        <v>1.1655</v>
      </c>
      <c r="K37" s="1488">
        <f>假设!K96</f>
        <v>1.1655</v>
      </c>
      <c r="L37" s="1370"/>
    </row>
    <row r="38" spans="1:12">
      <c r="A38" s="1469"/>
      <c r="B38" s="1507" t="s">
        <v>146</v>
      </c>
      <c r="C38" s="1473">
        <f>VLOOKUP($B38,历史资产负债表!$B$3:$P$147,C$3-2010,FALSE)</f>
        <v>13.6157706968</v>
      </c>
      <c r="D38" s="1473">
        <f>VLOOKUP($B38,历史资产负债表!$B$3:$P$147,D$3-2010,FALSE)</f>
        <v>9.9872529684</v>
      </c>
      <c r="E38" s="1473">
        <f>VLOOKUP($B38,历史资产负债表!$B$3:$P$147,E$3-2010,FALSE)</f>
        <v>15.828548062399999</v>
      </c>
      <c r="F38" s="1473">
        <f>VLOOKUP($B38,历史资产负债表!$B$3:$P$147,F$3-2010,FALSE)</f>
        <v>27.846580056200001</v>
      </c>
      <c r="G38" s="1488">
        <f ca="1">假设!G89*(损益表!G4-损益表!G5)</f>
        <v>22.248002726755928</v>
      </c>
      <c r="H38" s="1488">
        <f ca="1">假设!H89*(损益表!H4-损益表!H5)</f>
        <v>22.369494487846005</v>
      </c>
      <c r="I38" s="1488">
        <f ca="1">假设!I89*(损益表!I4-损益表!I5)</f>
        <v>23.038520651694171</v>
      </c>
      <c r="J38" s="1488">
        <f ca="1">假设!J89*(损益表!J4-损益表!J5)</f>
        <v>23.644825005974365</v>
      </c>
      <c r="K38" s="1488">
        <f ca="1">假设!K89*(损益表!K4-损益表!K5)</f>
        <v>24.701306931386725</v>
      </c>
      <c r="L38" s="1370" t="s">
        <v>786</v>
      </c>
    </row>
    <row r="39" spans="1:12">
      <c r="A39" s="1469"/>
      <c r="B39" s="1507" t="s">
        <v>17</v>
      </c>
      <c r="C39" s="1473">
        <f>VLOOKUP($B39,历史资产负债表!$B$3:$P$147,C$3-2010,FALSE)</f>
        <v>3.0769231000000001E-3</v>
      </c>
      <c r="D39" s="1473">
        <f>VLOOKUP($B39,历史资产负债表!$B$3:$P$147,D$3-2010,FALSE)</f>
        <v>4.98852459E-2</v>
      </c>
      <c r="E39" s="1473">
        <f>VLOOKUP($B39,历史资产负债表!$B$3:$P$147,E$3-2010,FALSE)</f>
        <v>5.0021917899999997E-2</v>
      </c>
      <c r="F39" s="1473">
        <f>VLOOKUP($B39,历史资产负债表!$B$3:$P$147,F$3-2010,FALSE)</f>
        <v>5.0021917800000003E-2</v>
      </c>
      <c r="G39" s="1488">
        <f ca="1">假设!G88*损益表!G10</f>
        <v>7.2140782026476211E-2</v>
      </c>
      <c r="H39" s="1488">
        <f ca="1">假设!H88*损益表!H10</f>
        <v>8.8191546754055092E-2</v>
      </c>
      <c r="I39" s="1488">
        <f ca="1">假设!I88*损益表!I10</f>
        <v>9.8759563133463818E-2</v>
      </c>
      <c r="J39" s="1488">
        <f ca="1">假设!J88*损益表!J10</f>
        <v>0.10721342545051522</v>
      </c>
      <c r="K39" s="1488">
        <f ca="1">假设!K88*损益表!K10</f>
        <v>0.11297195742070731</v>
      </c>
      <c r="L39" s="1370"/>
    </row>
    <row r="40" spans="1:12">
      <c r="A40" s="1469"/>
      <c r="B40" s="1507" t="s">
        <v>28</v>
      </c>
      <c r="C40" s="1473">
        <f>VLOOKUP($B40,历史资产负债表!$B$3:$P$147,C$3-2010,FALSE)</f>
        <v>266.76762009070001</v>
      </c>
      <c r="D40" s="1473">
        <f>VLOOKUP($B40,历史资产负债表!$B$3:$P$147,D$3-2010,FALSE)</f>
        <v>316.42235483280001</v>
      </c>
      <c r="E40" s="1473">
        <f>VLOOKUP($B40,历史资产负债表!$B$3:$P$147,E$3-2010,FALSE)</f>
        <v>343.82479675349998</v>
      </c>
      <c r="F40" s="1473">
        <f>VLOOKUP($B40,历史资产负债表!$B$3:$P$147,F$3-2010,FALSE)</f>
        <v>335.59874685</v>
      </c>
      <c r="G40" s="1488">
        <f>假设!G97</f>
        <v>371.36110000000002</v>
      </c>
      <c r="H40" s="1488">
        <f>假设!H97</f>
        <v>371.36110000000002</v>
      </c>
      <c r="I40" s="1488">
        <f>假设!I97</f>
        <v>371.36110000000002</v>
      </c>
      <c r="J40" s="1488">
        <f>假设!J97</f>
        <v>371.36110000000002</v>
      </c>
      <c r="K40" s="1488">
        <f>假设!K97</f>
        <v>371.36110000000002</v>
      </c>
      <c r="L40" s="1370"/>
    </row>
    <row r="41" spans="1:12">
      <c r="A41" s="1469"/>
      <c r="B41" s="1507" t="s">
        <v>147</v>
      </c>
      <c r="C41" s="1473">
        <f>VLOOKUP($B41,历史资产负债表!$B$3:$P$147,C$3-2010,FALSE)</f>
        <v>0.15384615439999999</v>
      </c>
      <c r="D41" s="1473">
        <f>VLOOKUP($B41,历史资产负债表!$B$3:$P$147,D$3-2010,FALSE)</f>
        <v>9</v>
      </c>
      <c r="E41" s="1473">
        <f>VLOOKUP($B41,历史资产负债表!$B$3:$P$147,E$3-2010,FALSE)</f>
        <v>0</v>
      </c>
      <c r="F41" s="1473">
        <f>VLOOKUP($B41,历史资产负债表!$B$3:$P$147,F$3-2010,FALSE)</f>
        <v>11.454000000000001</v>
      </c>
      <c r="G41" s="1488">
        <f>债务!G25+债务!G17</f>
        <v>0</v>
      </c>
      <c r="H41" s="1488">
        <f>债务!H25+债务!H17</f>
        <v>0</v>
      </c>
      <c r="I41" s="1488">
        <f>债务!I25+债务!I17</f>
        <v>0</v>
      </c>
      <c r="J41" s="1488">
        <f>债务!J25+债务!J17</f>
        <v>0</v>
      </c>
      <c r="K41" s="1488">
        <f>债务!K25+债务!K17</f>
        <v>0</v>
      </c>
      <c r="L41" s="1370"/>
    </row>
    <row r="42" spans="1:12">
      <c r="A42" s="1469"/>
      <c r="B42" s="1507" t="s">
        <v>94</v>
      </c>
      <c r="C42" s="1473">
        <f>VLOOKUP($B42,历史资产负债表!$B$3:$P$147,C$3-2010,FALSE)</f>
        <v>0</v>
      </c>
      <c r="D42" s="1473">
        <f>VLOOKUP($B42,历史资产负债表!$B$3:$P$147,D$3-2010,FALSE)</f>
        <v>0</v>
      </c>
      <c r="E42" s="1473">
        <f>VLOOKUP($B42,历史资产负债表!$B$3:$P$147,E$3-2010,FALSE)</f>
        <v>0</v>
      </c>
      <c r="F42" s="1473">
        <f>VLOOKUP($B42,历史资产负债表!$B$3:$P$147,F$3-2010,FALSE)</f>
        <v>0</v>
      </c>
      <c r="G42" s="1488">
        <f>假设!G98</f>
        <v>0</v>
      </c>
      <c r="H42" s="1488">
        <f>假设!H98</f>
        <v>0</v>
      </c>
      <c r="I42" s="1488">
        <f>假设!I98</f>
        <v>0</v>
      </c>
      <c r="J42" s="1488">
        <f>假设!J98</f>
        <v>0</v>
      </c>
      <c r="K42" s="1488">
        <f>假设!K98</f>
        <v>0</v>
      </c>
      <c r="L42" s="1370"/>
    </row>
    <row r="43" spans="1:12" ht="15.6">
      <c r="A43" s="2148">
        <f>F43-SUM(F34:F42)</f>
        <v>0</v>
      </c>
      <c r="B43" s="1498" t="s">
        <v>76</v>
      </c>
      <c r="C43" s="1473">
        <f>VLOOKUP($B43,历史资产负债表!$B$3:$P$147,C$3-2010,FALSE)</f>
        <v>389.55767876499999</v>
      </c>
      <c r="D43" s="1473">
        <f>VLOOKUP($B43,历史资产负债表!$B$3:$P$147,D$3-2010,FALSE)</f>
        <v>477.33293838470001</v>
      </c>
      <c r="E43" s="1473">
        <f>VLOOKUP($B43,历史资产负债表!$B$3:$P$147,E$3-2010,FALSE)</f>
        <v>484.9378145604</v>
      </c>
      <c r="F43" s="1473">
        <f>VLOOKUP($B43,历史资产负债表!$B$3:$P$147,F$3-2010,FALSE)</f>
        <v>509.19731368179998</v>
      </c>
      <c r="G43" s="1488">
        <f ca="1">SUM(G34:G42)</f>
        <v>532.58527435042163</v>
      </c>
      <c r="H43" s="1488">
        <f ca="1">SUM(H34:H42)</f>
        <v>536.73448081637571</v>
      </c>
      <c r="I43" s="1488">
        <f ca="1">SUM(I34:I42)</f>
        <v>540.78325264598823</v>
      </c>
      <c r="J43" s="1488">
        <f ca="1">SUM(J34:J42)</f>
        <v>544.4366357675359</v>
      </c>
      <c r="K43" s="1488">
        <f ca="1">SUM(K34:K42)</f>
        <v>548.54698146634246</v>
      </c>
      <c r="L43" s="1370"/>
    </row>
    <row r="44" spans="1:12" ht="15.6">
      <c r="A44" s="1469"/>
      <c r="B44" s="1506" t="s">
        <v>387</v>
      </c>
      <c r="C44" s="1473"/>
      <c r="D44" s="1473"/>
      <c r="E44" s="1473"/>
      <c r="F44" s="1473"/>
      <c r="G44" s="1488"/>
      <c r="H44" s="1488"/>
      <c r="I44" s="1488"/>
      <c r="J44" s="1488"/>
      <c r="K44" s="1488"/>
      <c r="L44" s="1370"/>
    </row>
    <row r="45" spans="1:12">
      <c r="A45" s="1469"/>
      <c r="B45" s="1507" t="s">
        <v>18</v>
      </c>
      <c r="C45" s="1473">
        <f>VLOOKUP($B45,历史资产负债表!$B$3:$P$147,C$3-2010,FALSE)</f>
        <v>0</v>
      </c>
      <c r="D45" s="1473">
        <f>VLOOKUP($B45,历史资产负债表!$B$3:$P$147,D$3-2010,FALSE)</f>
        <v>1.43</v>
      </c>
      <c r="E45" s="1473">
        <f>VLOOKUP($B45,历史资产负债表!$B$3:$P$147,E$3-2010,FALSE)</f>
        <v>2.2810999999999999</v>
      </c>
      <c r="F45" s="1473">
        <f>VLOOKUP($B45,历史资产负债表!$B$3:$P$147,F$3-2010,FALSE)</f>
        <v>0.4471</v>
      </c>
      <c r="G45" s="1488">
        <f ca="1">债务!G16</f>
        <v>0.4471</v>
      </c>
      <c r="H45" s="1488">
        <f ca="1">债务!H16</f>
        <v>0.4471</v>
      </c>
      <c r="I45" s="1488">
        <f ca="1">债务!I16</f>
        <v>0.4471</v>
      </c>
      <c r="J45" s="1488">
        <f ca="1">债务!J16</f>
        <v>0.4471</v>
      </c>
      <c r="K45" s="1488">
        <f ca="1">债务!K16</f>
        <v>0.4471</v>
      </c>
      <c r="L45" s="1370"/>
    </row>
    <row r="46" spans="1:12">
      <c r="A46" s="1469"/>
      <c r="B46" s="1507" t="s">
        <v>19</v>
      </c>
      <c r="C46" s="1473">
        <f>VLOOKUP($B46,历史资产负债表!$B$3:$P$147,C$3-2010,FALSE)</f>
        <v>9</v>
      </c>
      <c r="D46" s="1473">
        <f>VLOOKUP($B46,历史资产负债表!$B$3:$P$147,D$3-2010,FALSE)</f>
        <v>9.961889254099999</v>
      </c>
      <c r="E46" s="1473">
        <f>VLOOKUP($B46,历史资产负债表!$B$3:$P$147,E$3-2010,FALSE)</f>
        <v>9.9745717235000004</v>
      </c>
      <c r="F46" s="1473">
        <f>VLOOKUP($B46,历史资产负债表!$B$3:$P$147,F$3-2010,FALSE)</f>
        <v>-1.2129032099999999E-2</v>
      </c>
      <c r="G46" s="1488">
        <f ca="1">债务!G24</f>
        <v>-1.2129032099999999E-2</v>
      </c>
      <c r="H46" s="1488">
        <f ca="1">债务!H24</f>
        <v>-1.2129032099999999E-2</v>
      </c>
      <c r="I46" s="1488">
        <f ca="1">债务!I24</f>
        <v>-1.2129032099999999E-2</v>
      </c>
      <c r="J46" s="1488">
        <f ca="1">债务!J24</f>
        <v>-1.2129032099999999E-2</v>
      </c>
      <c r="K46" s="1488">
        <f ca="1">债务!K24</f>
        <v>-1.2129032099999999E-2</v>
      </c>
      <c r="L46" s="1370"/>
    </row>
    <row r="47" spans="1:12">
      <c r="A47" s="1469"/>
      <c r="B47" s="1508" t="s">
        <v>20</v>
      </c>
      <c r="C47" s="1473">
        <f>VLOOKUP($B47,历史资产负债表!$B$3:$P$147,C$3-2010,FALSE)</f>
        <v>0</v>
      </c>
      <c r="D47" s="1473">
        <f>VLOOKUP($B47,历史资产负债表!$B$3:$P$147,D$3-2010,FALSE)</f>
        <v>1.6298227299999999E-2</v>
      </c>
      <c r="E47" s="1473">
        <f>VLOOKUP($B47,历史资产负债表!$B$3:$P$147,E$3-2010,FALSE)</f>
        <v>0</v>
      </c>
      <c r="F47" s="1473">
        <f>VLOOKUP($B47,历史资产负债表!$B$3:$P$147,F$3-2010,FALSE)</f>
        <v>0</v>
      </c>
      <c r="G47" s="1488">
        <f>假设!G99</f>
        <v>0</v>
      </c>
      <c r="H47" s="1488">
        <f>假设!H99</f>
        <v>0</v>
      </c>
      <c r="I47" s="1488">
        <f>假设!I99</f>
        <v>0</v>
      </c>
      <c r="J47" s="1488">
        <f>假设!J99</f>
        <v>0</v>
      </c>
      <c r="K47" s="1488">
        <f>假设!K99</f>
        <v>0</v>
      </c>
      <c r="L47" s="1370"/>
    </row>
    <row r="48" spans="1:12">
      <c r="A48" s="1469"/>
      <c r="B48" s="2165" t="s">
        <v>1949</v>
      </c>
      <c r="C48" s="1473"/>
      <c r="D48" s="1473">
        <f>VLOOKUP($B48,历史资产负债表!$B$3:$P$147,D$3-2010,FALSE)</f>
        <v>7.5680251384000004</v>
      </c>
      <c r="E48" s="1473">
        <f>VLOOKUP($B48,历史资产负债表!$B$3:$P$147,E$3-2010,FALSE)</f>
        <v>8.3626603819999996</v>
      </c>
      <c r="F48" s="1473">
        <f>VLOOKUP($B48,历史资产负债表!$B$3:$P$147,F$3-2010,FALSE)</f>
        <v>8.3626603819999996</v>
      </c>
      <c r="G48" s="1488">
        <f>F48</f>
        <v>8.3626603819999996</v>
      </c>
      <c r="H48" s="1488">
        <f t="shared" ref="H48:K48" si="5">G48</f>
        <v>8.3626603819999996</v>
      </c>
      <c r="I48" s="1488">
        <f t="shared" si="5"/>
        <v>8.3626603819999996</v>
      </c>
      <c r="J48" s="1488">
        <f t="shared" si="5"/>
        <v>8.3626603819999996</v>
      </c>
      <c r="K48" s="1488">
        <f t="shared" si="5"/>
        <v>8.3626603819999996</v>
      </c>
      <c r="L48" s="1370"/>
    </row>
    <row r="49" spans="1:12">
      <c r="A49" s="1469"/>
      <c r="B49" s="1507" t="s">
        <v>95</v>
      </c>
      <c r="C49" s="1473">
        <f>VLOOKUP($B49,历史资产负债表!$B$3:$P$147,C$3-2010,FALSE)</f>
        <v>1.1353581699999999</v>
      </c>
      <c r="D49" s="1473">
        <f>VLOOKUP($B49,历史资产负债表!$B$3:$P$147,D$3-2010,FALSE)</f>
        <v>1.1864594739000001</v>
      </c>
      <c r="E49" s="1473">
        <f>VLOOKUP($B49,历史资产负债表!$B$3:$P$147,E$3-2010,FALSE)</f>
        <v>1.1866191329</v>
      </c>
      <c r="F49" s="1473">
        <f>VLOOKUP($B49,历史资产负债表!$B$3:$P$147,F$3-2010,FALSE)</f>
        <v>0.93630807220000001</v>
      </c>
      <c r="G49" s="1488">
        <f>假设!G100</f>
        <v>0.93630807220000001</v>
      </c>
      <c r="H49" s="1488">
        <f>假设!H100</f>
        <v>0.93630807220000001</v>
      </c>
      <c r="I49" s="1488">
        <f>假设!I100</f>
        <v>0.93630807220000001</v>
      </c>
      <c r="J49" s="1488">
        <f>假设!J100</f>
        <v>0.93630807220000001</v>
      </c>
      <c r="K49" s="1488">
        <f>假设!K100</f>
        <v>0.93630807220000001</v>
      </c>
      <c r="L49" s="1370"/>
    </row>
    <row r="50" spans="1:12">
      <c r="A50" s="1469"/>
      <c r="B50" s="2166" t="s">
        <v>1950</v>
      </c>
      <c r="C50" s="1473"/>
      <c r="D50" s="1473">
        <f>VLOOKUP($B50,历史资产负债表!$B$3:$P$147,D$3-2010,FALSE)</f>
        <v>7.4003232039999993</v>
      </c>
      <c r="E50" s="1473">
        <f>VLOOKUP($B50,历史资产负债表!$B$3:$P$147,E$3-2010,FALSE)</f>
        <v>14.907801611400002</v>
      </c>
      <c r="F50" s="1473">
        <f>VLOOKUP($B50,历史资产负债表!$B$3:$P$147,F$3-2010,FALSE)</f>
        <v>35.356419853200002</v>
      </c>
      <c r="G50" s="2372">
        <f>假设!G90</f>
        <v>43.356419853200002</v>
      </c>
      <c r="H50" s="2372">
        <f>假设!H90</f>
        <v>51.356419853200002</v>
      </c>
      <c r="I50" s="2372">
        <f>假设!I90</f>
        <v>59.356419853200002</v>
      </c>
      <c r="J50" s="2372">
        <f>假设!J90</f>
        <v>67.356419853200009</v>
      </c>
      <c r="K50" s="2372">
        <f>假设!K90</f>
        <v>75.356419853200009</v>
      </c>
      <c r="L50" s="2373" t="s">
        <v>2409</v>
      </c>
    </row>
    <row r="51" spans="1:12">
      <c r="A51" s="1469"/>
      <c r="B51" s="2166" t="s">
        <v>1951</v>
      </c>
      <c r="C51" s="1473"/>
      <c r="D51" s="1473">
        <f>VLOOKUP($B51,历史资产负债表!$B$3:$P$147,D$3-2010,FALSE)</f>
        <v>3.74320691E-2</v>
      </c>
      <c r="E51" s="1473">
        <f>VLOOKUP($B51,历史资产负债表!$B$3:$P$147,E$3-2010,FALSE)</f>
        <v>2.7568266400000003E-2</v>
      </c>
      <c r="F51" s="1473">
        <f>VLOOKUP($B51,历史资产负债表!$B$3:$P$147,F$3-2010,FALSE)</f>
        <v>2.7568266400000003E-2</v>
      </c>
      <c r="G51" s="1488">
        <f t="shared" ref="G51:K51" si="6">F51</f>
        <v>2.7568266400000003E-2</v>
      </c>
      <c r="H51" s="1488">
        <f t="shared" si="6"/>
        <v>2.7568266400000003E-2</v>
      </c>
      <c r="I51" s="1488">
        <f t="shared" si="6"/>
        <v>2.7568266400000003E-2</v>
      </c>
      <c r="J51" s="1488">
        <f t="shared" si="6"/>
        <v>2.7568266400000003E-2</v>
      </c>
      <c r="K51" s="1488">
        <f t="shared" si="6"/>
        <v>2.7568266400000003E-2</v>
      </c>
      <c r="L51" s="1370"/>
    </row>
    <row r="52" spans="1:12">
      <c r="A52" s="1469"/>
      <c r="B52" s="1507" t="s">
        <v>96</v>
      </c>
      <c r="C52" s="1473">
        <f>VLOOKUP($B52,历史资产负债表!$B$3:$P$147,C$3-2010,FALSE)</f>
        <v>7.5880956523999998</v>
      </c>
      <c r="D52" s="1473">
        <f>VLOOKUP($B52,历史资产负债表!$B$3:$P$147,D$3-2010,FALSE)</f>
        <v>0</v>
      </c>
      <c r="E52" s="1473">
        <f>VLOOKUP($B52,历史资产负债表!$B$3:$P$147,E$3-2010,FALSE)</f>
        <v>0</v>
      </c>
      <c r="F52" s="1473">
        <f>VLOOKUP($B52,历史资产负债表!$B$3:$P$147,F$3-2010,FALSE)</f>
        <v>0</v>
      </c>
      <c r="G52" s="1488">
        <f>假设!G101</f>
        <v>0</v>
      </c>
      <c r="H52" s="1488">
        <f>假设!H101</f>
        <v>0</v>
      </c>
      <c r="I52" s="1488">
        <f>假设!I101</f>
        <v>0</v>
      </c>
      <c r="J52" s="1488">
        <f>假设!J101</f>
        <v>0</v>
      </c>
      <c r="K52" s="1488">
        <f>假设!K101</f>
        <v>0</v>
      </c>
      <c r="L52" s="1370"/>
    </row>
    <row r="53" spans="1:12" ht="15.6">
      <c r="A53" s="2148">
        <f>SUM(F45:F52)-F53</f>
        <v>0</v>
      </c>
      <c r="B53" s="1498" t="s">
        <v>78</v>
      </c>
      <c r="C53" s="1473">
        <f>VLOOKUP($B53,历史资产负债表!$B$3:$P$147,C$3-2010,FALSE)</f>
        <v>17.754451144299999</v>
      </c>
      <c r="D53" s="1473">
        <f>VLOOKUP($B53,历史资产负债表!$B$3:$P$147,D$3-2010,FALSE)</f>
        <v>27.600427366799998</v>
      </c>
      <c r="E53" s="1473">
        <f>VLOOKUP($B53,历史资产负债表!$B$3:$P$147,E$3-2010,FALSE)</f>
        <v>36.740321116200001</v>
      </c>
      <c r="F53" s="1473">
        <f>VLOOKUP($B53,历史资产负债表!$B$3:$P$147,F$3-2010,FALSE)</f>
        <v>45.117927541699999</v>
      </c>
      <c r="G53" s="1488">
        <f ca="1">SUM(G45:G52)</f>
        <v>53.117927541700006</v>
      </c>
      <c r="H53" s="1488">
        <f ca="1">SUM(H45:H52)</f>
        <v>61.117927541700006</v>
      </c>
      <c r="I53" s="1488">
        <f ca="1">SUM(I45:I52)</f>
        <v>69.117927541699999</v>
      </c>
      <c r="J53" s="1488">
        <f ca="1">SUM(J45:J52)</f>
        <v>77.117927541699999</v>
      </c>
      <c r="K53" s="1488">
        <f ca="1">SUM(K45:K52)</f>
        <v>85.117927541699999</v>
      </c>
      <c r="L53" s="2135"/>
    </row>
    <row r="54" spans="1:12" ht="15.6">
      <c r="A54" s="1469"/>
      <c r="B54" s="1501" t="s">
        <v>318</v>
      </c>
      <c r="C54" s="1502">
        <f>VLOOKUP($B54,历史资产负债表!$B$3:$P$147,C$3-2010,FALSE)</f>
        <v>407.31212990929998</v>
      </c>
      <c r="D54" s="1502">
        <f>VLOOKUP($B54,历史资产负债表!$B$3:$P$147,D$3-2010,FALSE)</f>
        <v>504.93336575149999</v>
      </c>
      <c r="E54" s="1502">
        <f>VLOOKUP($B54,历史资产负债表!$B$3:$P$147,E$3-2010,FALSE)</f>
        <v>521.67813567660005</v>
      </c>
      <c r="F54" s="1502">
        <f>VLOOKUP($B54,历史资产负债表!$B$3:$P$147,F$3-2010,FALSE)</f>
        <v>554.31524122350004</v>
      </c>
      <c r="G54" s="1503">
        <f ca="1">G43+G53</f>
        <v>585.70320189212168</v>
      </c>
      <c r="H54" s="1503">
        <f ca="1">H43+H53</f>
        <v>597.85240835807576</v>
      </c>
      <c r="I54" s="1503">
        <f ca="1">I43+I53</f>
        <v>609.90118018768817</v>
      </c>
      <c r="J54" s="1503">
        <f ca="1">J43+J53</f>
        <v>621.55456330923585</v>
      </c>
      <c r="K54" s="1503">
        <f ca="1">K43+K53</f>
        <v>633.66490900804251</v>
      </c>
      <c r="L54" s="1509"/>
    </row>
    <row r="55" spans="1:12" ht="15.6">
      <c r="A55" s="1469"/>
      <c r="B55" s="1505" t="s">
        <v>391</v>
      </c>
      <c r="C55" s="1473"/>
      <c r="D55" s="1473"/>
      <c r="E55" s="1473"/>
      <c r="F55" s="1473"/>
      <c r="G55" s="1488"/>
      <c r="H55" s="1488"/>
      <c r="I55" s="1488"/>
      <c r="J55" s="1488"/>
      <c r="K55" s="1488"/>
      <c r="L55" s="1370"/>
    </row>
    <row r="56" spans="1:12">
      <c r="A56" s="1469"/>
      <c r="B56" s="1507" t="s">
        <v>319</v>
      </c>
      <c r="C56" s="1473">
        <f>VLOOKUP($B56,历史资产负债表!$B$3:$P$147,C$3-2010,FALSE)</f>
        <v>57.634912300000003</v>
      </c>
      <c r="D56" s="1473">
        <f>VLOOKUP($B56,历史资产负债表!$B$3:$P$147,D$3-2010,FALSE)</f>
        <v>1091.7142063088002</v>
      </c>
      <c r="E56" s="1473">
        <f>VLOOKUP($B56,历史资产负债表!$B$3:$P$147,E$3-2010,FALSE)</f>
        <v>1251.331770815</v>
      </c>
      <c r="F56" s="1473">
        <f>VLOOKUP($B56,历史资产负债表!$B$3:$P$147,F$3-2010,FALSE)</f>
        <v>1289.246215744</v>
      </c>
      <c r="G56" s="1488">
        <f>假设!G105</f>
        <v>1289.246215744</v>
      </c>
      <c r="H56" s="1488">
        <f>假设!H105</f>
        <v>1289.246215744</v>
      </c>
      <c r="I56" s="1488">
        <f>假设!I105</f>
        <v>1289.246215744</v>
      </c>
      <c r="J56" s="1488">
        <f>假设!J105</f>
        <v>1289.246215744</v>
      </c>
      <c r="K56" s="1488">
        <f>假设!K105</f>
        <v>1289.246215744</v>
      </c>
      <c r="L56" s="1370"/>
    </row>
    <row r="57" spans="1:12">
      <c r="A57" s="1469"/>
      <c r="B57" s="2166" t="s">
        <v>1952</v>
      </c>
      <c r="C57" s="1473">
        <f>VLOOKUP($B57,历史资产负债表!$B$3:$P$147,C$3-2010,FALSE)</f>
        <v>0</v>
      </c>
      <c r="D57" s="1473">
        <f>VLOOKUP($B57,历史资产负债表!$B$3:$P$147,D$3-2010,FALSE)</f>
        <v>0.1076453874</v>
      </c>
      <c r="E57" s="1473">
        <f>VLOOKUP($B57,历史资产负债表!$B$3:$P$147,E$3-2010,FALSE)</f>
        <v>7.87605324E-2</v>
      </c>
      <c r="F57" s="1473">
        <f>VLOOKUP($B57,历史资产负债表!$B$3:$P$147,F$3-2010,FALSE)</f>
        <v>7.3923964199999997E-2</v>
      </c>
      <c r="G57" s="1488">
        <f>F57</f>
        <v>7.3923964199999997E-2</v>
      </c>
      <c r="H57" s="1488">
        <f t="shared" ref="H57:K57" si="7">G57</f>
        <v>7.3923964199999997E-2</v>
      </c>
      <c r="I57" s="1488">
        <f t="shared" si="7"/>
        <v>7.3923964199999997E-2</v>
      </c>
      <c r="J57" s="1488">
        <f t="shared" si="7"/>
        <v>7.3923964199999997E-2</v>
      </c>
      <c r="K57" s="1488">
        <f t="shared" si="7"/>
        <v>7.3923964199999997E-2</v>
      </c>
      <c r="L57" s="1370"/>
    </row>
    <row r="58" spans="1:12">
      <c r="A58" s="1469"/>
      <c r="B58" s="2166" t="s">
        <v>1953</v>
      </c>
      <c r="C58" s="1473">
        <f>VLOOKUP($B58,历史资产负债表!$B$3:$P$147,C$3-2010,FALSE)</f>
        <v>-2.6567334000000002E-3</v>
      </c>
      <c r="D58" s="1473">
        <f>VLOOKUP($B58,历史资产负债表!$B$3:$P$147,D$3-2010,FALSE)</f>
        <v>0</v>
      </c>
      <c r="E58" s="1473">
        <f>VLOOKUP($B58,历史资产负债表!$B$3:$P$147,E$3-2010,FALSE)</f>
        <v>0</v>
      </c>
      <c r="F58" s="1473">
        <f>VLOOKUP($B58,历史资产负债表!$B$3:$P$147,F$3-2010,FALSE)</f>
        <v>0</v>
      </c>
      <c r="G58" s="1488">
        <f>F58</f>
        <v>0</v>
      </c>
      <c r="H58" s="1488">
        <f t="shared" ref="H58:K58" si="8">G58</f>
        <v>0</v>
      </c>
      <c r="I58" s="1488">
        <f t="shared" si="8"/>
        <v>0</v>
      </c>
      <c r="J58" s="1488">
        <f t="shared" si="8"/>
        <v>0</v>
      </c>
      <c r="K58" s="1488">
        <f t="shared" si="8"/>
        <v>0</v>
      </c>
      <c r="L58" s="1370"/>
    </row>
    <row r="59" spans="1:12">
      <c r="A59" s="1469"/>
      <c r="B59" s="1507" t="s">
        <v>344</v>
      </c>
      <c r="C59" s="1473">
        <f>VLOOKUP($B59,历史资产负债表!$B$3:$P$147,C$3-2010,FALSE)</f>
        <v>1074.1098979547</v>
      </c>
      <c r="D59" s="1473">
        <f>VLOOKUP($B59,历史资产负债表!$B$3:$P$147,D$3-2010,FALSE)</f>
        <v>150.40444705850001</v>
      </c>
      <c r="E59" s="1473">
        <f>VLOOKUP($B59,历史资产负债表!$B$3:$P$147,E$3-2010,FALSE)</f>
        <v>62.318596923999998</v>
      </c>
      <c r="F59" s="1473">
        <f>VLOOKUP($B59,历史资产负债表!$B$3:$P$147,F$3-2010,FALSE)</f>
        <v>3.7780997376999998</v>
      </c>
      <c r="G59" s="1510">
        <f>F59+F15*假设!G62+现金流量表!G38+假设!G118</f>
        <v>4.0612393104233941</v>
      </c>
      <c r="H59" s="1488">
        <f>G59+G15*假设!H62+现金流量表!H38+假设!H118</f>
        <v>4.3557930845381039</v>
      </c>
      <c r="I59" s="1488">
        <f>H59+H15*假设!I62+现金流量表!I38+假设!I118</f>
        <v>4.6622212005753472</v>
      </c>
      <c r="J59" s="1488">
        <f>I59+I15*假设!J62+现金流量表!J38+假设!J118</f>
        <v>4.9810023487047435</v>
      </c>
      <c r="K59" s="1488">
        <f>J59+J15*假设!K62+现金流量表!K38+假设!K118</f>
        <v>5.3126345165256144</v>
      </c>
      <c r="L59" s="1370" t="s">
        <v>787</v>
      </c>
    </row>
    <row r="60" spans="1:12">
      <c r="A60" s="1469"/>
      <c r="B60" s="1507" t="s">
        <v>174</v>
      </c>
      <c r="C60" s="1473">
        <f>VLOOKUP($B60,历史资产负债表!$B$3:$P$147,C$3-2010,FALSE)</f>
        <v>51.788661799899998</v>
      </c>
      <c r="D60" s="1473">
        <f>VLOOKUP($B60,历史资产负债表!$B$3:$P$147,D$3-2010,FALSE)</f>
        <v>48.8242599445</v>
      </c>
      <c r="E60" s="1473">
        <f>VLOOKUP($B60,历史资产负债表!$B$3:$P$147,E$3-2010,FALSE)</f>
        <v>63.527013580200006</v>
      </c>
      <c r="F60" s="1473">
        <f>VLOOKUP($B60,历史资产负债表!$B$3:$P$147,F$3-2010,FALSE)</f>
        <v>65.473048491400007</v>
      </c>
      <c r="G60" s="1488">
        <f ca="1">F60+(损益表!G21+现金流量表!G36)*15%</f>
        <v>67.959476325125351</v>
      </c>
      <c r="H60" s="1488">
        <f ca="1">G60+(损益表!H21+现金流量表!H36)*15%</f>
        <v>70.672784124624926</v>
      </c>
      <c r="I60" s="1488">
        <f ca="1">H60+(损益表!I21+现金流量表!I36)*15%</f>
        <v>73.644127008387542</v>
      </c>
      <c r="J60" s="1488">
        <f ca="1">I60+(损益表!J21+现金流量表!J36)*15%</f>
        <v>76.838616190269846</v>
      </c>
      <c r="K60" s="1488">
        <f ca="1">J60+(损益表!K21+现金流量表!K36)*15%</f>
        <v>80.328561046716487</v>
      </c>
      <c r="L60" s="1370" t="s">
        <v>788</v>
      </c>
    </row>
    <row r="61" spans="1:12">
      <c r="A61" s="1469"/>
      <c r="B61" s="1507" t="s">
        <v>175</v>
      </c>
      <c r="C61" s="1473">
        <f>VLOOKUP($B61,历史资产负债表!$B$3:$P$147,C$3-2010,FALSE)</f>
        <v>9.2038732285000009</v>
      </c>
      <c r="D61" s="1473">
        <f>VLOOKUP($B61,历史资产负债表!$B$3:$P$147,D$3-2010,FALSE)</f>
        <v>10.0033449381</v>
      </c>
      <c r="E61" s="1473">
        <f>VLOOKUP($B61,历史资产负债表!$B$3:$P$147,E$3-2010,FALSE)</f>
        <v>12.204274005699999</v>
      </c>
      <c r="F61" s="1473">
        <f>VLOOKUP($B61,历史资产负债表!$B$3:$P$147,F$3-2010,FALSE)</f>
        <v>-33.160468528300001</v>
      </c>
      <c r="G61" s="1488">
        <f ca="1">F61+(损益表!G21+现金流量表!G36)*85%</f>
        <v>-19.070710803856411</v>
      </c>
      <c r="H61" s="1488">
        <f ca="1">G61+(损益表!H21+现金流量表!H36)*85%</f>
        <v>-3.6952999400254978</v>
      </c>
      <c r="I61" s="1488">
        <f ca="1">H61+(损益表!I21+现金流量表!I36)*85%</f>
        <v>13.142309734629317</v>
      </c>
      <c r="J61" s="1488">
        <f ca="1">I61+(损益表!J21+现金流量表!J36)*85%</f>
        <v>31.244415098629005</v>
      </c>
      <c r="K61" s="1488">
        <f ca="1">J61+(损益表!K21+现金流量表!K36)*85%</f>
        <v>51.02076928516</v>
      </c>
      <c r="L61" s="1370" t="s">
        <v>789</v>
      </c>
    </row>
    <row r="62" spans="1:12">
      <c r="A62" s="1469"/>
      <c r="B62" s="1507" t="s">
        <v>403</v>
      </c>
      <c r="C62" s="1473">
        <f>VLOOKUP($B62,历史资产负债表!$B$3:$P$147,C$3-2010,FALSE)</f>
        <v>0</v>
      </c>
      <c r="D62" s="1473">
        <f>VLOOKUP($B62,历史资产负债表!$B$3:$P$147,D$3-2010,FALSE)</f>
        <v>0</v>
      </c>
      <c r="E62" s="1473">
        <f>VLOOKUP($B62,历史资产负债表!$B$3:$P$147,E$3-2010,FALSE)</f>
        <v>0</v>
      </c>
      <c r="F62" s="1473">
        <f>VLOOKUP($B62,历史资产负债表!$B$3:$P$147,F$3-2010,FALSE)</f>
        <v>0</v>
      </c>
      <c r="G62" s="1488">
        <f>假设!G106</f>
        <v>0</v>
      </c>
      <c r="H62" s="1488">
        <f>假设!H106</f>
        <v>0</v>
      </c>
      <c r="I62" s="1488">
        <f>假设!I106</f>
        <v>0</v>
      </c>
      <c r="J62" s="1488">
        <f>假设!J106</f>
        <v>0</v>
      </c>
      <c r="K62" s="1488">
        <f>假设!K106</f>
        <v>0</v>
      </c>
      <c r="L62" s="1370"/>
    </row>
    <row r="63" spans="1:12" ht="31.2">
      <c r="A63" s="2148">
        <f>F63-SUM(F56:F62)</f>
        <v>0</v>
      </c>
      <c r="B63" s="1506" t="s">
        <v>80</v>
      </c>
      <c r="C63" s="1473">
        <f>VLOOKUP($B63,历史资产负债表!$B$3:$P$147,C$3-2010,FALSE)</f>
        <v>1192.7346885497</v>
      </c>
      <c r="D63" s="1473">
        <f>VLOOKUP($B63,历史资产负债表!$B$3:$P$147,D$3-2010,FALSE)</f>
        <v>1301.0539036373</v>
      </c>
      <c r="E63" s="1473">
        <f>VLOOKUP($B63,历史资产负债表!$B$3:$P$147,E$3-2010,FALSE)</f>
        <v>1389.4604158573002</v>
      </c>
      <c r="F63" s="1473">
        <f>VLOOKUP($B63,历史资产负债表!$B$3:$P$147,F$3-2010,FALSE)</f>
        <v>1325.4108194089999</v>
      </c>
      <c r="G63" s="1510">
        <f ca="1">F63+损益表!G21+F15*假设!G62+现金流量表!G36+现金流量表!G38+假设!G118</f>
        <v>1342.2701445398923</v>
      </c>
      <c r="H63" s="1510">
        <f ca="1">G63+损益表!H21+G15*假设!H62+现金流量表!H36+现金流量表!H38+假设!H118</f>
        <v>1360.6534169773374</v>
      </c>
      <c r="I63" s="1510">
        <f ca="1">H63+损益表!I21+H15*假设!I62+现金流量表!I36+现金流量表!I38+假设!I118</f>
        <v>1380.7687976517923</v>
      </c>
      <c r="J63" s="1510">
        <f ca="1">I63+损益表!J21+I15*假设!J62+现金流量表!J36+现金流量表!J38+假设!J118</f>
        <v>1402.3841733458037</v>
      </c>
      <c r="K63" s="1510">
        <f ca="1">J63+损益表!K21+J15*假设!K62+现金流量表!K36+现金流量表!K38+假设!K118</f>
        <v>1425.9821045566021</v>
      </c>
      <c r="L63" s="2106" t="s">
        <v>2321</v>
      </c>
    </row>
    <row r="64" spans="1:12">
      <c r="A64" s="1469"/>
      <c r="B64" s="1507" t="s">
        <v>21</v>
      </c>
      <c r="C64" s="1473">
        <f>VLOOKUP($B64,历史资产负债表!$B$3:$P$147,C$3-2010,FALSE)</f>
        <v>0.25241433860000001</v>
      </c>
      <c r="D64" s="1473">
        <f>VLOOKUP($B64,历史资产负债表!$B$3:$P$147,D$3-2010,FALSE)</f>
        <v>0.32101177339999998</v>
      </c>
      <c r="E64" s="1473">
        <f>VLOOKUP($B64,历史资产负债表!$B$3:$P$147,E$3-2010,FALSE)</f>
        <v>0.33542519260000003</v>
      </c>
      <c r="F64" s="1473">
        <f>VLOOKUP($B64,历史资产负债表!$B$3:$P$147,F$3-2010,FALSE)</f>
        <v>0.34634228299999997</v>
      </c>
      <c r="G64" s="1488">
        <f ca="1">F64+损益表!G22</f>
        <v>0.35825808752488336</v>
      </c>
      <c r="H64" s="1488">
        <f ca="1">G64+损益表!H22</f>
        <v>0.37101320794930404</v>
      </c>
      <c r="I64" s="1488">
        <f ca="1">H64+损益表!I22</f>
        <v>0.38489275209255291</v>
      </c>
      <c r="J64" s="1488">
        <f ca="1">I64+损益表!J22</f>
        <v>0.39986483894457803</v>
      </c>
      <c r="K64" s="1488">
        <f ca="1">J64+损益表!K22</f>
        <v>0.41616405685920077</v>
      </c>
      <c r="L64" s="1370" t="s">
        <v>413</v>
      </c>
    </row>
    <row r="65" spans="1:28" ht="15.6">
      <c r="A65" s="1469"/>
      <c r="B65" s="1505" t="s">
        <v>81</v>
      </c>
      <c r="C65" s="1473">
        <f>VLOOKUP($B65,历史资产负债表!$B$3:$P$147,C$3-2010,FALSE)</f>
        <v>1192.9871028883001</v>
      </c>
      <c r="D65" s="1473">
        <f>VLOOKUP($B65,历史资产负债表!$B$3:$P$147,D$3-2010,FALSE)</f>
        <v>1301.3749154107002</v>
      </c>
      <c r="E65" s="1473">
        <f>VLOOKUP($B65,历史资产负债表!$B$3:$P$147,E$3-2010,FALSE)</f>
        <v>1389.7958410499</v>
      </c>
      <c r="F65" s="1473">
        <f>VLOOKUP($B65,历史资产负债表!$B$3:$P$147,F$3-2010,FALSE)</f>
        <v>1325.757161692</v>
      </c>
      <c r="G65" s="1488">
        <f ca="1">SUM(G63:G64)</f>
        <v>1342.6284026274172</v>
      </c>
      <c r="H65" s="1488">
        <f ca="1">SUM(H63:H64)</f>
        <v>1361.0244301852867</v>
      </c>
      <c r="I65" s="1488">
        <f ca="1">SUM(I63:I64)</f>
        <v>1381.1536904038849</v>
      </c>
      <c r="J65" s="1488">
        <f ca="1">SUM(J63:J64)</f>
        <v>1402.7840381847482</v>
      </c>
      <c r="K65" s="1488">
        <f ca="1">SUM(K63:K64)</f>
        <v>1426.3982686134611</v>
      </c>
      <c r="L65" s="1511"/>
    </row>
    <row r="66" spans="1:28" ht="15.6">
      <c r="A66" s="1469"/>
      <c r="B66" s="1505" t="s">
        <v>320</v>
      </c>
      <c r="C66" s="1512">
        <f t="shared" ref="C66:F66" si="9">C65+C54</f>
        <v>1600.2992327976001</v>
      </c>
      <c r="D66" s="1512">
        <f t="shared" si="9"/>
        <v>1806.3082811622003</v>
      </c>
      <c r="E66" s="1512">
        <f t="shared" si="9"/>
        <v>1911.4739767265</v>
      </c>
      <c r="F66" s="1512">
        <f t="shared" si="9"/>
        <v>1880.0724029154999</v>
      </c>
      <c r="G66" s="1488">
        <f ca="1">G65+G54</f>
        <v>1928.3316045195388</v>
      </c>
      <c r="H66" s="1488">
        <f ca="1">H65+H54+H71</f>
        <v>1958.8768385433625</v>
      </c>
      <c r="I66" s="1488">
        <f ca="1">I65+I54+I71</f>
        <v>1991.054870591573</v>
      </c>
      <c r="J66" s="1488">
        <f ca="1">J65+J54+J71</f>
        <v>2024.338601493984</v>
      </c>
      <c r="K66" s="1488">
        <f ca="1">K65+K54+K71</f>
        <v>2060.0631776215037</v>
      </c>
      <c r="L66" s="1513"/>
    </row>
    <row r="67" spans="1:28" ht="15.6">
      <c r="A67" s="1469"/>
      <c r="B67" s="1506"/>
      <c r="C67" s="1512"/>
      <c r="D67" s="1512"/>
      <c r="E67" s="1512"/>
      <c r="F67" s="1512"/>
      <c r="G67" s="1488"/>
      <c r="H67" s="1488"/>
      <c r="I67" s="1488"/>
      <c r="J67" s="1488"/>
      <c r="K67" s="1488"/>
      <c r="L67" s="1513"/>
      <c r="M67" s="1513"/>
      <c r="N67" s="1513"/>
      <c r="O67" s="1513"/>
      <c r="P67" s="1513"/>
      <c r="Q67" s="1513"/>
    </row>
    <row r="68" spans="1:28" s="2105" customFormat="1" ht="15.6">
      <c r="A68" s="1030"/>
      <c r="B68" s="2102" t="s">
        <v>606</v>
      </c>
      <c r="C68" s="2103" t="str">
        <f t="shared" ref="C68:F68" si="10">IF(ABS(C31-C66)&lt;0.0001,"平衡",C31-C66)</f>
        <v>平衡</v>
      </c>
      <c r="D68" s="2103" t="str">
        <f t="shared" si="10"/>
        <v>平衡</v>
      </c>
      <c r="E68" s="2103" t="str">
        <f t="shared" si="10"/>
        <v>平衡</v>
      </c>
      <c r="F68" s="2103" t="str">
        <f t="shared" si="10"/>
        <v>平衡</v>
      </c>
      <c r="G68" s="2162">
        <f ca="1">IF(ABS(G31-G66)&lt;0.001,"平衡",G31-G66)</f>
        <v>-2.7961165003489441E-3</v>
      </c>
      <c r="H68" s="2162">
        <f ca="1">IF(ABS(H31-H66)&lt;0.001,"平衡",H31-H66)</f>
        <v>-2.7961164998941967E-3</v>
      </c>
      <c r="I68" s="2162">
        <f ca="1">IF(ABS(I31-I66)&lt;0.001,"平衡",I31-I66)</f>
        <v>-2.7961165005763178E-3</v>
      </c>
      <c r="J68" s="2162">
        <f ca="1">IF(ABS(J31-J66)&lt;0.001,"平衡",J31-J66)</f>
        <v>-2.7961165003489441E-3</v>
      </c>
      <c r="K68" s="2162">
        <f ca="1">IF(ABS(K31-K66)&lt;0.001,"平衡",K31-K66)</f>
        <v>-2.7961165010310651E-3</v>
      </c>
      <c r="L68" s="2104"/>
      <c r="M68" s="2104"/>
    </row>
    <row r="69" spans="1:28" ht="15.6">
      <c r="A69" s="1469"/>
      <c r="B69" s="1109"/>
      <c r="C69" s="1512"/>
      <c r="D69" s="1512"/>
      <c r="E69" s="1512"/>
      <c r="F69" s="1515"/>
      <c r="G69" s="1516"/>
      <c r="H69" s="1516"/>
      <c r="I69" s="2123"/>
      <c r="J69" s="1516"/>
      <c r="K69" s="1516"/>
      <c r="L69" s="1514"/>
      <c r="M69" s="1372"/>
    </row>
    <row r="70" spans="1:28" ht="15.6">
      <c r="A70" s="1469"/>
      <c r="B70" s="1109" t="s">
        <v>607</v>
      </c>
      <c r="C70" s="1517">
        <f>C54/C31</f>
        <v>0.2545224802721725</v>
      </c>
      <c r="D70" s="1517">
        <f t="shared" ref="D70:F70" si="11">D54/D31</f>
        <v>0.27953886444379245</v>
      </c>
      <c r="E70" s="1517">
        <f t="shared" si="11"/>
        <v>0.27291929789700897</v>
      </c>
      <c r="F70" s="1517">
        <f t="shared" si="11"/>
        <v>0.29483717774054991</v>
      </c>
      <c r="G70" s="1518">
        <f ca="1">G54/G31</f>
        <v>0.30373616747300303</v>
      </c>
      <c r="H70" s="1518">
        <f ca="1">H54/H31</f>
        <v>0.30520206782534742</v>
      </c>
      <c r="I70" s="1518">
        <f ca="1">I54/I31</f>
        <v>0.30632105910564117</v>
      </c>
      <c r="J70" s="1518">
        <f ca="1">J54/J31</f>
        <v>0.30704123380030457</v>
      </c>
      <c r="K70" s="1518">
        <f ca="1">K54/K31</f>
        <v>0.30759530870891794</v>
      </c>
      <c r="L70" s="1514"/>
      <c r="M70" s="1372"/>
    </row>
    <row r="71" spans="1:28">
      <c r="A71" s="1469"/>
      <c r="B71" s="1469"/>
      <c r="C71" s="1512"/>
      <c r="D71" s="1512"/>
      <c r="E71" s="1512"/>
      <c r="F71" s="1515"/>
      <c r="G71" s="2120"/>
      <c r="H71" s="2121"/>
      <c r="I71" s="2121"/>
      <c r="J71" s="2121"/>
      <c r="K71" s="2121"/>
      <c r="L71" s="1514"/>
      <c r="M71" s="1372"/>
    </row>
    <row r="72" spans="1:28" ht="16.2" outlineLevel="1" thickBot="1">
      <c r="A72" s="1469"/>
      <c r="B72" s="1519" t="s">
        <v>357</v>
      </c>
      <c r="C72" s="1520"/>
      <c r="D72" s="1520"/>
      <c r="E72" s="1520"/>
      <c r="F72" s="1520"/>
      <c r="G72" s="2124"/>
      <c r="H72" s="2124"/>
      <c r="I72" s="2124"/>
      <c r="J72" s="2124"/>
      <c r="K72" s="2124"/>
      <c r="L72" s="1521"/>
    </row>
    <row r="73" spans="1:28" outlineLevel="1">
      <c r="A73" s="1469"/>
      <c r="B73" s="1522" t="s">
        <v>7</v>
      </c>
      <c r="C73" s="1523">
        <f t="shared" ref="C73:F73" si="12">C7</f>
        <v>5.3954805315000005</v>
      </c>
      <c r="D73" s="1523">
        <f t="shared" si="12"/>
        <v>3.4855679111</v>
      </c>
      <c r="E73" s="1523">
        <f t="shared" si="12"/>
        <v>4.2035258193999994</v>
      </c>
      <c r="F73" s="1523">
        <f t="shared" si="12"/>
        <v>4.7360659083999996</v>
      </c>
      <c r="G73" s="1524">
        <f>G7</f>
        <v>4.7765012627091714</v>
      </c>
      <c r="H73" s="1524">
        <f t="shared" ref="H73:K73" si="13">H7</f>
        <v>4.9132699504772814</v>
      </c>
      <c r="I73" s="1524">
        <f t="shared" si="13"/>
        <v>5.0306630741449085</v>
      </c>
      <c r="J73" s="1524">
        <f t="shared" si="13"/>
        <v>5.1365516716931099</v>
      </c>
      <c r="K73" s="1524">
        <f t="shared" si="13"/>
        <v>5.2447698183873701</v>
      </c>
      <c r="L73" s="1525"/>
      <c r="M73" s="1526"/>
      <c r="N73" s="1526"/>
      <c r="O73" s="1526"/>
      <c r="P73" s="1526"/>
      <c r="R73" s="1527"/>
      <c r="S73" s="1527"/>
      <c r="T73" s="1527"/>
      <c r="U73" s="1527"/>
      <c r="V73" s="1527"/>
      <c r="W73" s="1527"/>
      <c r="X73" s="1527"/>
      <c r="Y73" s="1527"/>
      <c r="Z73" s="1527"/>
      <c r="AA73" s="1527"/>
      <c r="AB73" s="1527"/>
    </row>
    <row r="74" spans="1:28" outlineLevel="1">
      <c r="A74" s="1469"/>
      <c r="B74" s="1522" t="s">
        <v>8</v>
      </c>
      <c r="C74" s="1523">
        <f t="shared" ref="C74:F74" si="14">C10</f>
        <v>6.6785011347000003</v>
      </c>
      <c r="D74" s="1523">
        <f t="shared" si="14"/>
        <v>5.1855814192</v>
      </c>
      <c r="E74" s="1523">
        <f t="shared" si="14"/>
        <v>4.6764850181000002</v>
      </c>
      <c r="F74" s="1523">
        <f t="shared" si="14"/>
        <v>4.0062520119</v>
      </c>
      <c r="G74" s="1524">
        <f>G10</f>
        <v>4.2907824513775354</v>
      </c>
      <c r="H74" s="1524">
        <f t="shared" ref="H74:K74" si="15">H10</f>
        <v>4.3980520126619735</v>
      </c>
      <c r="I74" s="1524">
        <f t="shared" si="15"/>
        <v>4.5080033129785217</v>
      </c>
      <c r="J74" s="1524">
        <f t="shared" si="15"/>
        <v>4.6207033958029848</v>
      </c>
      <c r="K74" s="1524">
        <f t="shared" si="15"/>
        <v>4.7362209806980591</v>
      </c>
      <c r="L74" s="1525"/>
      <c r="M74" s="1526"/>
      <c r="N74" s="1526"/>
      <c r="O74" s="1526"/>
      <c r="P74" s="1526"/>
      <c r="R74" s="1527"/>
      <c r="S74" s="1527"/>
      <c r="T74" s="1527"/>
      <c r="U74" s="1527"/>
      <c r="V74" s="1527"/>
    </row>
    <row r="75" spans="1:28" outlineLevel="1">
      <c r="A75" s="1469"/>
      <c r="B75" s="1522" t="s">
        <v>9</v>
      </c>
      <c r="C75" s="1523">
        <f t="shared" ref="C75:G75" si="16">C9</f>
        <v>32.228979067099999</v>
      </c>
      <c r="D75" s="1523">
        <f t="shared" si="16"/>
        <v>36.706841884299998</v>
      </c>
      <c r="E75" s="1523">
        <f t="shared" si="16"/>
        <v>56.0319517549</v>
      </c>
      <c r="F75" s="1523">
        <f t="shared" si="16"/>
        <v>30.355245955800001</v>
      </c>
      <c r="G75" s="1524">
        <f t="shared" si="16"/>
        <v>24.709700000000002</v>
      </c>
      <c r="H75" s="1524">
        <f t="shared" ref="H75:K75" si="17">H9</f>
        <v>27.532472977899999</v>
      </c>
      <c r="I75" s="1524">
        <f t="shared" si="17"/>
        <v>26.121086488949999</v>
      </c>
      <c r="J75" s="1524">
        <f t="shared" si="17"/>
        <v>26.826779733424999</v>
      </c>
      <c r="K75" s="1524">
        <f t="shared" si="17"/>
        <v>26.473933111187499</v>
      </c>
      <c r="L75" s="1525"/>
      <c r="M75" s="1526"/>
      <c r="N75" s="1526"/>
      <c r="O75" s="1526"/>
      <c r="P75" s="1526"/>
      <c r="R75" s="1527"/>
      <c r="S75" s="1527"/>
      <c r="T75" s="1527"/>
      <c r="U75" s="1527"/>
      <c r="V75" s="1527"/>
    </row>
    <row r="76" spans="1:28" outlineLevel="1">
      <c r="A76" s="1469"/>
      <c r="B76" s="1522" t="s">
        <v>10</v>
      </c>
      <c r="C76" s="1523">
        <f t="shared" ref="C76:G76" si="18">C8</f>
        <v>3.7662921479000002</v>
      </c>
      <c r="D76" s="1523">
        <f t="shared" si="18"/>
        <v>17.036731602</v>
      </c>
      <c r="E76" s="1523">
        <f t="shared" si="18"/>
        <v>2.3471658267</v>
      </c>
      <c r="F76" s="1523">
        <f t="shared" si="18"/>
        <v>2.6679724946999999</v>
      </c>
      <c r="G76" s="1524">
        <f t="shared" si="18"/>
        <v>2.7016746359372865</v>
      </c>
      <c r="H76" s="1524">
        <f t="shared" ref="H76:K76" si="19">H8</f>
        <v>2.8637751140935244</v>
      </c>
      <c r="I76" s="1524">
        <f t="shared" si="19"/>
        <v>3.0356016209391359</v>
      </c>
      <c r="J76" s="1524">
        <f t="shared" si="19"/>
        <v>3.217737718195484</v>
      </c>
      <c r="K76" s="1524">
        <f t="shared" si="19"/>
        <v>3.410801981287213</v>
      </c>
      <c r="L76" s="1525"/>
      <c r="M76" s="1526"/>
      <c r="N76" s="1526"/>
      <c r="O76" s="1526"/>
      <c r="P76" s="1526"/>
      <c r="R76" s="1527"/>
      <c r="S76" s="1527"/>
      <c r="T76" s="1527"/>
      <c r="U76" s="1527"/>
      <c r="V76" s="1527"/>
    </row>
    <row r="77" spans="1:28" outlineLevel="1">
      <c r="A77" s="1469"/>
      <c r="B77" s="1522" t="s">
        <v>161</v>
      </c>
      <c r="C77" s="1523">
        <f>C12+C11</f>
        <v>0</v>
      </c>
      <c r="D77" s="1523">
        <f t="shared" ref="D77:F77" si="20">D12+D11</f>
        <v>0</v>
      </c>
      <c r="E77" s="1523">
        <f t="shared" si="20"/>
        <v>2.3688555907</v>
      </c>
      <c r="F77" s="1523">
        <f t="shared" si="20"/>
        <v>29.343291296099999</v>
      </c>
      <c r="G77" s="1524">
        <f>G12+G11</f>
        <v>29.343291296099999</v>
      </c>
      <c r="H77" s="1524">
        <f t="shared" ref="H77:K77" si="21">H12+H11</f>
        <v>29.343291296099999</v>
      </c>
      <c r="I77" s="1524">
        <f t="shared" si="21"/>
        <v>29.343291296099999</v>
      </c>
      <c r="J77" s="1524">
        <f t="shared" si="21"/>
        <v>29.343291296099999</v>
      </c>
      <c r="K77" s="1524">
        <f t="shared" si="21"/>
        <v>29.343291296099999</v>
      </c>
      <c r="L77" s="1525"/>
      <c r="M77" s="1526"/>
      <c r="N77" s="1526"/>
      <c r="O77" s="1526"/>
      <c r="P77" s="1526"/>
      <c r="R77" s="1527"/>
      <c r="S77" s="1527"/>
      <c r="T77" s="1527"/>
      <c r="U77" s="1527"/>
      <c r="V77" s="1527"/>
    </row>
    <row r="78" spans="1:28" outlineLevel="1">
      <c r="A78" s="1469"/>
      <c r="B78" s="1522"/>
      <c r="C78" s="1523"/>
      <c r="D78" s="1523"/>
      <c r="E78" s="1523"/>
      <c r="F78" s="1523"/>
      <c r="G78" s="1524"/>
      <c r="H78" s="1524"/>
      <c r="I78" s="1524"/>
      <c r="J78" s="1524"/>
      <c r="K78" s="1524"/>
      <c r="L78" s="1525"/>
      <c r="M78" s="1526"/>
      <c r="N78" s="1526"/>
      <c r="O78" s="1526"/>
      <c r="P78" s="1526"/>
      <c r="R78" s="1527"/>
      <c r="S78" s="1527"/>
      <c r="T78" s="1527"/>
      <c r="U78" s="1527"/>
      <c r="V78" s="1527"/>
    </row>
    <row r="79" spans="1:28" outlineLevel="1">
      <c r="A79" s="1469"/>
      <c r="B79" s="1522" t="s">
        <v>15</v>
      </c>
      <c r="C79" s="1523">
        <f t="shared" ref="C79:F79" si="22">C35</f>
        <v>77.712229931400003</v>
      </c>
      <c r="D79" s="1523">
        <f t="shared" si="22"/>
        <v>105.63760728129999</v>
      </c>
      <c r="E79" s="1523">
        <f t="shared" si="22"/>
        <v>74.178976668600001</v>
      </c>
      <c r="F79" s="1523">
        <f t="shared" si="22"/>
        <v>80.1626164356</v>
      </c>
      <c r="G79" s="1524">
        <f ca="1">G35</f>
        <v>82.542705716973941</v>
      </c>
      <c r="H79" s="1524">
        <f ca="1">H35</f>
        <v>84.97391146033037</v>
      </c>
      <c r="I79" s="1524">
        <f ca="1">I35</f>
        <v>86.986529157479183</v>
      </c>
      <c r="J79" s="1524">
        <f ca="1">J35</f>
        <v>88.801536985512612</v>
      </c>
      <c r="K79" s="1524">
        <f ca="1">K35</f>
        <v>90.599105574327368</v>
      </c>
      <c r="L79" s="1525"/>
      <c r="M79" s="1526"/>
      <c r="N79" s="1526"/>
      <c r="O79" s="1526"/>
      <c r="P79" s="1526"/>
      <c r="R79" s="1527"/>
      <c r="S79" s="1527"/>
      <c r="T79" s="1527"/>
      <c r="U79" s="1527"/>
      <c r="V79" s="1527"/>
    </row>
    <row r="80" spans="1:28" outlineLevel="1">
      <c r="A80" s="1469"/>
      <c r="B80" s="1522" t="s">
        <v>16</v>
      </c>
      <c r="C80" s="1523">
        <f t="shared" ref="C80:G80" si="23">C36</f>
        <v>29.8013003033</v>
      </c>
      <c r="D80" s="1523">
        <f t="shared" si="23"/>
        <v>34.717300991199998</v>
      </c>
      <c r="E80" s="1523">
        <f t="shared" si="23"/>
        <v>50.190198178900005</v>
      </c>
      <c r="F80" s="1523">
        <f t="shared" si="23"/>
        <v>52.999565051600001</v>
      </c>
      <c r="G80" s="1524">
        <f t="shared" si="23"/>
        <v>55.195825124665298</v>
      </c>
      <c r="H80" s="1524">
        <f t="shared" ref="H80:K80" si="24">H36</f>
        <v>56.776283321445263</v>
      </c>
      <c r="I80" s="1524">
        <f t="shared" si="24"/>
        <v>58.132843273681388</v>
      </c>
      <c r="J80" s="1524">
        <f t="shared" si="24"/>
        <v>59.35646035059839</v>
      </c>
      <c r="K80" s="1524">
        <f t="shared" si="24"/>
        <v>60.606997003207553</v>
      </c>
      <c r="L80" s="1525"/>
      <c r="M80" s="1526"/>
      <c r="N80" s="1526"/>
      <c r="O80" s="1526"/>
      <c r="P80" s="1526"/>
      <c r="R80" s="1527"/>
      <c r="S80" s="1527"/>
      <c r="T80" s="1527"/>
      <c r="U80" s="1527"/>
      <c r="V80" s="1527"/>
    </row>
    <row r="81" spans="1:22" outlineLevel="1">
      <c r="A81" s="1469"/>
      <c r="B81" s="1522" t="s">
        <v>93</v>
      </c>
      <c r="C81" s="1523">
        <f t="shared" ref="C81:F81" si="25">C37</f>
        <v>1.5038346653000001</v>
      </c>
      <c r="D81" s="1523">
        <f t="shared" si="25"/>
        <v>1.5185370650999999</v>
      </c>
      <c r="E81" s="1523">
        <f t="shared" si="25"/>
        <v>0.86527297910000001</v>
      </c>
      <c r="F81" s="1523">
        <f t="shared" si="25"/>
        <v>1.0857833706</v>
      </c>
      <c r="G81" s="1524">
        <f>G37</f>
        <v>1.1655</v>
      </c>
      <c r="H81" s="1524">
        <f t="shared" ref="H81:K81" si="26">H37</f>
        <v>1.1655</v>
      </c>
      <c r="I81" s="1524">
        <f t="shared" si="26"/>
        <v>1.1655</v>
      </c>
      <c r="J81" s="1524">
        <f t="shared" si="26"/>
        <v>1.1655</v>
      </c>
      <c r="K81" s="1524">
        <f t="shared" si="26"/>
        <v>1.1655</v>
      </c>
      <c r="L81" s="1525"/>
      <c r="M81" s="1526"/>
      <c r="N81" s="1526"/>
      <c r="O81" s="1526"/>
      <c r="P81" s="1526"/>
      <c r="R81" s="1527"/>
      <c r="S81" s="1527"/>
      <c r="T81" s="1527"/>
      <c r="U81" s="1527"/>
      <c r="V81" s="1527"/>
    </row>
    <row r="82" spans="1:22" outlineLevel="1">
      <c r="A82" s="1469"/>
      <c r="B82" s="1522" t="s">
        <v>28</v>
      </c>
      <c r="C82" s="1523">
        <f t="shared" ref="C82:G82" si="27">C40</f>
        <v>266.76762009070001</v>
      </c>
      <c r="D82" s="1523">
        <f t="shared" si="27"/>
        <v>316.42235483280001</v>
      </c>
      <c r="E82" s="1523">
        <f t="shared" si="27"/>
        <v>343.82479675349998</v>
      </c>
      <c r="F82" s="1523">
        <f t="shared" si="27"/>
        <v>335.59874685</v>
      </c>
      <c r="G82" s="1524">
        <f t="shared" si="27"/>
        <v>371.36110000000002</v>
      </c>
      <c r="H82" s="1524">
        <f t="shared" ref="H82:K82" si="28">H40</f>
        <v>371.36110000000002</v>
      </c>
      <c r="I82" s="1524">
        <f t="shared" si="28"/>
        <v>371.36110000000002</v>
      </c>
      <c r="J82" s="1524">
        <f t="shared" si="28"/>
        <v>371.36110000000002</v>
      </c>
      <c r="K82" s="1524">
        <f t="shared" si="28"/>
        <v>371.36110000000002</v>
      </c>
      <c r="L82" s="1525"/>
      <c r="M82" s="1526"/>
      <c r="N82" s="1526"/>
      <c r="O82" s="1526"/>
      <c r="P82" s="1526"/>
      <c r="R82" s="1527"/>
      <c r="S82" s="1527"/>
      <c r="T82" s="1527"/>
      <c r="U82" s="1527"/>
      <c r="V82" s="1527"/>
    </row>
    <row r="83" spans="1:22" outlineLevel="1">
      <c r="A83" s="1469"/>
      <c r="B83" s="1522" t="s">
        <v>355</v>
      </c>
      <c r="C83" s="1523">
        <f t="shared" ref="C83:F83" si="29">C38</f>
        <v>13.6157706968</v>
      </c>
      <c r="D83" s="1523">
        <f t="shared" si="29"/>
        <v>9.9872529684</v>
      </c>
      <c r="E83" s="1523">
        <f t="shared" si="29"/>
        <v>15.828548062399999</v>
      </c>
      <c r="F83" s="1523">
        <f t="shared" si="29"/>
        <v>27.846580056200001</v>
      </c>
      <c r="G83" s="1524">
        <f ca="1">G38</f>
        <v>22.248002726755928</v>
      </c>
      <c r="H83" s="1524">
        <f ca="1">H38</f>
        <v>22.369494487846005</v>
      </c>
      <c r="I83" s="1524">
        <f ca="1">I38</f>
        <v>23.038520651694171</v>
      </c>
      <c r="J83" s="1524">
        <f ca="1">J38</f>
        <v>23.644825005974365</v>
      </c>
      <c r="K83" s="1524">
        <f ca="1">K38</f>
        <v>24.701306931386725</v>
      </c>
      <c r="L83" s="1525"/>
      <c r="M83" s="1526"/>
      <c r="N83" s="1526"/>
      <c r="O83" s="1526"/>
      <c r="P83" s="1526"/>
      <c r="R83" s="1527"/>
      <c r="S83" s="1527"/>
      <c r="T83" s="1527"/>
      <c r="U83" s="1527"/>
      <c r="V83" s="1527"/>
    </row>
    <row r="84" spans="1:22" outlineLevel="1">
      <c r="A84" s="1469"/>
      <c r="B84" s="1522" t="s">
        <v>94</v>
      </c>
      <c r="C84" s="1523">
        <f t="shared" ref="C84:G84" si="30">C42</f>
        <v>0</v>
      </c>
      <c r="D84" s="1523">
        <f t="shared" si="30"/>
        <v>0</v>
      </c>
      <c r="E84" s="1523">
        <f t="shared" si="30"/>
        <v>0</v>
      </c>
      <c r="F84" s="1523">
        <f t="shared" si="30"/>
        <v>0</v>
      </c>
      <c r="G84" s="1524">
        <f t="shared" si="30"/>
        <v>0</v>
      </c>
      <c r="H84" s="1524">
        <f t="shared" ref="H84:K84" si="31">H42</f>
        <v>0</v>
      </c>
      <c r="I84" s="1524">
        <f t="shared" si="31"/>
        <v>0</v>
      </c>
      <c r="J84" s="1524">
        <f t="shared" si="31"/>
        <v>0</v>
      </c>
      <c r="K84" s="1524">
        <f t="shared" si="31"/>
        <v>0</v>
      </c>
      <c r="L84" s="1525"/>
      <c r="M84" s="1526"/>
      <c r="N84" s="1526"/>
      <c r="O84" s="1526"/>
      <c r="P84" s="1526"/>
      <c r="R84" s="1527"/>
      <c r="S84" s="1527"/>
      <c r="T84" s="1527"/>
      <c r="U84" s="1527"/>
      <c r="V84" s="1527"/>
    </row>
    <row r="85" spans="1:22" outlineLevel="1">
      <c r="A85" s="1469"/>
      <c r="B85" s="1522"/>
      <c r="C85" s="1523"/>
      <c r="D85" s="1523"/>
      <c r="E85" s="1523"/>
      <c r="F85" s="1523"/>
      <c r="G85" s="1524"/>
      <c r="H85" s="1524"/>
      <c r="I85" s="1524"/>
      <c r="J85" s="1524"/>
      <c r="K85" s="1524"/>
      <c r="L85" s="1525"/>
      <c r="M85" s="1526"/>
      <c r="N85" s="1526"/>
      <c r="R85" s="1527"/>
      <c r="S85" s="1527"/>
      <c r="T85" s="1527"/>
      <c r="U85" s="1527"/>
      <c r="V85" s="1527"/>
    </row>
    <row r="86" spans="1:22" outlineLevel="1">
      <c r="A86" s="1469"/>
      <c r="B86" s="1522" t="s">
        <v>356</v>
      </c>
      <c r="C86" s="1523">
        <f t="shared" ref="C86:F86" si="32">SUM(C73:C77)-SUM(C79:C84)</f>
        <v>-341.33150280630002</v>
      </c>
      <c r="D86" s="1523">
        <f t="shared" si="32"/>
        <v>-405.86833032219999</v>
      </c>
      <c r="E86" s="1523">
        <f t="shared" si="32"/>
        <v>-415.25980863269996</v>
      </c>
      <c r="F86" s="1523">
        <f t="shared" si="32"/>
        <v>-426.58446409710007</v>
      </c>
      <c r="G86" s="1524">
        <f ca="1">SUM(G73:G77)-SUM(G79:G84)</f>
        <v>-466.69118392227114</v>
      </c>
      <c r="H86" s="1524">
        <f ca="1">SUM(H73:H77)-SUM(H79:H84)</f>
        <v>-467.59542791838885</v>
      </c>
      <c r="I86" s="1524">
        <f ca="1">SUM(I73:I77)-SUM(I79:I84)</f>
        <v>-472.64584728974216</v>
      </c>
      <c r="J86" s="1524">
        <f ca="1">SUM(J73:J77)-SUM(J79:J84)</f>
        <v>-475.18435852686872</v>
      </c>
      <c r="K86" s="1524">
        <f ca="1">SUM(K73:K77)-SUM(K79:K84)</f>
        <v>-479.22499232126154</v>
      </c>
      <c r="L86" s="1525"/>
      <c r="N86" s="1526"/>
      <c r="R86" s="1527"/>
      <c r="S86" s="1527"/>
      <c r="T86" s="1527"/>
      <c r="U86" s="1527"/>
      <c r="V86" s="1527"/>
    </row>
    <row r="87" spans="1:22" outlineLevel="1">
      <c r="A87" s="1469"/>
      <c r="B87" s="1528" t="s">
        <v>185</v>
      </c>
      <c r="C87" s="1529"/>
      <c r="D87" s="1529">
        <f>D86-C86</f>
        <v>-64.536827515899972</v>
      </c>
      <c r="E87" s="1529">
        <f t="shared" ref="E87:F87" si="33">E86-D86</f>
        <v>-9.3914783104999628</v>
      </c>
      <c r="F87" s="1529">
        <f t="shared" si="33"/>
        <v>-11.324655464400109</v>
      </c>
      <c r="G87" s="1530">
        <f ca="1">G86-F86</f>
        <v>-40.106719825171069</v>
      </c>
      <c r="H87" s="1530">
        <f ca="1">H86-G86</f>
        <v>-0.90424399611771378</v>
      </c>
      <c r="I87" s="1530">
        <f ca="1">I86-H86</f>
        <v>-5.0504193713533141</v>
      </c>
      <c r="J87" s="1530">
        <f ca="1">J86-I86</f>
        <v>-2.5385112371265564</v>
      </c>
      <c r="K87" s="1530">
        <f ca="1">K86-J86</f>
        <v>-4.0406337943928179</v>
      </c>
      <c r="L87" s="1525"/>
      <c r="N87" s="1526"/>
      <c r="R87" s="1527"/>
      <c r="S87" s="1527"/>
      <c r="T87" s="1527"/>
      <c r="U87" s="1527"/>
      <c r="V87" s="1527"/>
    </row>
    <row r="88" spans="1:22">
      <c r="B88" s="1531" t="s">
        <v>1263</v>
      </c>
      <c r="C88" s="1532">
        <f t="shared" ref="C88:F88" si="34">SUM(C73:C77)</f>
        <v>48.069252881200001</v>
      </c>
      <c r="D88" s="1532">
        <f t="shared" si="34"/>
        <v>62.414722816600005</v>
      </c>
      <c r="E88" s="1532">
        <f t="shared" si="34"/>
        <v>69.627984009800002</v>
      </c>
      <c r="F88" s="1532">
        <f t="shared" si="34"/>
        <v>71.108827666899998</v>
      </c>
      <c r="G88" s="1533">
        <f>SUM(G73:G77)</f>
        <v>65.821949646123997</v>
      </c>
      <c r="H88" s="1533">
        <f t="shared" ref="H88:K88" si="35">SUM(H73:H77)</f>
        <v>69.050861351232783</v>
      </c>
      <c r="I88" s="1533">
        <f t="shared" si="35"/>
        <v>68.038645793112551</v>
      </c>
      <c r="J88" s="1533">
        <f t="shared" si="35"/>
        <v>69.145063815216588</v>
      </c>
      <c r="K88" s="1533">
        <f t="shared" si="35"/>
        <v>69.209017187660137</v>
      </c>
      <c r="R88" s="1527"/>
      <c r="S88" s="1527"/>
      <c r="T88" s="1527"/>
      <c r="U88" s="1527"/>
      <c r="V88" s="1527"/>
    </row>
    <row r="89" spans="1:22">
      <c r="B89" s="1534" t="s">
        <v>1265</v>
      </c>
      <c r="C89" s="1532"/>
      <c r="D89" s="1532">
        <f>D88-C88</f>
        <v>14.345469935400004</v>
      </c>
      <c r="E89" s="1532">
        <f t="shared" ref="E89:G89" si="36">E88-D88</f>
        <v>7.2132611931999975</v>
      </c>
      <c r="F89" s="1532">
        <f t="shared" si="36"/>
        <v>1.4808436570999959</v>
      </c>
      <c r="G89" s="1533">
        <f t="shared" si="36"/>
        <v>-5.2868780207760011</v>
      </c>
      <c r="H89" s="1533">
        <f t="shared" ref="H89" si="37">H88-G88</f>
        <v>3.2289117051087857</v>
      </c>
      <c r="I89" s="1533">
        <f t="shared" ref="I89" si="38">I88-H88</f>
        <v>-1.0122155581202321</v>
      </c>
      <c r="J89" s="1533">
        <f t="shared" ref="J89" si="39">J88-I88</f>
        <v>1.1064180221040374</v>
      </c>
      <c r="K89" s="1533">
        <f t="shared" ref="K89" si="40">K88-J88</f>
        <v>6.3953372443549483E-2</v>
      </c>
      <c r="R89" s="1527"/>
      <c r="S89" s="1527"/>
      <c r="T89" s="1527"/>
      <c r="U89" s="1527"/>
      <c r="V89" s="1527"/>
    </row>
    <row r="90" spans="1:22">
      <c r="B90" s="1531" t="s">
        <v>1264</v>
      </c>
      <c r="C90" s="1532">
        <f t="shared" ref="C90:F90" si="41">SUM(C79:C84)</f>
        <v>389.40075568750001</v>
      </c>
      <c r="D90" s="1532">
        <f t="shared" si="41"/>
        <v>468.28305313879997</v>
      </c>
      <c r="E90" s="1532">
        <f t="shared" si="41"/>
        <v>484.88779264249996</v>
      </c>
      <c r="F90" s="1532">
        <f t="shared" si="41"/>
        <v>497.69329176400004</v>
      </c>
      <c r="G90" s="1533">
        <f ca="1">SUM(G79:G84)</f>
        <v>532.51313356839512</v>
      </c>
      <c r="H90" s="1533">
        <f ca="1">SUM(H79:H84)</f>
        <v>536.64628926962166</v>
      </c>
      <c r="I90" s="1533">
        <f ca="1">SUM(I79:I84)</f>
        <v>540.68449308285471</v>
      </c>
      <c r="J90" s="1533">
        <f ca="1">SUM(J79:J84)</f>
        <v>544.32942234208531</v>
      </c>
      <c r="K90" s="1533">
        <f ca="1">SUM(K79:K84)</f>
        <v>548.43400950892169</v>
      </c>
      <c r="R90" s="1527"/>
      <c r="S90" s="1527"/>
      <c r="T90" s="1527"/>
      <c r="U90" s="1527"/>
      <c r="V90" s="1527"/>
    </row>
    <row r="91" spans="1:22">
      <c r="B91" s="1534" t="s">
        <v>1265</v>
      </c>
      <c r="D91" s="1532">
        <f>D90-C90</f>
        <v>78.882297451299962</v>
      </c>
      <c r="E91" s="1532">
        <f t="shared" ref="E91" si="42">E90-D90</f>
        <v>16.604739503699989</v>
      </c>
      <c r="F91" s="1532">
        <f t="shared" ref="F91" si="43">F90-E90</f>
        <v>12.805499121500077</v>
      </c>
      <c r="G91" s="1533">
        <f ca="1">G90-F90</f>
        <v>34.819841804395082</v>
      </c>
      <c r="H91" s="1533">
        <f ca="1">H90-G90</f>
        <v>4.1331557012265421</v>
      </c>
      <c r="I91" s="1533">
        <f ca="1">I90-H90</f>
        <v>4.0382038132330536</v>
      </c>
      <c r="J91" s="1533">
        <f ca="1">J90-I90</f>
        <v>3.6449292592305937</v>
      </c>
      <c r="K91" s="1533">
        <f ca="1">K90-J90</f>
        <v>4.1045871668363816</v>
      </c>
      <c r="R91" s="1527"/>
      <c r="S91" s="1527"/>
      <c r="T91" s="1527"/>
      <c r="U91" s="1527"/>
      <c r="V91" s="1527"/>
    </row>
    <row r="95" spans="1:22">
      <c r="G95" s="1527"/>
      <c r="H95" s="1527"/>
      <c r="I95" s="1527"/>
      <c r="J95" s="1527"/>
      <c r="K95" s="1527"/>
    </row>
    <row r="96" spans="1:22">
      <c r="G96" s="1527"/>
      <c r="H96" s="1527"/>
      <c r="I96" s="1527"/>
      <c r="J96" s="1527"/>
      <c r="K96" s="1527"/>
    </row>
    <row r="97" spans="2:11">
      <c r="G97" s="1527"/>
      <c r="H97" s="1527"/>
      <c r="I97" s="1527"/>
      <c r="J97" s="1527"/>
      <c r="K97" s="1527"/>
    </row>
    <row r="98" spans="2:11">
      <c r="B98" s="1492"/>
      <c r="C98" s="1492"/>
      <c r="D98" s="1535" t="s">
        <v>1627</v>
      </c>
      <c r="E98" s="1535" t="s">
        <v>1628</v>
      </c>
      <c r="F98" s="1372"/>
      <c r="G98" s="1527"/>
      <c r="H98" s="1527"/>
      <c r="I98" s="1527"/>
      <c r="J98" s="1527"/>
      <c r="K98" s="1527"/>
    </row>
    <row r="99" spans="2:11">
      <c r="B99" s="1492" t="s">
        <v>1625</v>
      </c>
      <c r="C99" s="1492"/>
      <c r="D99" s="1536">
        <f>动因指标和成果指标内部影响分析!F17</f>
        <v>0.01</v>
      </c>
      <c r="E99" s="1537">
        <f ca="1">国资委考核指标!G23</f>
        <v>-24.199425139865632</v>
      </c>
      <c r="F99" s="1372"/>
      <c r="G99" s="1527"/>
      <c r="H99" s="1527"/>
      <c r="I99" s="1527"/>
      <c r="J99" s="1527"/>
      <c r="K99" s="1527"/>
    </row>
    <row r="100" spans="2:11">
      <c r="B100" s="1538">
        <f ca="1">G70</f>
        <v>0.30373616747300303</v>
      </c>
      <c r="C100" s="1539">
        <v>0.36238716728325804</v>
      </c>
      <c r="D100" s="1493">
        <f>C100+D99</f>
        <v>0.37238716728325805</v>
      </c>
      <c r="E100" s="1537">
        <f t="dataTable" ref="E100" dt2D="0" dtr="0" r1="G70" ca="1"/>
        <v>-15.31868578094096</v>
      </c>
      <c r="F100" s="1372"/>
    </row>
    <row r="101" spans="2:11">
      <c r="F101" s="1372"/>
      <c r="G101" s="1526"/>
      <c r="H101" s="1526"/>
      <c r="I101" s="1526"/>
      <c r="J101" s="1526"/>
      <c r="K101" s="1526"/>
    </row>
    <row r="102" spans="2:11">
      <c r="G102" s="1527"/>
      <c r="H102" s="1527"/>
      <c r="I102" s="1527"/>
      <c r="J102" s="1527"/>
      <c r="K102" s="1527"/>
    </row>
    <row r="103" spans="2:11" ht="15.6">
      <c r="I103" s="1495"/>
      <c r="J103" s="1495"/>
      <c r="K103" s="1495"/>
    </row>
    <row r="104" spans="2:11">
      <c r="I104" s="1527"/>
      <c r="J104" s="1527"/>
      <c r="K104" s="1527"/>
    </row>
    <row r="105" spans="2:11">
      <c r="I105" s="1527"/>
      <c r="J105" s="1527"/>
      <c r="K105" s="1527"/>
    </row>
  </sheetData>
  <mergeCells count="1">
    <mergeCell ref="C2:F2"/>
  </mergeCells>
  <phoneticPr fontId="20" type="noConversion"/>
  <printOptions horizontalCentered="1"/>
  <pageMargins left="0.70866141732283472" right="0.70866141732283472" top="0.74803149606299213" bottom="0.74803149606299213" header="0.31496062992125984" footer="0.31496062992125984"/>
  <pageSetup paperSize="9" scale="76" fitToHeight="0" orientation="landscape"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4">
    <tabColor rgb="FFC00000"/>
    <pageSetUpPr fitToPage="1"/>
  </sheetPr>
  <dimension ref="A1:N66"/>
  <sheetViews>
    <sheetView showGridLines="0" zoomScaleNormal="100" zoomScalePageLayoutView="93" workbookViewId="0">
      <pane xSplit="2" ySplit="3" topLeftCell="E6" activePane="bottomRight" state="frozen"/>
      <selection activeCell="H43" sqref="H43"/>
      <selection pane="topRight" activeCell="H43" sqref="H43"/>
      <selection pane="bottomLeft" activeCell="H43" sqref="H43"/>
      <selection pane="bottomRight" activeCell="G10" sqref="G10:K10"/>
    </sheetView>
  </sheetViews>
  <sheetFormatPr defaultColWidth="8.77734375" defaultRowHeight="15" outlineLevelCol="1"/>
  <cols>
    <col min="1" max="1" width="2.6640625" style="1373" customWidth="1"/>
    <col min="2" max="2" width="43.88671875" style="1373" customWidth="1"/>
    <col min="3" max="11" width="14.33203125" style="1373" customWidth="1"/>
    <col min="12" max="12" width="31.6640625" style="1373" customWidth="1" outlineLevel="1"/>
    <col min="13" max="16384" width="8.77734375" style="1373"/>
  </cols>
  <sheetData>
    <row r="1" spans="1:13">
      <c r="A1" s="1440"/>
      <c r="B1" s="1441" t="s">
        <v>691</v>
      </c>
      <c r="C1" s="1465"/>
      <c r="D1" s="1440"/>
      <c r="E1" s="1440"/>
      <c r="F1" s="1440"/>
      <c r="G1" s="1466" t="str">
        <f>"当前模式："&amp;测算模式</f>
        <v>当前模式：1.实际收入+实际成本</v>
      </c>
      <c r="H1" s="1864"/>
      <c r="I1" s="1864"/>
      <c r="J1" s="1864"/>
      <c r="K1" s="1864"/>
      <c r="L1" s="1440"/>
    </row>
    <row r="2" spans="1:13" ht="15.6">
      <c r="A2" s="1442"/>
      <c r="B2" s="1194"/>
      <c r="C2" s="2494" t="s">
        <v>36</v>
      </c>
      <c r="D2" s="2494"/>
      <c r="E2" s="2494"/>
      <c r="F2" s="2494"/>
      <c r="G2" s="1443" t="s">
        <v>31</v>
      </c>
      <c r="H2" s="1443"/>
      <c r="I2" s="1443"/>
      <c r="J2" s="1443"/>
      <c r="K2" s="1443"/>
      <c r="L2" s="1190"/>
    </row>
    <row r="3" spans="1:13" s="1423" customFormat="1" ht="15.6">
      <c r="A3" s="1467"/>
      <c r="B3" s="1197" t="s">
        <v>359</v>
      </c>
      <c r="C3" s="1198">
        <f>G3-4</f>
        <v>2014</v>
      </c>
      <c r="D3" s="1198">
        <f>G3-3</f>
        <v>2015</v>
      </c>
      <c r="E3" s="1198">
        <f>G3-2</f>
        <v>2016</v>
      </c>
      <c r="F3" s="1198">
        <f>G3-1</f>
        <v>2017</v>
      </c>
      <c r="G3" s="1468">
        <f>测算年份</f>
        <v>2018</v>
      </c>
      <c r="H3" s="1468">
        <f>假设!H3</f>
        <v>2019</v>
      </c>
      <c r="I3" s="1468">
        <f>假设!I3</f>
        <v>2020</v>
      </c>
      <c r="J3" s="1468">
        <f>假设!J3</f>
        <v>2021</v>
      </c>
      <c r="K3" s="1468">
        <f>假设!K3</f>
        <v>2022</v>
      </c>
      <c r="L3" s="1242" t="s">
        <v>179</v>
      </c>
    </row>
    <row r="4" spans="1:13" ht="16.2" thickBot="1">
      <c r="A4" s="1469"/>
      <c r="B4" s="1212" t="s">
        <v>253</v>
      </c>
      <c r="C4" s="1470"/>
      <c r="D4" s="1470"/>
      <c r="E4" s="1470"/>
      <c r="F4" s="1470"/>
      <c r="G4" s="2385">
        <v>0.1</v>
      </c>
      <c r="H4" s="1944"/>
      <c r="I4" s="1944"/>
      <c r="J4" s="1944"/>
      <c r="K4" s="1944"/>
      <c r="L4" s="1471"/>
    </row>
    <row r="5" spans="1:13">
      <c r="A5" s="1469"/>
      <c r="B5" s="1472" t="s">
        <v>176</v>
      </c>
      <c r="C5" s="1473"/>
      <c r="D5" s="1473"/>
      <c r="E5" s="1473"/>
      <c r="F5" s="1473"/>
      <c r="G5" s="1474">
        <f ca="1">损益表!G20</f>
        <v>23.534420657935943</v>
      </c>
      <c r="H5" s="1474">
        <f ca="1">损益表!H20</f>
        <v>25.192119338990629</v>
      </c>
      <c r="I5" s="1474">
        <f ca="1">损益表!I20</f>
        <v>27.412922872768249</v>
      </c>
      <c r="J5" s="1474">
        <f ca="1">损益表!J20</f>
        <v>29.570759520844028</v>
      </c>
      <c r="K5" s="1474">
        <f ca="1">损益表!K20</f>
        <v>32.191922081052383</v>
      </c>
      <c r="L5" s="1373" t="s">
        <v>750</v>
      </c>
    </row>
    <row r="6" spans="1:13">
      <c r="A6" s="1469"/>
      <c r="B6" s="1472" t="s">
        <v>182</v>
      </c>
      <c r="C6" s="1473"/>
      <c r="D6" s="1473"/>
      <c r="E6" s="1473"/>
      <c r="F6" s="1473"/>
      <c r="G6" s="1474">
        <f ca="1">损益表!G10</f>
        <v>-0.93587504064049842</v>
      </c>
      <c r="H6" s="1474">
        <f ca="1">损益表!H10</f>
        <v>-1.1481299223144541</v>
      </c>
      <c r="I6" s="1474">
        <f ca="1">损益表!I10</f>
        <v>-1.2834502429782739</v>
      </c>
      <c r="J6" s="1474">
        <f ca="1">损益表!J10</f>
        <v>-1.3945400134740746</v>
      </c>
      <c r="K6" s="1474">
        <f ca="1">损益表!K10</f>
        <v>-1.4687959079851665</v>
      </c>
      <c r="L6" s="1373" t="s">
        <v>751</v>
      </c>
    </row>
    <row r="7" spans="1:13">
      <c r="A7" s="1469"/>
      <c r="B7" s="1472" t="s">
        <v>183</v>
      </c>
      <c r="C7" s="1473"/>
      <c r="D7" s="1473"/>
      <c r="E7" s="1473"/>
      <c r="F7" s="1473"/>
      <c r="G7" s="1474">
        <f ca="1">固定资产!G33</f>
        <v>154.85442231883817</v>
      </c>
      <c r="H7" s="1474">
        <f ca="1">固定资产!H33</f>
        <v>159.98010170253076</v>
      </c>
      <c r="I7" s="1474">
        <f ca="1">固定资产!I33</f>
        <v>162.89398038732321</v>
      </c>
      <c r="J7" s="1474">
        <f ca="1">固定资产!J33</f>
        <v>164.98952485514025</v>
      </c>
      <c r="K7" s="1474">
        <f ca="1">固定资产!K33</f>
        <v>166.44525523956906</v>
      </c>
      <c r="L7" s="1373" t="s">
        <v>752</v>
      </c>
    </row>
    <row r="8" spans="1:13">
      <c r="A8" s="1469"/>
      <c r="B8" s="1472" t="s">
        <v>184</v>
      </c>
      <c r="C8" s="1473"/>
      <c r="D8" s="1473"/>
      <c r="E8" s="1473"/>
      <c r="F8" s="1473"/>
      <c r="G8" s="1474">
        <f>固定资产!G24</f>
        <v>0.34072578179000007</v>
      </c>
      <c r="H8" s="1474">
        <f>固定资产!H24</f>
        <v>0.39380556021000013</v>
      </c>
      <c r="I8" s="1474">
        <f>固定资产!I24</f>
        <v>0.44688533863000018</v>
      </c>
      <c r="J8" s="1474">
        <f>固定资产!J24</f>
        <v>0.49996511705000024</v>
      </c>
      <c r="K8" s="1474">
        <f>固定资产!K24</f>
        <v>0.55304489547000035</v>
      </c>
      <c r="L8" s="1373" t="s">
        <v>753</v>
      </c>
    </row>
    <row r="9" spans="1:13">
      <c r="A9" s="1469"/>
      <c r="B9" s="1472" t="s">
        <v>379</v>
      </c>
      <c r="C9" s="1473"/>
      <c r="D9" s="1473"/>
      <c r="E9" s="1473"/>
      <c r="F9" s="1473"/>
      <c r="G9" s="2125"/>
      <c r="H9" s="2119"/>
      <c r="I9" s="2119"/>
      <c r="J9" s="2119"/>
      <c r="K9" s="2119"/>
      <c r="L9" s="1373" t="s">
        <v>754</v>
      </c>
    </row>
    <row r="10" spans="1:13">
      <c r="A10" s="1469"/>
      <c r="B10" s="1472" t="s">
        <v>185</v>
      </c>
      <c r="C10" s="1473"/>
      <c r="D10" s="1473"/>
      <c r="E10" s="1473"/>
      <c r="F10" s="1473"/>
      <c r="G10" s="2386">
        <f ca="1">-资产负债表!G87</f>
        <v>40.106719825171069</v>
      </c>
      <c r="H10" s="2386">
        <f ca="1">-资产负债表!H87</f>
        <v>0.90424399611771378</v>
      </c>
      <c r="I10" s="2386">
        <f ca="1">-资产负债表!I87</f>
        <v>5.0504193713533141</v>
      </c>
      <c r="J10" s="2386">
        <f ca="1">-资产负债表!J87</f>
        <v>2.5385112371265564</v>
      </c>
      <c r="K10" s="2386">
        <f ca="1">-资产负债表!K87</f>
        <v>4.0406337943928179</v>
      </c>
      <c r="L10" s="1373" t="s">
        <v>755</v>
      </c>
    </row>
    <row r="11" spans="1:13">
      <c r="A11" s="1469"/>
      <c r="B11" s="1472" t="s">
        <v>186</v>
      </c>
      <c r="C11" s="1473"/>
      <c r="D11" s="1473"/>
      <c r="E11" s="1473"/>
      <c r="F11" s="1473"/>
      <c r="G11" s="1474">
        <f>资产负债表!F17-资产负债表!G17-G26</f>
        <v>-0.78829880377344708</v>
      </c>
      <c r="H11" s="1474">
        <f>资产负债表!G17-资产负债表!H17-H26</f>
        <v>-0.8200774817457912</v>
      </c>
      <c r="I11" s="1474">
        <f>资产负债表!H17-资产负债表!I17-I26</f>
        <v>-0.85313725309140409</v>
      </c>
      <c r="J11" s="1474">
        <f>资产负债表!I17-资产负债表!J17-J26</f>
        <v>-0.88752976250842153</v>
      </c>
      <c r="K11" s="1474">
        <f>资产负债表!J17-资产负债表!K17-K26</f>
        <v>-0.92330873664692703</v>
      </c>
    </row>
    <row r="12" spans="1:13">
      <c r="A12" s="1469"/>
      <c r="B12" s="1472" t="s">
        <v>756</v>
      </c>
      <c r="C12" s="1473"/>
      <c r="D12" s="1473"/>
      <c r="E12" s="1473"/>
      <c r="F12" s="1473"/>
      <c r="G12" s="1474">
        <f>资产负债表!F16-资产负债表!G16</f>
        <v>-4.1004491709415447E-2</v>
      </c>
      <c r="H12" s="1474">
        <f>资产负债表!G16-资产负债表!H16</f>
        <v>-6.1230134751282694E-2</v>
      </c>
      <c r="I12" s="1474">
        <f>资产负债表!H16-资产负债表!I16</f>
        <v>-5.2555865661517487E-2</v>
      </c>
      <c r="J12" s="1474">
        <f>资产负债表!I16-资产负债表!J16</f>
        <v>-4.7405390826688709E-2</v>
      </c>
      <c r="K12" s="1474">
        <f>资产负债表!J16-资产负债表!K16</f>
        <v>-4.844830942487599E-2</v>
      </c>
      <c r="L12" s="1373" t="s">
        <v>761</v>
      </c>
    </row>
    <row r="13" spans="1:13">
      <c r="A13" s="1469"/>
      <c r="B13" s="1472" t="s">
        <v>757</v>
      </c>
      <c r="C13" s="1473"/>
      <c r="D13" s="1473"/>
      <c r="E13" s="1473"/>
      <c r="F13" s="1473"/>
      <c r="G13" s="1474">
        <f>SUM(资产负债表!F18,资产负债表!F24,资产负债表!F27:F29)-SUM(资产负债表!G18,资产负债表!G24,资产负债表!G27:G29)</f>
        <v>0</v>
      </c>
      <c r="H13" s="1474">
        <f>SUM(资产负债表!G18,资产负债表!G24,资产负债表!G27:G29)-SUM(资产负债表!H18,资产负债表!H24,资产负债表!H27:H29)</f>
        <v>0</v>
      </c>
      <c r="I13" s="1474">
        <f>SUM(资产负债表!H18,资产负债表!H24,资产负债表!H27:H29)-SUM(资产负债表!I18,资产负债表!I24,资产负债表!I27:I29)</f>
        <v>0</v>
      </c>
      <c r="J13" s="1474">
        <f>SUM(资产负债表!I18,资产负债表!I24,资产负债表!I27:I29)-SUM(资产负债表!J18,资产负债表!J24,资产负债表!J27:J29)</f>
        <v>0</v>
      </c>
      <c r="K13" s="1474">
        <f>SUM(资产负债表!J18,资产负债表!J24,资产负债表!J27:J29)-SUM(资产负债表!K18,资产负债表!K24,资产负债表!K27:K29)</f>
        <v>0</v>
      </c>
      <c r="L13" s="1373" t="s">
        <v>761</v>
      </c>
    </row>
    <row r="14" spans="1:13">
      <c r="A14" s="1469"/>
      <c r="B14" s="1472" t="s">
        <v>758</v>
      </c>
      <c r="C14" s="1475"/>
      <c r="D14" s="1475"/>
      <c r="E14" s="1475"/>
      <c r="F14" s="1475"/>
      <c r="G14" s="1474">
        <f>资产负债表!G47-资产负债表!F47</f>
        <v>0</v>
      </c>
      <c r="H14" s="1474">
        <f>资产负债表!H47-资产负债表!G47</f>
        <v>0</v>
      </c>
      <c r="I14" s="1474">
        <f>资产负债表!I47-资产负债表!H47</f>
        <v>0</v>
      </c>
      <c r="J14" s="1474">
        <f>资产负债表!J47-资产负债表!I47</f>
        <v>0</v>
      </c>
      <c r="K14" s="1474">
        <f>资产负债表!K47-资产负债表!J47</f>
        <v>0</v>
      </c>
      <c r="L14" s="1373" t="s">
        <v>762</v>
      </c>
    </row>
    <row r="15" spans="1:13">
      <c r="A15" s="1469"/>
      <c r="B15" s="2107" t="s">
        <v>1949</v>
      </c>
      <c r="C15" s="1475"/>
      <c r="D15" s="1475"/>
      <c r="E15" s="1475"/>
      <c r="F15" s="1475"/>
      <c r="G15" s="1474">
        <f>资产负债表!G48-资产负债表!F48</f>
        <v>0</v>
      </c>
      <c r="H15" s="1474">
        <f>资产负债表!H48-资产负债表!G48</f>
        <v>0</v>
      </c>
      <c r="I15" s="1474">
        <f>资产负债表!I48-资产负债表!H48</f>
        <v>0</v>
      </c>
      <c r="J15" s="1474">
        <f>资产负债表!J48-资产负债表!I48</f>
        <v>0</v>
      </c>
      <c r="K15" s="1474">
        <f>资产负债表!K48-资产负债表!J48</f>
        <v>0</v>
      </c>
    </row>
    <row r="16" spans="1:13">
      <c r="A16" s="1469"/>
      <c r="B16" s="1472" t="s">
        <v>759</v>
      </c>
      <c r="C16" s="1476"/>
      <c r="D16" s="1476"/>
      <c r="E16" s="1476"/>
      <c r="F16" s="1476"/>
      <c r="G16" s="1474">
        <f>资产负债表!G49-资产负债表!F49</f>
        <v>0</v>
      </c>
      <c r="H16" s="1474">
        <f>资产负债表!H49-资产负债表!G49</f>
        <v>0</v>
      </c>
      <c r="I16" s="1474">
        <f>资产负债表!I49-资产负债表!H49</f>
        <v>0</v>
      </c>
      <c r="J16" s="1474">
        <f>资产负债表!J49-资产负债表!I49</f>
        <v>0</v>
      </c>
      <c r="K16" s="1474">
        <f>资产负债表!K49-资产负债表!J49</f>
        <v>0</v>
      </c>
      <c r="L16" s="1373" t="s">
        <v>763</v>
      </c>
      <c r="M16" s="1370"/>
    </row>
    <row r="17" spans="1:14">
      <c r="A17" s="1469"/>
      <c r="B17" s="2375" t="s">
        <v>1950</v>
      </c>
      <c r="C17" s="1476"/>
      <c r="D17" s="1476"/>
      <c r="E17" s="1476"/>
      <c r="F17" s="1476"/>
      <c r="G17" s="1474">
        <f>资产负债表!G50-资产负债表!F50</f>
        <v>8</v>
      </c>
      <c r="H17" s="1474">
        <f>资产负债表!H50-资产负债表!G50</f>
        <v>8</v>
      </c>
      <c r="I17" s="1474">
        <f>资产负债表!I50-资产负债表!H50</f>
        <v>8</v>
      </c>
      <c r="J17" s="1474">
        <f>资产负债表!J50-资产负债表!I50</f>
        <v>8.0000000000000071</v>
      </c>
      <c r="K17" s="1474">
        <f>资产负债表!K50-资产负债表!J50</f>
        <v>8</v>
      </c>
      <c r="M17" s="1370"/>
    </row>
    <row r="18" spans="1:14">
      <c r="A18" s="1469"/>
      <c r="B18" s="2107" t="s">
        <v>1951</v>
      </c>
      <c r="C18" s="1476"/>
      <c r="D18" s="1476"/>
      <c r="E18" s="1476"/>
      <c r="F18" s="1476"/>
      <c r="G18" s="1474">
        <f>资产负债表!G51-资产负债表!F51</f>
        <v>0</v>
      </c>
      <c r="H18" s="1474">
        <f>资产负债表!H51-资产负债表!G51</f>
        <v>0</v>
      </c>
      <c r="I18" s="1474">
        <f>资产负债表!I51-资产负债表!H51</f>
        <v>0</v>
      </c>
      <c r="J18" s="1474">
        <f>资产负债表!J51-资产负债表!I51</f>
        <v>0</v>
      </c>
      <c r="K18" s="1474">
        <f>资产负债表!K51-资产负债表!J51</f>
        <v>0</v>
      </c>
      <c r="M18" s="1370"/>
    </row>
    <row r="19" spans="1:14">
      <c r="A19" s="1469"/>
      <c r="B19" s="1477" t="s">
        <v>760</v>
      </c>
      <c r="C19" s="1478"/>
      <c r="D19" s="1478"/>
      <c r="E19" s="1478"/>
      <c r="F19" s="2108"/>
      <c r="G19" s="2109">
        <f>资产负债表!G52-资产负债表!F52</f>
        <v>0</v>
      </c>
      <c r="H19" s="2109">
        <f>资产负债表!H52-资产负债表!G52</f>
        <v>0</v>
      </c>
      <c r="I19" s="2109">
        <f>资产负债表!I52-资产负债表!H52</f>
        <v>0</v>
      </c>
      <c r="J19" s="2109">
        <f>资产负债表!J52-资产负债表!I52</f>
        <v>0</v>
      </c>
      <c r="K19" s="2109">
        <f>资产负债表!K52-资产负债表!J52</f>
        <v>0</v>
      </c>
      <c r="L19" s="2110" t="s">
        <v>762</v>
      </c>
      <c r="M19" s="1370"/>
    </row>
    <row r="20" spans="1:14" ht="15.6">
      <c r="A20" s="1469"/>
      <c r="B20" s="1480" t="s">
        <v>187</v>
      </c>
      <c r="C20" s="1637">
        <v>156.13381418259999</v>
      </c>
      <c r="D20" s="1637">
        <v>168.1746454494</v>
      </c>
      <c r="E20" s="1637">
        <v>172.37933131939999</v>
      </c>
      <c r="F20" s="1637">
        <v>197.62884128959999</v>
      </c>
      <c r="G20" s="1482">
        <f ca="1">SUM(G5:G19)</f>
        <v>225.07111024761184</v>
      </c>
      <c r="H20" s="1482">
        <f t="shared" ref="H20:K20" ca="1" si="0">SUM(H5:H19)</f>
        <v>192.4408330590376</v>
      </c>
      <c r="I20" s="1482">
        <f t="shared" ca="1" si="0"/>
        <v>201.61506460834357</v>
      </c>
      <c r="J20" s="1482">
        <f t="shared" ca="1" si="0"/>
        <v>203.26928556335164</v>
      </c>
      <c r="K20" s="1482">
        <f t="shared" ca="1" si="0"/>
        <v>208.79030305642729</v>
      </c>
      <c r="L20" s="1370" t="s">
        <v>254</v>
      </c>
      <c r="M20" s="1370"/>
    </row>
    <row r="21" spans="1:14">
      <c r="A21" s="1469"/>
      <c r="B21" s="1469"/>
      <c r="C21" s="1476"/>
      <c r="D21" s="1476"/>
      <c r="E21" s="1476"/>
      <c r="F21" s="1476"/>
      <c r="G21" s="1474"/>
      <c r="H21" s="1474"/>
      <c r="I21" s="1474"/>
      <c r="J21" s="1474"/>
      <c r="K21" s="1474"/>
      <c r="L21" s="1370"/>
      <c r="M21" s="1370"/>
    </row>
    <row r="22" spans="1:14" ht="16.2" thickBot="1">
      <c r="A22" s="1469"/>
      <c r="B22" s="1212" t="s">
        <v>269</v>
      </c>
      <c r="C22" s="1483"/>
      <c r="D22" s="1483"/>
      <c r="E22" s="1483"/>
      <c r="F22" s="1483"/>
      <c r="G22" s="1484"/>
      <c r="H22" s="1484"/>
      <c r="I22" s="1484"/>
      <c r="J22" s="1484"/>
      <c r="K22" s="1484"/>
      <c r="L22" s="1471"/>
      <c r="M22" s="1370"/>
    </row>
    <row r="23" spans="1:14">
      <c r="A23" s="1469"/>
      <c r="B23" s="1472" t="s">
        <v>25</v>
      </c>
      <c r="C23" s="1476"/>
      <c r="D23" s="1476"/>
      <c r="E23" s="1476"/>
      <c r="F23" s="1476"/>
      <c r="G23" s="1474">
        <f>-固定资产结构及折旧参数!N5</f>
        <v>-150.09303532984927</v>
      </c>
      <c r="H23" s="1474">
        <f>-固定资产结构及折旧参数!O5</f>
        <v>-159.09861744964024</v>
      </c>
      <c r="I23" s="1474">
        <f>-固定资产结构及折旧参数!P5</f>
        <v>-168.64453449661866</v>
      </c>
      <c r="J23" s="1474">
        <f>-固定资产结构及折旧参数!Q5</f>
        <v>-178.76320656641579</v>
      </c>
      <c r="K23" s="1474">
        <f>-固定资产结构及折旧参数!R5</f>
        <v>-189.48899896040075</v>
      </c>
      <c r="L23" s="1370" t="s">
        <v>764</v>
      </c>
      <c r="M23" s="1370"/>
    </row>
    <row r="24" spans="1:14">
      <c r="A24" s="1469"/>
      <c r="B24" s="1472" t="s">
        <v>189</v>
      </c>
      <c r="C24" s="1476"/>
      <c r="D24" s="1476"/>
      <c r="E24" s="1476"/>
      <c r="F24" s="1476"/>
      <c r="G24" s="1474">
        <f>固定资产!G13*固定资产结构及折旧参数!$D$35</f>
        <v>0.74632499551197506</v>
      </c>
      <c r="H24" s="1474">
        <f ca="1">固定资产!H13*固定资产结构及折旧参数!$D$35</f>
        <v>0.79652075807934775</v>
      </c>
      <c r="I24" s="1474">
        <f ca="1">固定资产!I13*固定资产结构及折旧参数!$D$35</f>
        <v>0.83379251796989673</v>
      </c>
      <c r="J24" s="1474">
        <f ca="1">固定资产!J13*固定资产结构及折旧参数!$D$35</f>
        <v>0.87017144745851338</v>
      </c>
      <c r="K24" s="1474">
        <f ca="1">固定资产!K13*固定资产结构及折旧参数!$D$35</f>
        <v>0.90816500913972742</v>
      </c>
      <c r="L24" s="1370" t="s">
        <v>765</v>
      </c>
      <c r="M24" s="1370"/>
    </row>
    <row r="25" spans="1:14">
      <c r="A25" s="1469"/>
      <c r="B25" s="1472" t="s">
        <v>270</v>
      </c>
      <c r="C25" s="1476"/>
      <c r="D25" s="1476"/>
      <c r="E25" s="1476"/>
      <c r="F25" s="1476"/>
      <c r="G25" s="1474">
        <f>资产负债表!G22-资产负债表!F22</f>
        <v>0</v>
      </c>
      <c r="H25" s="1474">
        <f>资产负债表!H22-资产负债表!G22</f>
        <v>0</v>
      </c>
      <c r="I25" s="1474">
        <f>资产负债表!I22-资产负债表!H22</f>
        <v>0</v>
      </c>
      <c r="J25" s="1474">
        <f>资产负债表!J22-资产负债表!I22</f>
        <v>0</v>
      </c>
      <c r="K25" s="1474">
        <f>资产负债表!K22-资产负债表!J22</f>
        <v>0</v>
      </c>
      <c r="L25" s="1373" t="s">
        <v>761</v>
      </c>
      <c r="M25" s="1370"/>
    </row>
    <row r="26" spans="1:14">
      <c r="A26" s="1469"/>
      <c r="B26" s="1472" t="s">
        <v>99</v>
      </c>
      <c r="C26" s="1476"/>
      <c r="D26" s="1476"/>
      <c r="E26" s="1476"/>
      <c r="F26" s="1476"/>
      <c r="G26" s="1474">
        <f>-发展投入!G21</f>
        <v>0</v>
      </c>
      <c r="H26" s="1474">
        <f>-发展投入!H21</f>
        <v>0</v>
      </c>
      <c r="I26" s="1474">
        <f>-发展投入!I21</f>
        <v>0</v>
      </c>
      <c r="J26" s="1474">
        <f>-发展投入!J21</f>
        <v>0</v>
      </c>
      <c r="K26" s="1474">
        <f>-发展投入!K21</f>
        <v>0</v>
      </c>
      <c r="L26" s="1373" t="s">
        <v>766</v>
      </c>
      <c r="M26" s="1370"/>
    </row>
    <row r="27" spans="1:14">
      <c r="A27" s="1469"/>
      <c r="B27" s="1477" t="s">
        <v>190</v>
      </c>
      <c r="C27" s="1478"/>
      <c r="D27" s="1478"/>
      <c r="E27" s="1478"/>
      <c r="F27" s="1478"/>
      <c r="G27" s="1479">
        <f>-假设!G129</f>
        <v>-0.79619667630000113</v>
      </c>
      <c r="H27" s="1479">
        <f>-假设!H129</f>
        <v>-0.79619667630000113</v>
      </c>
      <c r="I27" s="1479">
        <f>-假设!I129</f>
        <v>-0.79619667630000113</v>
      </c>
      <c r="J27" s="1479">
        <f>-假设!J129</f>
        <v>-0.79619667630000113</v>
      </c>
      <c r="K27" s="1479">
        <f>-假设!K129</f>
        <v>-0.79619667630000113</v>
      </c>
      <c r="L27" s="1485" t="s">
        <v>767</v>
      </c>
      <c r="M27" s="1370"/>
    </row>
    <row r="28" spans="1:14" ht="15.6">
      <c r="A28" s="1469"/>
      <c r="B28" s="1480" t="s">
        <v>188</v>
      </c>
      <c r="C28" s="1476"/>
      <c r="D28" s="1476"/>
      <c r="E28" s="1476"/>
      <c r="F28" s="1476"/>
      <c r="G28" s="1482">
        <f>SUM(G23:G27)</f>
        <v>-150.14290701063732</v>
      </c>
      <c r="H28" s="1482">
        <f t="shared" ref="H28:K28" ca="1" si="1">SUM(H23:H27)</f>
        <v>-159.09829336786092</v>
      </c>
      <c r="I28" s="1482">
        <f t="shared" ca="1" si="1"/>
        <v>-168.60693865494878</v>
      </c>
      <c r="J28" s="1482">
        <f t="shared" ca="1" si="1"/>
        <v>-178.68923179525729</v>
      </c>
      <c r="K28" s="1482">
        <f t="shared" ca="1" si="1"/>
        <v>-189.37703062756103</v>
      </c>
      <c r="L28" s="1370"/>
      <c r="M28" s="1370"/>
    </row>
    <row r="29" spans="1:14">
      <c r="A29" s="1469"/>
      <c r="B29" s="1472"/>
      <c r="C29" s="1476"/>
      <c r="D29" s="1476"/>
      <c r="E29" s="1476"/>
      <c r="F29" s="1476"/>
      <c r="G29" s="1474"/>
      <c r="H29" s="1474"/>
      <c r="I29" s="1474"/>
      <c r="J29" s="1474"/>
      <c r="K29" s="1474"/>
      <c r="L29" s="1370"/>
      <c r="M29" s="1370"/>
    </row>
    <row r="30" spans="1:14" ht="16.2" thickBot="1">
      <c r="A30" s="1469"/>
      <c r="B30" s="1212" t="s">
        <v>271</v>
      </c>
      <c r="C30" s="1483"/>
      <c r="D30" s="1483"/>
      <c r="E30" s="1483"/>
      <c r="F30" s="1483"/>
      <c r="G30" s="1484"/>
      <c r="H30" s="1484"/>
      <c r="I30" s="1484"/>
      <c r="J30" s="1484"/>
      <c r="K30" s="1484"/>
      <c r="L30" s="1471"/>
      <c r="M30" s="1370"/>
    </row>
    <row r="31" spans="1:14">
      <c r="A31" s="1469"/>
      <c r="B31" s="1472" t="s">
        <v>272</v>
      </c>
      <c r="C31" s="1476"/>
      <c r="D31" s="1476"/>
      <c r="E31" s="1476"/>
      <c r="F31" s="1476"/>
      <c r="G31" s="1474">
        <f ca="1">债务!G6+债务!G7</f>
        <v>0</v>
      </c>
      <c r="H31" s="1474">
        <f ca="1">债务!H6+债务!H7</f>
        <v>0</v>
      </c>
      <c r="I31" s="1474">
        <f ca="1">债务!I6+债务!I7</f>
        <v>0</v>
      </c>
      <c r="J31" s="1474">
        <f ca="1">债务!J6+债务!J7</f>
        <v>0</v>
      </c>
      <c r="K31" s="1474">
        <f ca="1">债务!K6+债务!K7</f>
        <v>0</v>
      </c>
      <c r="L31" s="1486" t="s">
        <v>768</v>
      </c>
      <c r="M31" s="1486"/>
      <c r="N31" s="1487"/>
    </row>
    <row r="32" spans="1:14">
      <c r="A32" s="1469"/>
      <c r="B32" s="1472" t="s">
        <v>192</v>
      </c>
      <c r="C32" s="1476"/>
      <c r="D32" s="1476"/>
      <c r="E32" s="1476"/>
      <c r="F32" s="1476"/>
      <c r="G32" s="1474">
        <f ca="1">-损益表!G10</f>
        <v>0.93587504064049842</v>
      </c>
      <c r="H32" s="1474">
        <f ca="1">-损益表!H10</f>
        <v>1.1481299223144541</v>
      </c>
      <c r="I32" s="1474">
        <f ca="1">-损益表!I10</f>
        <v>1.2834502429782739</v>
      </c>
      <c r="J32" s="1474">
        <f ca="1">-损益表!J10</f>
        <v>1.3945400134740746</v>
      </c>
      <c r="K32" s="1474">
        <f ca="1">-损益表!K10</f>
        <v>1.4687959079851665</v>
      </c>
      <c r="L32" s="1486" t="s">
        <v>772</v>
      </c>
      <c r="M32" s="1486"/>
      <c r="N32" s="1487"/>
    </row>
    <row r="33" spans="1:14">
      <c r="A33" s="1469"/>
      <c r="B33" s="1472" t="s">
        <v>273</v>
      </c>
      <c r="C33" s="1476"/>
      <c r="D33" s="1476"/>
      <c r="E33" s="1476"/>
      <c r="F33" s="1476"/>
      <c r="G33" s="1474">
        <f ca="1">资产负债表!G39-资产负债表!F39</f>
        <v>2.2118864226476208E-2</v>
      </c>
      <c r="H33" s="1474">
        <f ca="1">资产负债表!H39-资产负债表!G39</f>
        <v>1.6050764727578881E-2</v>
      </c>
      <c r="I33" s="1474">
        <f ca="1">资产负债表!I39-资产负债表!H39</f>
        <v>1.0568016379408726E-2</v>
      </c>
      <c r="J33" s="1474">
        <f ca="1">资产负债表!J39-资产负债表!I39</f>
        <v>8.4538623170513777E-3</v>
      </c>
      <c r="K33" s="1474">
        <f ca="1">资产负债表!K39-资产负债表!J39</f>
        <v>5.758531970191938E-3</v>
      </c>
      <c r="L33" s="1486" t="s">
        <v>762</v>
      </c>
      <c r="M33" s="1486"/>
      <c r="N33" s="1487"/>
    </row>
    <row r="34" spans="1:14">
      <c r="A34" s="1469"/>
      <c r="B34" s="1472" t="s">
        <v>771</v>
      </c>
      <c r="C34" s="1476"/>
      <c r="D34" s="1476"/>
      <c r="E34" s="1476"/>
      <c r="F34" s="1476"/>
      <c r="G34" s="1488">
        <f>-资产负债表!F41</f>
        <v>-11.454000000000001</v>
      </c>
      <c r="H34" s="1488">
        <f>-资产负债表!G41</f>
        <v>0</v>
      </c>
      <c r="I34" s="1488">
        <f>-资产负债表!H41</f>
        <v>0</v>
      </c>
      <c r="J34" s="1488">
        <f>-资产负债表!I41</f>
        <v>0</v>
      </c>
      <c r="K34" s="1488">
        <f>-资产负债表!J41</f>
        <v>0</v>
      </c>
      <c r="L34" s="1486" t="s">
        <v>770</v>
      </c>
      <c r="M34" s="1486"/>
      <c r="N34" s="1487"/>
    </row>
    <row r="35" spans="1:14" ht="15.6">
      <c r="A35" s="1469"/>
      <c r="B35" s="1472" t="s">
        <v>274</v>
      </c>
      <c r="C35" s="1481"/>
      <c r="D35" s="1481"/>
      <c r="E35" s="1481"/>
      <c r="F35" s="1481"/>
      <c r="G35" s="1474">
        <f ca="1">债务!G14+债务!G15</f>
        <v>0</v>
      </c>
      <c r="H35" s="1474">
        <f ca="1">债务!H14+债务!H15</f>
        <v>0</v>
      </c>
      <c r="I35" s="1474">
        <f ca="1">债务!I14+债务!I15</f>
        <v>0</v>
      </c>
      <c r="J35" s="1474">
        <f ca="1">债务!J14+债务!J15</f>
        <v>0</v>
      </c>
      <c r="K35" s="1474">
        <f ca="1">债务!K14+债务!K15</f>
        <v>0</v>
      </c>
      <c r="L35" s="1486" t="s">
        <v>769</v>
      </c>
      <c r="M35" s="1486"/>
      <c r="N35" s="1487"/>
    </row>
    <row r="36" spans="1:14" ht="15.6">
      <c r="A36" s="1469"/>
      <c r="B36" s="1472" t="s">
        <v>193</v>
      </c>
      <c r="C36" s="1481"/>
      <c r="D36" s="1481"/>
      <c r="E36" s="1481"/>
      <c r="F36" s="1481"/>
      <c r="G36" s="1488">
        <f>-损益表!F21*(1-假设!G103)*假设!G104</f>
        <v>-6.946319295242132</v>
      </c>
      <c r="H36" s="1488">
        <f ca="1">-损益表!G21*(1-假设!H103)*假设!H104</f>
        <v>-7.0906455552357253</v>
      </c>
      <c r="I36" s="1488">
        <f ca="1">-损益表!H21*(1-假设!I103)*假设!I104</f>
        <v>-7.5900907702075653</v>
      </c>
      <c r="J36" s="1488">
        <f ca="1">-损益表!I21*(1-假设!J103)*假设!J104</f>
        <v>-8.2591928881100127</v>
      </c>
      <c r="K36" s="1488">
        <f ca="1">-损益表!J21*(1-假设!K103)*假设!K104</f>
        <v>-8.9093238201601235</v>
      </c>
      <c r="L36" s="1486" t="s">
        <v>358</v>
      </c>
      <c r="M36" s="1486"/>
      <c r="N36" s="1487"/>
    </row>
    <row r="37" spans="1:14">
      <c r="A37" s="1469"/>
      <c r="B37" s="1472" t="s">
        <v>19</v>
      </c>
      <c r="C37" s="1476"/>
      <c r="D37" s="1476"/>
      <c r="E37" s="1476"/>
      <c r="F37" s="1476"/>
      <c r="G37" s="1474">
        <f ca="1">债务!G23</f>
        <v>0</v>
      </c>
      <c r="H37" s="1474">
        <f ca="1">债务!H23</f>
        <v>0</v>
      </c>
      <c r="I37" s="1474">
        <f ca="1">债务!I23</f>
        <v>0</v>
      </c>
      <c r="J37" s="1474">
        <f ca="1">债务!J23</f>
        <v>0</v>
      </c>
      <c r="K37" s="1474">
        <f ca="1">债务!K23</f>
        <v>0</v>
      </c>
      <c r="L37" s="1486"/>
      <c r="M37" s="1486"/>
      <c r="N37" s="1487"/>
    </row>
    <row r="38" spans="1:14">
      <c r="A38" s="1469"/>
      <c r="B38" s="1477" t="s">
        <v>100</v>
      </c>
      <c r="C38" s="1478"/>
      <c r="D38" s="1478"/>
      <c r="E38" s="1478"/>
      <c r="F38" s="1478"/>
      <c r="G38" s="1479">
        <f>假设!G109</f>
        <v>0</v>
      </c>
      <c r="H38" s="1479">
        <f>假设!H109</f>
        <v>0</v>
      </c>
      <c r="I38" s="1479">
        <f>假设!I109</f>
        <v>0</v>
      </c>
      <c r="J38" s="1479">
        <f>假设!J109</f>
        <v>0</v>
      </c>
      <c r="K38" s="1479">
        <f>假设!K109</f>
        <v>0</v>
      </c>
      <c r="L38" s="1485"/>
      <c r="M38" s="1370"/>
    </row>
    <row r="39" spans="1:14" ht="15.6">
      <c r="A39" s="1469"/>
      <c r="B39" s="1480" t="s">
        <v>191</v>
      </c>
      <c r="C39" s="1476"/>
      <c r="D39" s="1476"/>
      <c r="E39" s="1476"/>
      <c r="F39" s="1476"/>
      <c r="G39" s="1482">
        <f ca="1">SUM(G31:G38)</f>
        <v>-17.44232539037516</v>
      </c>
      <c r="H39" s="1482">
        <f t="shared" ref="H39:K39" ca="1" si="2">SUM(H31:H38)</f>
        <v>-5.9264648681936922</v>
      </c>
      <c r="I39" s="1482">
        <f t="shared" ca="1" si="2"/>
        <v>-6.296072510849883</v>
      </c>
      <c r="J39" s="1482">
        <f t="shared" ca="1" si="2"/>
        <v>-6.8561990123188865</v>
      </c>
      <c r="K39" s="1482">
        <f t="shared" ca="1" si="2"/>
        <v>-7.4347693802047647</v>
      </c>
      <c r="L39" s="1370"/>
      <c r="M39" s="1370"/>
    </row>
    <row r="40" spans="1:14">
      <c r="A40" s="1469"/>
      <c r="B40" s="1489"/>
      <c r="C40" s="1476"/>
      <c r="D40" s="1476"/>
      <c r="E40" s="1476"/>
      <c r="F40" s="1476"/>
      <c r="G40" s="1474"/>
      <c r="H40" s="1474"/>
      <c r="I40" s="1474"/>
      <c r="J40" s="1474"/>
      <c r="K40" s="1474"/>
      <c r="L40" s="1370"/>
      <c r="M40" s="1370"/>
    </row>
    <row r="41" spans="1:14">
      <c r="A41" s="1469"/>
      <c r="B41" s="1489"/>
      <c r="C41" s="1476"/>
      <c r="D41" s="1476"/>
      <c r="E41" s="1476"/>
      <c r="F41" s="1476"/>
      <c r="G41" s="2122"/>
      <c r="H41" s="1474"/>
      <c r="I41" s="1474"/>
      <c r="J41" s="1474"/>
      <c r="K41" s="1474"/>
      <c r="L41" s="1370"/>
      <c r="M41" s="1370"/>
    </row>
    <row r="42" spans="1:14">
      <c r="A42" s="1469"/>
      <c r="B42" s="1489"/>
      <c r="C42" s="1476"/>
      <c r="D42" s="1476"/>
      <c r="E42" s="1476"/>
      <c r="F42" s="1476"/>
      <c r="G42" s="1474"/>
      <c r="H42" s="1474"/>
      <c r="I42" s="1474"/>
      <c r="J42" s="1474"/>
      <c r="K42" s="1474"/>
      <c r="L42" s="1370"/>
      <c r="M42" s="1370"/>
    </row>
    <row r="43" spans="1:14" ht="15.6">
      <c r="A43" s="1469"/>
      <c r="B43" s="1337" t="s">
        <v>275</v>
      </c>
      <c r="C43" s="1476"/>
      <c r="D43" s="1476"/>
      <c r="E43" s="1476"/>
      <c r="F43" s="1476"/>
      <c r="G43" s="1474">
        <v>0</v>
      </c>
      <c r="H43" s="1474">
        <v>0</v>
      </c>
      <c r="I43" s="1474">
        <v>0</v>
      </c>
      <c r="J43" s="1474">
        <v>0</v>
      </c>
      <c r="K43" s="1474">
        <v>0</v>
      </c>
      <c r="L43" s="1370"/>
      <c r="M43" s="1370"/>
    </row>
    <row r="44" spans="1:14">
      <c r="A44" s="1469"/>
      <c r="B44" s="1489"/>
      <c r="C44" s="1476"/>
      <c r="D44" s="1476"/>
      <c r="E44" s="1476"/>
      <c r="F44" s="1476"/>
      <c r="G44" s="1474"/>
      <c r="H44" s="1474"/>
      <c r="I44" s="1474"/>
      <c r="J44" s="1474"/>
      <c r="K44" s="1474"/>
      <c r="L44" s="1370"/>
      <c r="M44" s="1370"/>
    </row>
    <row r="45" spans="1:14" ht="15.6">
      <c r="A45" s="1469"/>
      <c r="B45" s="1490" t="s">
        <v>276</v>
      </c>
      <c r="C45" s="1478"/>
      <c r="D45" s="1478"/>
      <c r="E45" s="1478"/>
      <c r="F45" s="1478"/>
      <c r="G45" s="1479">
        <f ca="1">IF(循环开关="on",G43+G39+G28+G20,0)</f>
        <v>57.485877846599351</v>
      </c>
      <c r="H45" s="1479">
        <f ca="1">IF(循环开关="on",H43+H39+H28+H20,0)</f>
        <v>27.416074822982978</v>
      </c>
      <c r="I45" s="1479">
        <f ca="1">IF(循环开关="on",I43+I39+I28+I20,0)</f>
        <v>26.712053442544914</v>
      </c>
      <c r="J45" s="1479">
        <f ca="1">IF(循环开关="on",J43+J39+J28+J20,0)</f>
        <v>17.723854755775477</v>
      </c>
      <c r="K45" s="1479">
        <f ca="1">IF(循环开关="on",K43+K39+K28+K20,0)</f>
        <v>11.978503048661509</v>
      </c>
      <c r="L45" s="1485"/>
      <c r="M45" s="1370"/>
    </row>
    <row r="46" spans="1:14">
      <c r="A46" s="1469"/>
      <c r="B46" s="1489" t="s">
        <v>194</v>
      </c>
      <c r="C46" s="1476"/>
      <c r="D46" s="1476"/>
      <c r="E46" s="1476"/>
      <c r="F46" s="1476"/>
      <c r="G46" s="1488">
        <f>F47</f>
        <v>162.28785960479999</v>
      </c>
      <c r="H46" s="1488">
        <f t="shared" ref="H46:K46" ca="1" si="3">G47</f>
        <v>219.77373745139934</v>
      </c>
      <c r="I46" s="1488">
        <f t="shared" ca="1" si="3"/>
        <v>247.18981227438232</v>
      </c>
      <c r="J46" s="1488">
        <f t="shared" ca="1" si="3"/>
        <v>273.9018657169272</v>
      </c>
      <c r="K46" s="1488">
        <f t="shared" ca="1" si="3"/>
        <v>291.62572047270271</v>
      </c>
      <c r="L46" s="1370"/>
      <c r="M46" s="1370"/>
    </row>
    <row r="47" spans="1:14">
      <c r="A47" s="1469"/>
      <c r="B47" s="1489" t="s">
        <v>195</v>
      </c>
      <c r="C47" s="1476">
        <f>资产负债表!C6</f>
        <v>89.522596727199996</v>
      </c>
      <c r="D47" s="1476">
        <f>资产负债表!D6</f>
        <v>107.65935087850001</v>
      </c>
      <c r="E47" s="1476">
        <f>资产负债表!E6</f>
        <v>126.23381364069999</v>
      </c>
      <c r="F47" s="1476">
        <f>资产负债表!F6</f>
        <v>162.28785960479999</v>
      </c>
      <c r="G47" s="1474">
        <f ca="1">F47+G45</f>
        <v>219.77373745139934</v>
      </c>
      <c r="H47" s="1474">
        <f t="shared" ref="H47:J47" ca="1" si="4">G47+H45</f>
        <v>247.18981227438232</v>
      </c>
      <c r="I47" s="1474">
        <f t="shared" ca="1" si="4"/>
        <v>273.9018657169272</v>
      </c>
      <c r="J47" s="1474">
        <f t="shared" ca="1" si="4"/>
        <v>291.62572047270271</v>
      </c>
      <c r="K47" s="1474">
        <f ca="1">J47+K45</f>
        <v>303.60422352136425</v>
      </c>
      <c r="L47" s="1370"/>
      <c r="M47" s="1370"/>
    </row>
    <row r="48" spans="1:14">
      <c r="A48" s="1469"/>
      <c r="B48" s="1489"/>
      <c r="C48" s="1476"/>
      <c r="D48" s="1476"/>
      <c r="E48" s="1476"/>
      <c r="F48" s="1476"/>
      <c r="G48" s="1488"/>
      <c r="H48" s="1488"/>
      <c r="I48" s="1488"/>
      <c r="J48" s="1488"/>
      <c r="K48" s="1488"/>
      <c r="L48" s="1370"/>
      <c r="M48" s="1370"/>
    </row>
    <row r="49" spans="1:13">
      <c r="A49" s="1469"/>
      <c r="B49" s="1469" t="s">
        <v>101</v>
      </c>
      <c r="C49" s="1476">
        <f>假设!C110</f>
        <v>89.522596727199996</v>
      </c>
      <c r="D49" s="1476">
        <f>假设!D110</f>
        <v>107.65935087850001</v>
      </c>
      <c r="E49" s="1476">
        <f>假设!E110</f>
        <v>126.23381364069999</v>
      </c>
      <c r="F49" s="1476">
        <f>假设!F110</f>
        <v>162.28785960479999</v>
      </c>
      <c r="G49" s="1488">
        <f>假设!G110</f>
        <v>121.42590521279999</v>
      </c>
      <c r="H49" s="1488">
        <f>假设!H110</f>
        <v>121.42590521279999</v>
      </c>
      <c r="I49" s="1488">
        <f>假设!I110</f>
        <v>121.42590521279999</v>
      </c>
      <c r="J49" s="1488">
        <f>假设!J110</f>
        <v>121.42590521279999</v>
      </c>
      <c r="K49" s="1488">
        <f>假设!K110</f>
        <v>121.42590521279999</v>
      </c>
      <c r="L49" s="1370" t="s">
        <v>412</v>
      </c>
      <c r="M49" s="1370"/>
    </row>
    <row r="50" spans="1:13">
      <c r="C50" s="1491"/>
      <c r="D50" s="1491"/>
      <c r="E50" s="1491"/>
      <c r="F50" s="1491"/>
      <c r="G50" s="1491"/>
      <c r="H50" s="1491"/>
      <c r="I50" s="1491"/>
      <c r="J50" s="1491"/>
      <c r="K50" s="1491"/>
    </row>
    <row r="51" spans="1:13">
      <c r="C51" s="1491"/>
      <c r="D51" s="1491"/>
      <c r="E51" s="1491"/>
      <c r="F51" s="1491"/>
      <c r="G51" s="1491"/>
      <c r="H51" s="1491"/>
      <c r="I51" s="1491"/>
      <c r="J51" s="1491"/>
      <c r="K51" s="1491"/>
    </row>
    <row r="52" spans="1:13">
      <c r="C52" s="1491"/>
      <c r="D52" s="1491"/>
      <c r="E52" s="1491"/>
      <c r="F52" s="1491"/>
      <c r="G52" s="1491"/>
      <c r="H52" s="1491"/>
      <c r="I52" s="1491"/>
      <c r="J52" s="1491"/>
      <c r="K52" s="1491"/>
    </row>
    <row r="53" spans="1:13">
      <c r="C53" s="1491"/>
      <c r="D53" s="1491"/>
      <c r="E53" s="1491"/>
      <c r="F53" s="1491"/>
      <c r="G53" s="1491"/>
      <c r="H53" s="1491"/>
      <c r="I53" s="1491"/>
      <c r="J53" s="1491"/>
      <c r="K53" s="1491"/>
    </row>
    <row r="54" spans="1:13">
      <c r="C54" s="1491"/>
      <c r="D54" s="1491"/>
      <c r="E54" s="1491"/>
      <c r="F54" s="1491"/>
      <c r="G54" s="1491"/>
      <c r="H54" s="1491"/>
      <c r="I54" s="1491"/>
      <c r="J54" s="1491"/>
      <c r="K54" s="1491"/>
    </row>
    <row r="55" spans="1:13">
      <c r="C55" s="1491"/>
      <c r="D55" s="1491"/>
      <c r="E55" s="1491"/>
      <c r="F55" s="1491"/>
      <c r="G55" s="1491"/>
      <c r="H55" s="1491"/>
      <c r="I55" s="1491"/>
      <c r="J55" s="1491"/>
      <c r="K55" s="1491"/>
    </row>
    <row r="56" spans="1:13">
      <c r="C56" s="1491"/>
      <c r="D56" s="1491"/>
      <c r="E56" s="1491"/>
      <c r="F56" s="1491"/>
      <c r="G56" s="1491"/>
      <c r="H56" s="1491"/>
      <c r="I56" s="1491"/>
      <c r="J56" s="1491"/>
      <c r="K56" s="1491"/>
    </row>
    <row r="57" spans="1:13">
      <c r="C57" s="1491"/>
      <c r="D57" s="1491"/>
      <c r="E57" s="1491"/>
      <c r="F57" s="1491"/>
      <c r="G57" s="1491"/>
      <c r="H57" s="1491"/>
      <c r="I57" s="1491"/>
      <c r="J57" s="1491"/>
      <c r="K57" s="1491"/>
    </row>
    <row r="58" spans="1:13">
      <c r="C58" s="1491"/>
      <c r="D58" s="1491"/>
      <c r="E58" s="1491"/>
      <c r="F58" s="1491"/>
      <c r="G58" s="1491"/>
      <c r="H58" s="1491"/>
      <c r="I58" s="1491"/>
      <c r="J58" s="1491"/>
      <c r="K58" s="1491"/>
    </row>
    <row r="59" spans="1:13">
      <c r="C59" s="1491"/>
      <c r="D59" s="1491"/>
      <c r="E59" s="1491"/>
      <c r="F59" s="1491"/>
      <c r="G59" s="1491"/>
      <c r="H59" s="1491"/>
      <c r="I59" s="1491"/>
      <c r="J59" s="1491"/>
      <c r="K59" s="1491"/>
    </row>
    <row r="60" spans="1:13">
      <c r="C60" s="1491"/>
      <c r="D60" s="1491"/>
      <c r="E60" s="1491"/>
      <c r="F60" s="1491"/>
      <c r="G60" s="1491"/>
      <c r="H60" s="1491"/>
      <c r="I60" s="1491"/>
      <c r="J60" s="1491"/>
      <c r="K60" s="1491"/>
    </row>
    <row r="61" spans="1:13">
      <c r="C61" s="1491"/>
      <c r="D61" s="1491"/>
      <c r="E61" s="1491"/>
      <c r="F61" s="1491"/>
      <c r="G61" s="1491"/>
      <c r="H61" s="1491"/>
      <c r="I61" s="1491"/>
      <c r="J61" s="1491"/>
      <c r="K61" s="1491"/>
    </row>
    <row r="62" spans="1:13">
      <c r="C62" s="1491"/>
      <c r="D62" s="1491"/>
      <c r="E62" s="1491"/>
      <c r="F62" s="1491"/>
      <c r="G62" s="1491"/>
      <c r="H62" s="1491"/>
      <c r="I62" s="1491"/>
      <c r="J62" s="1491"/>
      <c r="K62" s="1491"/>
    </row>
    <row r="63" spans="1:13">
      <c r="C63" s="1491"/>
      <c r="D63" s="1491"/>
      <c r="E63" s="1491"/>
      <c r="F63" s="1491"/>
      <c r="G63" s="1491"/>
      <c r="H63" s="1491"/>
      <c r="I63" s="1491"/>
      <c r="J63" s="1491"/>
      <c r="K63" s="1491"/>
    </row>
    <row r="64" spans="1:13">
      <c r="C64" s="1491"/>
      <c r="D64" s="1491"/>
      <c r="E64" s="1491"/>
      <c r="F64" s="1491"/>
      <c r="G64" s="1491"/>
      <c r="H64" s="1491"/>
      <c r="I64" s="1491"/>
      <c r="J64" s="1491"/>
      <c r="K64" s="1491"/>
    </row>
    <row r="65" spans="3:11">
      <c r="C65" s="1491"/>
      <c r="D65" s="1491"/>
      <c r="E65" s="1491"/>
      <c r="F65" s="1491"/>
      <c r="G65" s="1491"/>
      <c r="H65" s="1491"/>
      <c r="I65" s="1491"/>
      <c r="J65" s="1491"/>
      <c r="K65" s="1491"/>
    </row>
    <row r="66" spans="3:11">
      <c r="C66" s="1491"/>
      <c r="D66" s="1491"/>
      <c r="E66" s="1491"/>
      <c r="F66" s="1491"/>
      <c r="G66" s="1491"/>
      <c r="H66" s="1491"/>
      <c r="I66" s="1491"/>
      <c r="J66" s="1491"/>
      <c r="K66" s="1491"/>
    </row>
  </sheetData>
  <mergeCells count="1">
    <mergeCell ref="C2:F2"/>
  </mergeCells>
  <phoneticPr fontId="20" type="noConversion"/>
  <printOptions horizontalCentered="1"/>
  <pageMargins left="0.70866141732283472" right="0.70866141732283472" top="0.74803149606299213" bottom="0.74803149606299213" header="0.31496062992125984" footer="0.31496062992125984"/>
  <pageSetup paperSize="9" scale="77" orientation="landscape"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8">
    <tabColor rgb="FFC00000"/>
  </sheetPr>
  <dimension ref="A1:L29"/>
  <sheetViews>
    <sheetView showGridLines="0" workbookViewId="0">
      <pane xSplit="2" ySplit="3" topLeftCell="C4" activePane="bottomRight" state="frozen"/>
      <selection activeCell="H43" sqref="H43"/>
      <selection pane="topRight" activeCell="H43" sqref="H43"/>
      <selection pane="bottomLeft" activeCell="H43" sqref="H43"/>
      <selection pane="bottomRight" activeCell="J18" sqref="J18"/>
    </sheetView>
  </sheetViews>
  <sheetFormatPr defaultColWidth="9" defaultRowHeight="15"/>
  <cols>
    <col min="1" max="1" width="2.6640625" style="1372" customWidth="1"/>
    <col min="2" max="2" width="35.33203125" style="1372" customWidth="1"/>
    <col min="3" max="3" width="11.77734375" style="1719" bestFit="1" customWidth="1"/>
    <col min="4" max="5" width="9.44140625" style="1719" bestFit="1" customWidth="1"/>
    <col min="6" max="6" width="9.21875" style="1719" bestFit="1" customWidth="1"/>
    <col min="7" max="7" width="16.21875" style="1372" bestFit="1" customWidth="1"/>
    <col min="8" max="11" width="16.21875" style="1372" customWidth="1"/>
    <col min="12" max="12" width="63.21875" style="1372" customWidth="1"/>
    <col min="13" max="16384" width="9" style="1372"/>
  </cols>
  <sheetData>
    <row r="1" spans="1:12" s="1373" customFormat="1">
      <c r="A1" s="1440"/>
      <c r="B1" s="1441" t="s">
        <v>1525</v>
      </c>
      <c r="C1" s="2530" t="str">
        <f>"当前模式："&amp;测算模式</f>
        <v>当前模式：1.实际收入+实际成本</v>
      </c>
      <c r="D1" s="2530"/>
      <c r="E1" s="2530"/>
      <c r="F1" s="2530"/>
      <c r="G1" s="2530"/>
      <c r="H1" s="2530"/>
      <c r="I1" s="2530"/>
      <c r="J1" s="2530"/>
      <c r="K1" s="2530"/>
      <c r="L1" s="2530"/>
    </row>
    <row r="2" spans="1:12" s="1373" customFormat="1" ht="15.6">
      <c r="A2" s="1442"/>
      <c r="B2" s="1194"/>
      <c r="C2" s="2528" t="s">
        <v>30</v>
      </c>
      <c r="D2" s="2528"/>
      <c r="E2" s="2528"/>
      <c r="F2" s="2528"/>
      <c r="G2" s="1443" t="s">
        <v>31</v>
      </c>
      <c r="H2" s="1443"/>
      <c r="I2" s="1443"/>
      <c r="J2" s="1443"/>
      <c r="K2" s="1443"/>
      <c r="L2" s="2494" t="s">
        <v>257</v>
      </c>
    </row>
    <row r="3" spans="1:12" s="1373" customFormat="1" ht="16.2" thickBot="1">
      <c r="A3" s="1442"/>
      <c r="B3" s="1444" t="s">
        <v>332</v>
      </c>
      <c r="C3" s="1711">
        <f>G3-4</f>
        <v>2014</v>
      </c>
      <c r="D3" s="1711">
        <f>G3-3</f>
        <v>2015</v>
      </c>
      <c r="E3" s="1711">
        <f>G3-2</f>
        <v>2016</v>
      </c>
      <c r="F3" s="1711">
        <f>G3-1</f>
        <v>2017</v>
      </c>
      <c r="G3" s="1445">
        <f>测算年份</f>
        <v>2018</v>
      </c>
      <c r="H3" s="1468">
        <f>假设!H3</f>
        <v>2019</v>
      </c>
      <c r="I3" s="1468">
        <f>假设!I3</f>
        <v>2020</v>
      </c>
      <c r="J3" s="1468">
        <f>假设!J3</f>
        <v>2021</v>
      </c>
      <c r="K3" s="1468">
        <f>假设!K3</f>
        <v>2022</v>
      </c>
      <c r="L3" s="2529"/>
    </row>
    <row r="4" spans="1:12" s="1450" customFormat="1" ht="16.95" customHeight="1" thickBot="1">
      <c r="A4" s="1446"/>
      <c r="B4" s="1447" t="s">
        <v>1470</v>
      </c>
      <c r="C4" s="1448"/>
      <c r="D4" s="1448"/>
      <c r="E4" s="1448"/>
      <c r="F4" s="1448"/>
      <c r="G4" s="1448"/>
      <c r="H4" s="1943"/>
      <c r="I4" s="1943"/>
      <c r="J4" s="1943"/>
      <c r="K4" s="1943"/>
      <c r="L4" s="1449"/>
    </row>
    <row r="5" spans="1:12" s="1451" customFormat="1" ht="16.95" customHeight="1" thickBot="1">
      <c r="B5" s="1452" t="s">
        <v>426</v>
      </c>
      <c r="C5" s="1712">
        <v>0.2545224802721725</v>
      </c>
      <c r="D5" s="1712">
        <v>0.27953886444379245</v>
      </c>
      <c r="E5" s="1712">
        <v>0.27291929789700897</v>
      </c>
      <c r="F5" s="1712">
        <v>0.29483717774054991</v>
      </c>
      <c r="G5" s="1453">
        <f>国资委考核指标!F5</f>
        <v>0.29483717774054991</v>
      </c>
      <c r="H5" s="1453">
        <f ca="1">国资委考核指标!G5</f>
        <v>0.30373616747300303</v>
      </c>
      <c r="I5" s="1453">
        <f ca="1">国资委考核指标!H5</f>
        <v>0.30520206782534742</v>
      </c>
      <c r="J5" s="1453">
        <f ca="1">国资委考核指标!I5</f>
        <v>0.30632105910564117</v>
      </c>
      <c r="K5" s="1453">
        <f ca="1">国资委考核指标!J5</f>
        <v>0.30704123380030457</v>
      </c>
      <c r="L5" s="1449"/>
    </row>
    <row r="6" spans="1:12" s="1451" customFormat="1" ht="16.95" customHeight="1" thickBot="1">
      <c r="B6" s="1452" t="s">
        <v>1206</v>
      </c>
      <c r="C6" s="1712"/>
      <c r="D6" s="1712">
        <v>2.002056879155616E-2</v>
      </c>
      <c r="E6" s="1712">
        <v>1.6556372701448205E-2</v>
      </c>
      <c r="F6" s="1713">
        <v>1.9691200177131028E-2</v>
      </c>
      <c r="G6" s="1454">
        <f ca="1">损益表!G20/AVERAGE(资产负债表!F65:G65)</f>
        <v>1.763944534300349E-2</v>
      </c>
      <c r="H6" s="1454">
        <f ca="1">损益表!H20/AVERAGE(资产负债表!G65:H65)</f>
        <v>1.8635616994347896E-2</v>
      </c>
      <c r="I6" s="1454">
        <f ca="1">损益表!I20/AVERAGE(资产负债表!H65:I65)</f>
        <v>1.9993539199327021E-2</v>
      </c>
      <c r="J6" s="1454">
        <f ca="1">损益表!J20/AVERAGE(资产负债表!I65:J65)</f>
        <v>2.1243836898489431E-2</v>
      </c>
      <c r="K6" s="1454">
        <f ca="1">损益表!K20/AVERAGE(资产负债表!J65:K65)</f>
        <v>2.2757050334790221E-2</v>
      </c>
      <c r="L6" s="1449" t="s">
        <v>1489</v>
      </c>
    </row>
    <row r="7" spans="1:12" s="1451" customFormat="1" ht="16.95" customHeight="1" thickBot="1">
      <c r="B7" s="1452" t="s">
        <v>1471</v>
      </c>
      <c r="C7" s="1712"/>
      <c r="D7" s="1712">
        <v>1.4659319036243193E-2</v>
      </c>
      <c r="E7" s="1712">
        <v>1.19845711654192E-2</v>
      </c>
      <c r="F7" s="1713">
        <v>1.4103084181090486E-2</v>
      </c>
      <c r="G7" s="1454">
        <f ca="1">损益表!G20/AVERAGE(资产负债表!F31:G31)</f>
        <v>1.2359212883344239E-2</v>
      </c>
      <c r="H7" s="1454">
        <f ca="1">损益表!H20/AVERAGE(资产负债表!G31:H31)</f>
        <v>1.2961566610094568E-2</v>
      </c>
      <c r="I7" s="1454">
        <f ca="1">损益表!I20/AVERAGE(资产负债表!H31:I31)</f>
        <v>1.388022057195802E-2</v>
      </c>
      <c r="J7" s="1454">
        <f ca="1">损益表!J20/AVERAGE(资产负债表!I31:J31)</f>
        <v>1.4728718821520105E-2</v>
      </c>
      <c r="K7" s="1454">
        <f ca="1">损益表!K20/AVERAGE(资产负债表!J31:K31)</f>
        <v>1.5763368981902632E-2</v>
      </c>
      <c r="L7" s="1449" t="s">
        <v>1490</v>
      </c>
    </row>
    <row r="8" spans="1:12" s="1451" customFormat="1" ht="16.95" customHeight="1" thickBot="1">
      <c r="B8" s="1452" t="s">
        <v>2267</v>
      </c>
      <c r="C8" s="1714">
        <f>历史资产负债表!E12-历史资产负债表!E42</f>
        <v>-251.96582915659999</v>
      </c>
      <c r="D8" s="1714">
        <f>历史资产负债表!F12-历史资产负债表!F42</f>
        <v>-307.25886468960005</v>
      </c>
      <c r="E8" s="1714">
        <f>历史资产负债表!G12-历史资产负债表!G42</f>
        <v>-289.07601690989998</v>
      </c>
      <c r="F8" s="1714">
        <f>历史资产负债表!H12-历史资产负债表!H42</f>
        <v>-275.80062641009999</v>
      </c>
      <c r="G8" s="1714">
        <f ca="1">资产负债表!G13-资产负债表!G43</f>
        <v>-246.98958725289833</v>
      </c>
      <c r="H8" s="1714">
        <f ca="1">资产负债表!H13-资产负债表!H43</f>
        <v>-220.49380719076055</v>
      </c>
      <c r="I8" s="1714">
        <f ca="1">资产负债表!I13-资产负债表!I43</f>
        <v>-198.84274113594847</v>
      </c>
      <c r="J8" s="1714">
        <f ca="1">资产负债表!J13-资产负债表!J43</f>
        <v>-183.66585147961661</v>
      </c>
      <c r="K8" s="1714">
        <f ca="1">资产负债表!K13-资产负债表!K43</f>
        <v>-175.73374075731806</v>
      </c>
      <c r="L8" s="1745" t="s">
        <v>1972</v>
      </c>
    </row>
    <row r="9" spans="1:12" s="1451" customFormat="1" ht="19.5" customHeight="1" thickBot="1">
      <c r="B9" s="1452" t="s">
        <v>1472</v>
      </c>
      <c r="C9" s="1455">
        <f>SUM(资产负债表!C34,资产负债表!C41,资产负债表!C45:C46)</f>
        <v>9.1538461544</v>
      </c>
      <c r="D9" s="1455">
        <f>SUM(资产负债表!D34,资产负债表!D41,资产负债表!D45:D46)</f>
        <v>20.391889254100001</v>
      </c>
      <c r="E9" s="1455">
        <f>SUM(资产负债表!E34,资产负债表!E41,资产负债表!E45:E46)</f>
        <v>12.255671723500001</v>
      </c>
      <c r="F9" s="1455">
        <f>SUM(资产负债表!F34,资产负债表!F41,资产负债表!F45:F46)</f>
        <v>11.888970967900001</v>
      </c>
      <c r="G9" s="1455">
        <f ca="1">SUM(资产负债表!G34,资产负债表!G41,资产负债表!G45:G46)</f>
        <v>0.43497096790000001</v>
      </c>
      <c r="H9" s="1455">
        <f ca="1">SUM(资产负债表!H34,资产负债表!H41,资产负债表!H45:H46)</f>
        <v>0.43497096790000001</v>
      </c>
      <c r="I9" s="1455">
        <f ca="1">SUM(资产负债表!I34,资产负债表!I41,资产负债表!I45:I46)</f>
        <v>0.43497096790000001</v>
      </c>
      <c r="J9" s="1455">
        <f ca="1">SUM(资产负债表!J34,资产负债表!J41,资产负债表!J45:J46)</f>
        <v>0.43497096790000001</v>
      </c>
      <c r="K9" s="1455">
        <f ca="1">SUM(资产负债表!K34,资产负债表!K41,资产负债表!K45:K46)</f>
        <v>0.43497096790000001</v>
      </c>
      <c r="L9" s="1456" t="s">
        <v>1960</v>
      </c>
    </row>
    <row r="10" spans="1:12" s="1451" customFormat="1" ht="16.95" customHeight="1" thickBot="1">
      <c r="B10" s="1452" t="s">
        <v>1473</v>
      </c>
      <c r="C10" s="1714">
        <v>-89.522596727199996</v>
      </c>
      <c r="D10" s="1714">
        <v>-106.2293508785</v>
      </c>
      <c r="E10" s="1714">
        <v>-123.9527136407</v>
      </c>
      <c r="F10" s="1714">
        <v>-161.84075960479998</v>
      </c>
      <c r="G10" s="1457">
        <f ca="1">G9-资产负债表!G6</f>
        <v>-219.33876648349934</v>
      </c>
      <c r="H10" s="1457">
        <f ca="1">H9-资产负债表!H6</f>
        <v>-246.75484130648232</v>
      </c>
      <c r="I10" s="1457">
        <f ca="1">I9-资产负债表!I6</f>
        <v>-273.46689474902723</v>
      </c>
      <c r="J10" s="1457">
        <f ca="1">J9-资产负债表!J6</f>
        <v>-291.19074950480274</v>
      </c>
      <c r="K10" s="1457">
        <f ca="1">K9-资产负债表!K6</f>
        <v>-303.16925255346428</v>
      </c>
      <c r="L10" s="1456" t="s">
        <v>1961</v>
      </c>
    </row>
    <row r="11" spans="1:12" s="1451" customFormat="1" ht="16.95" customHeight="1" thickBot="1">
      <c r="B11" s="1452" t="s">
        <v>1474</v>
      </c>
      <c r="C11" s="1714">
        <v>21.220165605900007</v>
      </c>
      <c r="D11" s="1715">
        <v>158.07489984520001</v>
      </c>
      <c r="E11" s="1715">
        <v>171.0535296333</v>
      </c>
      <c r="F11" s="1715">
        <v>178.6248215736</v>
      </c>
      <c r="G11" s="1457">
        <f ca="1">主要经济指标表!G9-损益表!G10-损益表!G19-固定资产!G12</f>
        <v>179.78310499438547</v>
      </c>
      <c r="H11" s="1457">
        <f ca="1">主要经济指标表!H9-损益表!H10-损益表!H19-固定资产!H12</f>
        <v>186.57549934123682</v>
      </c>
      <c r="I11" s="1457">
        <f ca="1">主要经济指标表!I9-损益表!I10-损益表!I19-固定资产!I12</f>
        <v>191.71742151083822</v>
      </c>
      <c r="J11" s="1457">
        <f ca="1">主要经济指标表!J9-损益表!J10-损益表!J19-固定资产!J12</f>
        <v>195.97619463748148</v>
      </c>
      <c r="K11" s="1457">
        <f ca="1">主要经济指标表!K9-损益表!K10-损益表!K19-固定资产!K12</f>
        <v>200.05655715659904</v>
      </c>
      <c r="L11" s="1456" t="s">
        <v>1475</v>
      </c>
    </row>
    <row r="12" spans="1:12" s="1451" customFormat="1" ht="16.95" customHeight="1" thickBot="1">
      <c r="B12" s="1452" t="s">
        <v>1476</v>
      </c>
      <c r="C12" s="1714">
        <f>C11-历史现金流量表!F55</f>
        <v>3.9217990872000072</v>
      </c>
      <c r="D12" s="1714">
        <f>D11-历史现金流量表!G55</f>
        <v>132.9740129221</v>
      </c>
      <c r="E12" s="1714">
        <f>E11-历史现金流量表!H55</f>
        <v>159.77787352730002</v>
      </c>
      <c r="F12" s="1714">
        <f>F11-历史现金流量表!I55</f>
        <v>112.2468773647</v>
      </c>
      <c r="G12" s="1457">
        <f ca="1">G11</f>
        <v>179.78310499438547</v>
      </c>
      <c r="H12" s="1457">
        <f t="shared" ref="H12:K12" ca="1" si="0">H11</f>
        <v>186.57549934123682</v>
      </c>
      <c r="I12" s="1457">
        <f t="shared" ca="1" si="0"/>
        <v>191.71742151083822</v>
      </c>
      <c r="J12" s="1457">
        <f t="shared" ca="1" si="0"/>
        <v>195.97619463748148</v>
      </c>
      <c r="K12" s="1457">
        <f t="shared" ca="1" si="0"/>
        <v>200.05655715659904</v>
      </c>
      <c r="L12" s="1458" t="s">
        <v>1962</v>
      </c>
    </row>
    <row r="13" spans="1:12" s="1451" customFormat="1" ht="16.95" customHeight="1" thickBot="1">
      <c r="B13" s="1452" t="s">
        <v>1477</v>
      </c>
      <c r="C13" s="1714"/>
      <c r="D13" s="1715"/>
      <c r="E13" s="1715"/>
      <c r="F13" s="1715"/>
      <c r="G13" s="1457">
        <f ca="1">SUM(现金流量表!G5:G9,现金流量表!G11:G19)</f>
        <v>184.96439042244077</v>
      </c>
      <c r="H13" s="1457">
        <f ca="1">SUM(现金流量表!H5:H9,现金流量表!H11:H19)</f>
        <v>191.53658906291989</v>
      </c>
      <c r="I13" s="1457">
        <f ca="1">SUM(现金流量表!I5:I9,现金流量表!I11:I19)</f>
        <v>196.56464523699026</v>
      </c>
      <c r="J13" s="1457">
        <f ca="1">SUM(现金流量表!J5:J9,现金流量表!J11:J19)</f>
        <v>200.73077432622509</v>
      </c>
      <c r="K13" s="1457">
        <f ca="1">SUM(现金流量表!K5:K9,现金流量表!K11:K19)</f>
        <v>204.74966926203447</v>
      </c>
      <c r="L13" s="1449"/>
    </row>
    <row r="14" spans="1:12" s="1451" customFormat="1" ht="16.95" customHeight="1" thickBot="1">
      <c r="B14" s="1452" t="s">
        <v>58</v>
      </c>
      <c r="C14" s="1714">
        <v>-0.63414611840000001</v>
      </c>
      <c r="D14" s="1714">
        <v>-0.81544300219999999</v>
      </c>
      <c r="E14" s="1714">
        <v>-0.64352519419999998</v>
      </c>
      <c r="F14" s="1714">
        <v>-0.6535169556</v>
      </c>
      <c r="G14" s="1457">
        <f ca="1">债务!G35</f>
        <v>2.1907900000000001E-2</v>
      </c>
      <c r="H14" s="1457">
        <f ca="1">债务!H35</f>
        <v>2.1907900000000001E-2</v>
      </c>
      <c r="I14" s="1457">
        <f ca="1">债务!I35</f>
        <v>2.1907900000000001E-2</v>
      </c>
      <c r="J14" s="1457">
        <f ca="1">债务!J35</f>
        <v>2.1907900000000001E-2</v>
      </c>
      <c r="K14" s="1457">
        <f ca="1">债务!K35</f>
        <v>2.1907900000000001E-2</v>
      </c>
      <c r="L14" s="1449"/>
    </row>
    <row r="15" spans="1:12" s="1451" customFormat="1" ht="16.95" customHeight="1" thickBot="1">
      <c r="B15" s="1459" t="s">
        <v>1478</v>
      </c>
      <c r="C15" s="1457"/>
      <c r="D15" s="1448"/>
      <c r="E15" s="1448"/>
      <c r="F15" s="1448"/>
      <c r="G15" s="1457"/>
      <c r="H15" s="1457"/>
      <c r="I15" s="1457"/>
      <c r="J15" s="1457"/>
      <c r="K15" s="1457"/>
      <c r="L15" s="1449"/>
    </row>
    <row r="16" spans="1:12" s="1451" customFormat="1" ht="16.95" customHeight="1" thickBot="1">
      <c r="B16" s="1452" t="s">
        <v>1414</v>
      </c>
      <c r="C16" s="1712">
        <v>0</v>
      </c>
      <c r="D16" s="1712">
        <v>1.0976317199027472E-3</v>
      </c>
      <c r="E16" s="1712">
        <v>1.6386306911165425E-3</v>
      </c>
      <c r="F16" s="1712">
        <v>3.3712755486819214E-4</v>
      </c>
      <c r="G16" s="1454">
        <f ca="1">G9/(G9+资产负债表!G65)</f>
        <v>3.2386481267492485E-4</v>
      </c>
      <c r="H16" s="1454">
        <f ca="1">H9/(H9+资产负债表!H65)</f>
        <v>3.1948875414982613E-4</v>
      </c>
      <c r="I16" s="1454">
        <f ca="1">I9/(I9+资产负债表!I65)</f>
        <v>3.1483391552165435E-4</v>
      </c>
      <c r="J16" s="1454">
        <f ca="1">J9/(J9+资产负债表!J65)</f>
        <v>3.0998081202068578E-4</v>
      </c>
      <c r="K16" s="1454">
        <f ca="1">K9/(K9+资产负债表!K65)</f>
        <v>3.0485059909847792E-4</v>
      </c>
      <c r="L16" s="1460" t="s">
        <v>1479</v>
      </c>
    </row>
    <row r="17" spans="2:12" s="1451" customFormat="1" ht="16.95" customHeight="1" thickBot="1">
      <c r="B17" s="1452" t="s">
        <v>1480</v>
      </c>
      <c r="C17" s="1712">
        <v>0</v>
      </c>
      <c r="D17" s="1712">
        <v>1.0976317199027472E-3</v>
      </c>
      <c r="E17" s="1712">
        <v>1.6386306911165425E-3</v>
      </c>
      <c r="F17" s="1712">
        <v>3.3712755486819214E-4</v>
      </c>
      <c r="G17" s="1454">
        <f ca="1">G10/(G10+资产负债表!G65)</f>
        <v>-0.19526465786371525</v>
      </c>
      <c r="H17" s="1454">
        <f ca="1">H10/(H10+资产负债表!H65)</f>
        <v>-0.22144985717035581</v>
      </c>
      <c r="I17" s="1454">
        <f ca="1">I10/(I10+资产负债表!I65)</f>
        <v>-0.24688106405326904</v>
      </c>
      <c r="J17" s="1454">
        <f ca="1">J10/(J10+资产负债表!J65)</f>
        <v>-0.26195799531193786</v>
      </c>
      <c r="K17" s="1454">
        <f ca="1">K10/(K10+资产负债表!K65)</f>
        <v>-0.26990867242452948</v>
      </c>
      <c r="L17" s="1460" t="s">
        <v>1959</v>
      </c>
    </row>
    <row r="18" spans="2:12" s="1451" customFormat="1" ht="16.95" customHeight="1" thickBot="1">
      <c r="B18" s="1452" t="s">
        <v>1415</v>
      </c>
      <c r="C18" s="1716">
        <v>0</v>
      </c>
      <c r="D18" s="1716">
        <v>8.6987993961439129E-3</v>
      </c>
      <c r="E18" s="1716">
        <v>1.2788170794249073E-2</v>
      </c>
      <c r="F18" s="1716">
        <v>2.409555298724139E-3</v>
      </c>
      <c r="G18" s="1461">
        <f ca="1">G9/主要经济指标表!G9</f>
        <v>2.3298521468983618E-3</v>
      </c>
      <c r="H18" s="1461">
        <f ca="1">H9/主要经济指标表!H9</f>
        <v>2.2441152896976861E-3</v>
      </c>
      <c r="I18" s="1461">
        <f ca="1">I9/主要经济指标表!I9</f>
        <v>2.1794945346777896E-3</v>
      </c>
      <c r="J18" s="1461">
        <f ca="1">J9/主要经济指标表!J9</f>
        <v>2.1276091151880513E-3</v>
      </c>
      <c r="K18" s="1461">
        <f ca="1">K9/主要经济指标表!K9</f>
        <v>2.0780089131510237E-3</v>
      </c>
      <c r="L18" s="1462"/>
    </row>
    <row r="19" spans="2:12" s="1451" customFormat="1" ht="16.95" customHeight="1" thickBot="1">
      <c r="B19" s="1452" t="s">
        <v>1481</v>
      </c>
      <c r="C19" s="1716">
        <v>-3.1057034702230628</v>
      </c>
      <c r="D19" s="1716">
        <v>-0.64620126802423483</v>
      </c>
      <c r="E19" s="1716">
        <v>-0.69489652906401234</v>
      </c>
      <c r="F19" s="1716">
        <v>-0.87220814103172761</v>
      </c>
      <c r="G19" s="1461">
        <f ca="1">G10/主要经济指标表!G9</f>
        <v>-1.1748528837609793</v>
      </c>
      <c r="H19" s="1461">
        <f ca="1">H10/主要经济指标表!H9</f>
        <v>-1.2730649929493907</v>
      </c>
      <c r="I19" s="1461">
        <f ca="1">I10/主要经济指标表!I9</f>
        <v>-1.3702514570072095</v>
      </c>
      <c r="J19" s="1461">
        <f ca="1">J10/主要经济指标表!J9</f>
        <v>-1.4243251587478163</v>
      </c>
      <c r="K19" s="1461">
        <f ca="1">K10/主要经济指标表!K9</f>
        <v>-1.4483458793605442</v>
      </c>
      <c r="L19" s="1462"/>
    </row>
    <row r="20" spans="2:12" s="1451" customFormat="1" ht="16.95" customHeight="1" thickBot="1">
      <c r="B20" s="1452" t="s">
        <v>1482</v>
      </c>
      <c r="C20" s="1717">
        <v>-45.455176160863822</v>
      </c>
      <c r="D20" s="1717">
        <v>-201.59655746703029</v>
      </c>
      <c r="E20" s="1717">
        <v>-277.18539426905937</v>
      </c>
      <c r="F20" s="1717">
        <v>-283.92975798729225</v>
      </c>
      <c r="G20" s="1463">
        <f ca="1">主要经济指标表!G9/G14</f>
        <v>8521.796511200233</v>
      </c>
      <c r="H20" s="1463">
        <f ca="1">主要经济指标表!H9/H14</f>
        <v>8847.3733895042078</v>
      </c>
      <c r="I20" s="1463">
        <f ca="1">主要经济指标表!I9/I14</f>
        <v>9109.69290408708</v>
      </c>
      <c r="J20" s="1463">
        <f ca="1">主要经济指标表!J9/J14</f>
        <v>9331.8484844411705</v>
      </c>
      <c r="K20" s="1463">
        <f ca="1">主要经济指标表!K9/K14</f>
        <v>9554.5913068024765</v>
      </c>
      <c r="L20" s="1460" t="s">
        <v>1963</v>
      </c>
    </row>
    <row r="21" spans="2:12" s="1451" customFormat="1" ht="16.95" customHeight="1" thickBot="1">
      <c r="B21" s="1452" t="s">
        <v>1413</v>
      </c>
      <c r="C21" s="1717">
        <v>-45.455176160863822</v>
      </c>
      <c r="D21" s="1717">
        <v>-30.730717877880394</v>
      </c>
      <c r="E21" s="1717">
        <v>-48.218560677604621</v>
      </c>
      <c r="F21" s="1717">
        <v>-44.203754019783226</v>
      </c>
      <c r="G21" s="1463">
        <f ca="1">主要经济指标表!G11/主要评级指标表!G14</f>
        <v>1437.8154769327693</v>
      </c>
      <c r="H21" s="1463">
        <f ca="1">主要经济指标表!H11/主要评级指标表!H14</f>
        <v>1527.0046064286614</v>
      </c>
      <c r="I21" s="1463">
        <f ca="1">主要经济指标表!I11/主要评级指标表!I14</f>
        <v>1653.895418889814</v>
      </c>
      <c r="J21" s="1463">
        <f ca="1">主要经济指标表!J11/主要评级指标表!J14</f>
        <v>1777.9756818361632</v>
      </c>
      <c r="K21" s="1463">
        <f ca="1">主要经济指标表!K11/主要评级指标表!K14</f>
        <v>1931.8479067030125</v>
      </c>
      <c r="L21" s="1460" t="s">
        <v>1964</v>
      </c>
    </row>
    <row r="22" spans="2:12" s="1451" customFormat="1" ht="16.95" customHeight="1" thickBot="1">
      <c r="B22" s="1452" t="s">
        <v>1416</v>
      </c>
      <c r="C22" s="1712">
        <f>C11/C10</f>
        <v>-0.23703697593316797</v>
      </c>
      <c r="D22" s="1712">
        <f t="shared" ref="D22:F22" si="1">D11/D10</f>
        <v>-1.4880529584144635</v>
      </c>
      <c r="E22" s="1712">
        <f t="shared" si="1"/>
        <v>-1.379990196335116</v>
      </c>
      <c r="F22" s="1712">
        <f t="shared" si="1"/>
        <v>-1.1037072614450472</v>
      </c>
      <c r="G22" s="1454">
        <f ca="1">G11/G9</f>
        <v>413.32207954558862</v>
      </c>
      <c r="H22" s="1454">
        <f t="shared" ref="H22:K22" ca="1" si="2">H11/H9</f>
        <v>428.93782139531345</v>
      </c>
      <c r="I22" s="1454">
        <f t="shared" ca="1" si="2"/>
        <v>440.75912108900593</v>
      </c>
      <c r="J22" s="1454">
        <f t="shared" ca="1" si="2"/>
        <v>450.55005759036425</v>
      </c>
      <c r="K22" s="1454">
        <f t="shared" ca="1" si="2"/>
        <v>459.93082738936295</v>
      </c>
      <c r="L22" s="1462"/>
    </row>
    <row r="23" spans="2:12" s="1451" customFormat="1" ht="16.95" customHeight="1" thickBot="1">
      <c r="B23" s="1452" t="s">
        <v>1483</v>
      </c>
      <c r="C23" s="1744">
        <f>C10/C11</f>
        <v>-4.2187510875178722</v>
      </c>
      <c r="D23" s="1744">
        <f t="shared" ref="D23:F23" si="3">D10/D11</f>
        <v>-0.67201909336984267</v>
      </c>
      <c r="E23" s="1744">
        <f t="shared" si="3"/>
        <v>-0.72464282909815725</v>
      </c>
      <c r="F23" s="1744">
        <f t="shared" si="3"/>
        <v>-0.90603734788401524</v>
      </c>
      <c r="G23" s="1463">
        <f ca="1">G10/G11</f>
        <v>-1.2200187914784828</v>
      </c>
      <c r="H23" s="1463">
        <f t="shared" ref="H23:K23" ca="1" si="4">H10/H11</f>
        <v>-1.3225468626787948</v>
      </c>
      <c r="I23" s="1463">
        <f t="shared" ca="1" si="4"/>
        <v>-1.4264060751180483</v>
      </c>
      <c r="J23" s="1463">
        <f t="shared" ca="1" si="4"/>
        <v>-1.485847554308573</v>
      </c>
      <c r="K23" s="1463">
        <f t="shared" ca="1" si="4"/>
        <v>-1.5154177241796245</v>
      </c>
      <c r="L23" s="1462"/>
    </row>
    <row r="24" spans="2:12" s="1451" customFormat="1" ht="16.95" customHeight="1" thickBot="1">
      <c r="B24" s="1452" t="s">
        <v>1484</v>
      </c>
      <c r="C24" s="1744">
        <f>C12/C9</f>
        <v>0.42843183302954108</v>
      </c>
      <c r="D24" s="1744">
        <f t="shared" ref="D24:F24" si="5">D12/D9</f>
        <v>6.5209265931730283</v>
      </c>
      <c r="E24" s="1744">
        <f t="shared" si="5"/>
        <v>13.037055587979662</v>
      </c>
      <c r="F24" s="1744">
        <f t="shared" si="5"/>
        <v>9.4412609525050115</v>
      </c>
      <c r="G24" s="1454">
        <f ca="1">G12/G9</f>
        <v>413.32207954558862</v>
      </c>
      <c r="H24" s="1454">
        <f t="shared" ref="H24:K24" ca="1" si="6">H12/H9</f>
        <v>428.93782139531345</v>
      </c>
      <c r="I24" s="1454">
        <f t="shared" ca="1" si="6"/>
        <v>440.75912108900593</v>
      </c>
      <c r="J24" s="1454">
        <f t="shared" ca="1" si="6"/>
        <v>450.55005759036425</v>
      </c>
      <c r="K24" s="1454">
        <f t="shared" ca="1" si="6"/>
        <v>459.93082738936295</v>
      </c>
      <c r="L24" s="1462"/>
    </row>
    <row r="25" spans="2:12" s="1451" customFormat="1" ht="30.6" thickBot="1">
      <c r="B25" s="1452" t="s">
        <v>1417</v>
      </c>
      <c r="C25" s="1717">
        <f>(历史现金流量表!F29-主要评级指标表!C8)/主要经济指标表!C13</f>
        <v>-643.54197163402523</v>
      </c>
      <c r="D25" s="1717">
        <f>(历史现金流量表!G29-主要评级指标表!D8)/主要经济指标表!D13</f>
        <v>-583.03708396088814</v>
      </c>
      <c r="E25" s="1717">
        <f>(历史现金流量表!H29-主要评级指标表!E8)/主要经济指标表!E13</f>
        <v>-717.07425348429342</v>
      </c>
      <c r="F25" s="1717">
        <f>(历史现金流量表!I29-主要评级指标表!F8)/主要经济指标表!F13</f>
        <v>-724.4333351152917</v>
      </c>
      <c r="G25" s="1463">
        <f ca="1">(G13+G14)/G14</f>
        <v>8443.8169939812014</v>
      </c>
      <c r="H25" s="1463">
        <f t="shared" ref="H25:K25" ca="1" si="7">(H13+H14)/H14</f>
        <v>8743.8091721671117</v>
      </c>
      <c r="I25" s="1463">
        <f t="shared" ca="1" si="7"/>
        <v>8973.3179874378766</v>
      </c>
      <c r="J25" s="1463">
        <f t="shared" ca="1" si="7"/>
        <v>9163.4835938736742</v>
      </c>
      <c r="K25" s="1463">
        <f t="shared" ca="1" si="7"/>
        <v>9346.9286039298368</v>
      </c>
      <c r="L25" s="1748" t="s">
        <v>1976</v>
      </c>
    </row>
    <row r="26" spans="2:12" s="1451" customFormat="1" ht="30.6" thickBot="1">
      <c r="B26" s="1452" t="s">
        <v>1485</v>
      </c>
      <c r="C26" s="1714">
        <f>(历史现金流量表!F29-主要评级指标表!C8)/主要评级指标表!C9</f>
        <v>44.582313975534511</v>
      </c>
      <c r="D26" s="1714">
        <f>(历史现金流量表!G29-主要评级指标表!D8)/主要评级指标表!D9</f>
        <v>23.314833864322271</v>
      </c>
      <c r="E26" s="1714">
        <f>(历史现金流量表!H29-主要评级指标表!E8)/主要评级指标表!E9</f>
        <v>37.65239136949701</v>
      </c>
      <c r="F26" s="1714">
        <f>(历史现金流量表!I29-主要评级指标表!F8)/主要评级指标表!F9</f>
        <v>39.820895263177171</v>
      </c>
      <c r="G26" s="1454">
        <f ca="1">G13/G9</f>
        <v>425.23387552836436</v>
      </c>
      <c r="H26" s="1454">
        <f t="shared" ref="H26:K26" ca="1" si="8">H13/H9</f>
        <v>440.34338656586897</v>
      </c>
      <c r="I26" s="1454">
        <f t="shared" ca="1" si="8"/>
        <v>451.90290787908526</v>
      </c>
      <c r="J26" s="1454">
        <f t="shared" ca="1" si="8"/>
        <v>461.48085536681879</v>
      </c>
      <c r="K26" s="1454">
        <f t="shared" ca="1" si="8"/>
        <v>470.72031094522725</v>
      </c>
      <c r="L26" s="1748" t="s">
        <v>1977</v>
      </c>
    </row>
    <row r="27" spans="2:12" s="1451" customFormat="1" ht="16.2" thickBot="1">
      <c r="B27" s="1452" t="s">
        <v>1486</v>
      </c>
      <c r="C27" s="1718"/>
      <c r="D27" s="1718"/>
      <c r="E27" s="1718"/>
      <c r="F27" s="1718"/>
      <c r="G27" s="1464">
        <f ca="1">(主要经济指标表!G36+主要经济指标表!G37)/G9</f>
        <v>170.54443564269559</v>
      </c>
      <c r="H27" s="1464">
        <f ca="1">(主要经济指标表!H36+主要经济指标表!H37)/H9</f>
        <v>74.823428078950968</v>
      </c>
      <c r="I27" s="1464">
        <f ca="1">(主要经济指标表!I36+主要经济指标表!I37)/I9</f>
        <v>73.968921628860969</v>
      </c>
      <c r="J27" s="1464">
        <f ca="1">(主要经济指标表!J36+主要经济指标表!J37)/J9</f>
        <v>54.509114562530421</v>
      </c>
      <c r="K27" s="1464">
        <f ca="1">(主要经济指标表!K36+主要经济指标表!K37)/K9</f>
        <v>42.543316187440027</v>
      </c>
      <c r="L27" s="1460" t="s">
        <v>1487</v>
      </c>
    </row>
    <row r="28" spans="2:12" s="1451" customFormat="1" ht="16.95" customHeight="1" thickBot="1">
      <c r="B28" s="1452" t="s">
        <v>1488</v>
      </c>
      <c r="C28" s="1718">
        <v>0</v>
      </c>
      <c r="D28" s="1718">
        <v>0</v>
      </c>
      <c r="E28" s="1718">
        <v>0</v>
      </c>
      <c r="F28" s="1718">
        <v>0</v>
      </c>
      <c r="G28" s="1464">
        <f ca="1">IFERROR(资产负债表!G6/资产负债表!G34,0)</f>
        <v>0</v>
      </c>
      <c r="H28" s="1464">
        <f ca="1">IFERROR(资产负债表!H6/资产负债表!H34,0)</f>
        <v>0</v>
      </c>
      <c r="I28" s="1464">
        <f ca="1">IFERROR(资产负债表!I6/资产负债表!I34,0)</f>
        <v>0</v>
      </c>
      <c r="J28" s="1464">
        <f ca="1">IFERROR(资产负债表!J6/资产负债表!J34,0)</f>
        <v>0</v>
      </c>
      <c r="K28" s="1464">
        <f ca="1">IFERROR(资产负债表!K6/资产负债表!K34,0)</f>
        <v>0</v>
      </c>
      <c r="L28" s="1462"/>
    </row>
    <row r="29" spans="2:12" ht="16.95" customHeight="1"/>
  </sheetData>
  <mergeCells count="3">
    <mergeCell ref="C2:F2"/>
    <mergeCell ref="L2:L3"/>
    <mergeCell ref="C1:L1"/>
  </mergeCells>
  <phoneticPr fontId="20"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9">
    <tabColor rgb="FFC00000"/>
  </sheetPr>
  <dimension ref="A1:L52"/>
  <sheetViews>
    <sheetView showGridLines="0" zoomScaleNormal="100" zoomScaleSheetLayoutView="70" workbookViewId="0">
      <pane xSplit="2" ySplit="3" topLeftCell="C20" activePane="bottomRight" state="frozen"/>
      <selection activeCell="H43" sqref="H43"/>
      <selection pane="topRight" activeCell="H43" sqref="H43"/>
      <selection pane="bottomLeft" activeCell="H43" sqref="H43"/>
      <selection pane="bottomRight" activeCell="G9" sqref="G9"/>
    </sheetView>
  </sheetViews>
  <sheetFormatPr defaultColWidth="9" defaultRowHeight="15"/>
  <cols>
    <col min="1" max="1" width="2.109375" style="1424" customWidth="1"/>
    <col min="2" max="2" width="31.44140625" style="1372" customWidth="1"/>
    <col min="3" max="6" width="13.44140625" style="1719" customWidth="1"/>
    <col min="7" max="11" width="13.44140625" style="1372" customWidth="1"/>
    <col min="12" max="12" width="31.6640625" style="1372" customWidth="1"/>
    <col min="13" max="16384" width="9" style="1372"/>
  </cols>
  <sheetData>
    <row r="1" spans="1:12" s="1373" customFormat="1" ht="15.6" thickBot="1">
      <c r="A1" s="1370"/>
      <c r="B1" s="1371" t="s">
        <v>1526</v>
      </c>
      <c r="C1" s="2533" t="str">
        <f>"当前模式："&amp;测算模式</f>
        <v>当前模式：1.实际收入+实际成本</v>
      </c>
      <c r="D1" s="2534"/>
      <c r="E1" s="2534"/>
      <c r="F1" s="2534"/>
      <c r="G1" s="2534"/>
      <c r="H1" s="1940"/>
      <c r="I1" s="1940"/>
      <c r="J1" s="1940"/>
      <c r="K1" s="1940"/>
      <c r="L1" s="1419"/>
    </row>
    <row r="2" spans="1:12" s="1373" customFormat="1" ht="16.2" thickBot="1">
      <c r="A2" s="1370"/>
      <c r="B2" s="1374"/>
      <c r="C2" s="2531" t="s">
        <v>30</v>
      </c>
      <c r="D2" s="2531"/>
      <c r="E2" s="2531"/>
      <c r="F2" s="2531"/>
      <c r="G2" s="1375" t="s">
        <v>31</v>
      </c>
      <c r="H2" s="1938"/>
      <c r="I2" s="1938"/>
      <c r="J2" s="1938"/>
      <c r="K2" s="1938"/>
      <c r="L2" s="2532" t="s">
        <v>257</v>
      </c>
    </row>
    <row r="3" spans="1:12" s="1423" customFormat="1" ht="16.2" thickBot="1">
      <c r="A3" s="1420"/>
      <c r="B3" s="1421" t="s">
        <v>332</v>
      </c>
      <c r="C3" s="1720">
        <f>G3-4</f>
        <v>2014</v>
      </c>
      <c r="D3" s="1720">
        <f>G3-3</f>
        <v>2015</v>
      </c>
      <c r="E3" s="1720">
        <f>G3-2</f>
        <v>2016</v>
      </c>
      <c r="F3" s="1720">
        <f>G3-1</f>
        <v>2017</v>
      </c>
      <c r="G3" s="1422">
        <f>测算年份</f>
        <v>2018</v>
      </c>
      <c r="H3" s="1941">
        <f>假设!H3</f>
        <v>2019</v>
      </c>
      <c r="I3" s="1941">
        <f>假设!I3</f>
        <v>2020</v>
      </c>
      <c r="J3" s="1941">
        <f>假设!J3</f>
        <v>2021</v>
      </c>
      <c r="K3" s="1941">
        <f>假设!K3</f>
        <v>2022</v>
      </c>
      <c r="L3" s="2532"/>
    </row>
    <row r="4" spans="1:12" ht="16.2" thickBot="1">
      <c r="B4" s="1425" t="s">
        <v>1499</v>
      </c>
      <c r="C4" s="1721"/>
      <c r="D4" s="1721"/>
      <c r="E4" s="1721"/>
      <c r="F4" s="1721"/>
      <c r="G4" s="1426"/>
      <c r="H4" s="1942"/>
      <c r="I4" s="1942"/>
      <c r="J4" s="1942"/>
      <c r="K4" s="1942"/>
      <c r="L4" s="1427"/>
    </row>
    <row r="5" spans="1:12" ht="15.6" thickBot="1">
      <c r="B5" s="1428" t="s">
        <v>1469</v>
      </c>
      <c r="C5" s="1710">
        <v>796.60442812539998</v>
      </c>
      <c r="D5" s="1710">
        <v>810.2762171503</v>
      </c>
      <c r="E5" s="1710">
        <v>852.73232172429994</v>
      </c>
      <c r="F5" s="1710">
        <v>882.71881000960002</v>
      </c>
      <c r="G5" s="1429">
        <f>损益表!G4</f>
        <v>890.25524394621448</v>
      </c>
      <c r="H5" s="1429">
        <f>损益表!H4</f>
        <v>915.74650518460101</v>
      </c>
      <c r="I5" s="1429">
        <f>损益表!I4</f>
        <v>937.6265044142159</v>
      </c>
      <c r="J5" s="1429">
        <f>损益表!J4</f>
        <v>957.36226371932889</v>
      </c>
      <c r="K5" s="1429">
        <f>损益表!K4</f>
        <v>977.53220972915415</v>
      </c>
      <c r="L5" s="1430"/>
    </row>
    <row r="6" spans="1:12" ht="15.6" thickBot="1">
      <c r="B6" s="1428" t="s">
        <v>1418</v>
      </c>
      <c r="C6" s="1710"/>
      <c r="D6" s="1710">
        <v>1.7162582258139086E-2</v>
      </c>
      <c r="E6" s="1710">
        <v>5.2397076053047546E-2</v>
      </c>
      <c r="F6" s="1710">
        <v>3.5165183166347862E-2</v>
      </c>
      <c r="G6" s="1429">
        <f>G5/F5-1</f>
        <v>8.5377516046503121E-3</v>
      </c>
      <c r="H6" s="1429">
        <f t="shared" ref="H6:K6" si="0">H5/G5-1</f>
        <v>2.8633654686932131E-2</v>
      </c>
      <c r="I6" s="1429">
        <f t="shared" si="0"/>
        <v>2.3893074235870726E-2</v>
      </c>
      <c r="J6" s="1429">
        <f t="shared" si="0"/>
        <v>2.1048636330350812E-2</v>
      </c>
      <c r="K6" s="1429">
        <f t="shared" si="0"/>
        <v>2.1068248430291758E-2</v>
      </c>
      <c r="L6" s="1430"/>
    </row>
    <row r="7" spans="1:12" ht="15.6" thickBot="1">
      <c r="B7" s="1428" t="s">
        <v>1491</v>
      </c>
      <c r="C7" s="1710">
        <v>21.541275893999909</v>
      </c>
      <c r="D7" s="1710">
        <v>21.801751834600168</v>
      </c>
      <c r="E7" s="1710">
        <v>27.916913993100025</v>
      </c>
      <c r="F7" s="1710">
        <v>25.576433132600073</v>
      </c>
      <c r="G7" s="1429">
        <f ca="1">损益表!G4-损益表!G5</f>
        <v>30.435392727735916</v>
      </c>
      <c r="H7" s="1429">
        <f ca="1">损益表!H4-损益表!H5</f>
        <v>30.601594139492931</v>
      </c>
      <c r="I7" s="1429">
        <f ca="1">损益表!I4-损益表!I5</f>
        <v>31.516825690474434</v>
      </c>
      <c r="J7" s="1429">
        <f ca="1">损益表!J4-损益表!J5</f>
        <v>32.346253453572558</v>
      </c>
      <c r="K7" s="1429">
        <f ca="1">损益表!K4-损益表!K5</f>
        <v>33.791526663244099</v>
      </c>
      <c r="L7" s="1430"/>
    </row>
    <row r="8" spans="1:12" ht="16.2" customHeight="1" thickBot="1">
      <c r="B8" s="1428" t="s">
        <v>1492</v>
      </c>
      <c r="C8" s="1710">
        <v>2.7041371016090963E-2</v>
      </c>
      <c r="D8" s="1710">
        <v>2.6906567628599311E-2</v>
      </c>
      <c r="E8" s="1710">
        <v>3.2738191436967656E-2</v>
      </c>
      <c r="F8" s="1710">
        <v>2.8974609856021891E-2</v>
      </c>
      <c r="G8" s="1429">
        <f ca="1">G7/G5</f>
        <v>3.4187265882114473E-2</v>
      </c>
      <c r="H8" s="1429">
        <f t="shared" ref="H8:K8" ca="1" si="1">H7/H5</f>
        <v>3.3417101748397175E-2</v>
      </c>
      <c r="I8" s="1429">
        <f t="shared" ca="1" si="1"/>
        <v>3.3613411675222041E-2</v>
      </c>
      <c r="J8" s="1429">
        <f t="shared" ca="1" si="1"/>
        <v>3.3786848175849503E-2</v>
      </c>
      <c r="K8" s="1429">
        <f t="shared" ca="1" si="1"/>
        <v>3.4568197678730969E-2</v>
      </c>
      <c r="L8" s="1431"/>
    </row>
    <row r="9" spans="1:12" ht="17.399999999999999" customHeight="1" thickBot="1">
      <c r="B9" s="1428" t="s">
        <v>1493</v>
      </c>
      <c r="C9" s="1710">
        <v>28.825223523600005</v>
      </c>
      <c r="D9" s="1710">
        <v>164.39050205410001</v>
      </c>
      <c r="E9" s="1710">
        <v>178.3757846764</v>
      </c>
      <c r="F9" s="1710">
        <v>185.5529110441</v>
      </c>
      <c r="G9" s="1429">
        <f ca="1">损益表!G15+损益表!G10-损益表!G13+固定资产!G33+固定资产!G24</f>
        <v>186.69466578772361</v>
      </c>
      <c r="H9" s="1429">
        <f ca="1">损益表!H15+损益表!H10-损益表!H13+固定资产!H33+固定资产!H24</f>
        <v>193.82737147991924</v>
      </c>
      <c r="I9" s="1429">
        <f ca="1">损益表!I15+损益表!I10-损益表!I13+固定资产!I33+固定资产!I24</f>
        <v>199.57424117344937</v>
      </c>
      <c r="J9" s="1429">
        <f ca="1">损益表!J15+损益表!J10-损益表!J13+固定资产!J33+固定资产!J24</f>
        <v>204.44120341228873</v>
      </c>
      <c r="K9" s="1429">
        <f ca="1">损益表!K15+损益表!K10-损益表!K13+固定资产!K33+固定资产!K24</f>
        <v>209.321030890298</v>
      </c>
      <c r="L9" s="1432" t="s">
        <v>1954</v>
      </c>
    </row>
    <row r="10" spans="1:12" ht="16.2" thickBot="1">
      <c r="B10" s="1428" t="s">
        <v>1494</v>
      </c>
      <c r="C10" s="1710">
        <v>3.6185115856602286E-2</v>
      </c>
      <c r="D10" s="1710">
        <v>0.20288205253296585</v>
      </c>
      <c r="E10" s="1710">
        <v>0.20918145135592894</v>
      </c>
      <c r="F10" s="1710">
        <v>0.21020613692607504</v>
      </c>
      <c r="G10" s="1429">
        <f ca="1">G9/G5</f>
        <v>0.20970914471693122</v>
      </c>
      <c r="H10" s="1429">
        <f t="shared" ref="H10:K10" ca="1" si="2">H9/H5</f>
        <v>0.21166050908471279</v>
      </c>
      <c r="I10" s="1429">
        <f t="shared" ca="1" si="2"/>
        <v>0.21285046895952861</v>
      </c>
      <c r="J10" s="1429">
        <f t="shared" ca="1" si="2"/>
        <v>0.21354633576013293</v>
      </c>
      <c r="K10" s="1429">
        <f t="shared" ca="1" si="2"/>
        <v>0.21413210614133604</v>
      </c>
      <c r="L10" s="1432" t="s">
        <v>1955</v>
      </c>
    </row>
    <row r="11" spans="1:12" ht="16.2" thickBot="1">
      <c r="B11" s="1428" t="s">
        <v>1495</v>
      </c>
      <c r="C11" s="1710">
        <v>28.825223523600005</v>
      </c>
      <c r="D11" s="1710">
        <v>25.059148846100001</v>
      </c>
      <c r="E11" s="1710">
        <v>31.029858624099997</v>
      </c>
      <c r="F11" s="1710">
        <v>28.887902753099997</v>
      </c>
      <c r="G11" s="1429">
        <f ca="1">损益表!G15+损益表!G10-损益表!G13</f>
        <v>31.49951768709542</v>
      </c>
      <c r="H11" s="1429">
        <f ca="1">损益表!H15+损益表!H10-损益表!H13</f>
        <v>33.453464217178471</v>
      </c>
      <c r="I11" s="1429">
        <f ca="1">损益表!I15+损益表!I10-损益表!I13</f>
        <v>36.233375447496158</v>
      </c>
      <c r="J11" s="1429">
        <f ca="1">损益表!J15+损益表!J10-损益表!J13</f>
        <v>38.95171344009848</v>
      </c>
      <c r="K11" s="1429">
        <f ca="1">损益表!K15+损益表!K10-损益表!K13</f>
        <v>42.322730755258931</v>
      </c>
      <c r="L11" s="1432" t="s">
        <v>1956</v>
      </c>
    </row>
    <row r="12" spans="1:12" ht="16.2" thickBot="1">
      <c r="B12" s="1428" t="s">
        <v>1496</v>
      </c>
      <c r="C12" s="1710">
        <v>3.6185115856602286E-2</v>
      </c>
      <c r="D12" s="1710">
        <v>3.0926674528633884E-2</v>
      </c>
      <c r="E12" s="1710">
        <v>3.638874454923309E-2</v>
      </c>
      <c r="F12" s="1710">
        <v>3.2726053218222265E-2</v>
      </c>
      <c r="G12" s="1429">
        <f ca="1">G11/G5</f>
        <v>3.5382569101719878E-2</v>
      </c>
      <c r="H12" s="1429">
        <f t="shared" ref="H12:K12" ca="1" si="3">H11/H5</f>
        <v>3.6531358872546008E-2</v>
      </c>
      <c r="I12" s="1429">
        <f t="shared" ca="1" si="3"/>
        <v>3.86437193028508E-2</v>
      </c>
      <c r="J12" s="1429">
        <f t="shared" ca="1" si="3"/>
        <v>4.0686493416579872E-2</v>
      </c>
      <c r="K12" s="1429">
        <f t="shared" ca="1" si="3"/>
        <v>4.3295484623453312E-2</v>
      </c>
      <c r="L12" s="1432" t="s">
        <v>1957</v>
      </c>
    </row>
    <row r="13" spans="1:12" ht="15.6" thickBot="1">
      <c r="B13" s="1428" t="s">
        <v>138</v>
      </c>
      <c r="C13" s="1710">
        <v>-0.63414611840000001</v>
      </c>
      <c r="D13" s="1710">
        <v>-0.81544300219999999</v>
      </c>
      <c r="E13" s="1710">
        <v>-0.64352519419999998</v>
      </c>
      <c r="F13" s="1710">
        <v>-0.6535169556</v>
      </c>
      <c r="G13" s="1429">
        <f ca="1">债务!G37</f>
        <v>1.9278952000000002E-2</v>
      </c>
      <c r="H13" s="1429">
        <f ca="1">债务!H37</f>
        <v>1.9278952000000002E-2</v>
      </c>
      <c r="I13" s="1429">
        <f ca="1">债务!I37</f>
        <v>1.9278952000000002E-2</v>
      </c>
      <c r="J13" s="1429">
        <f ca="1">债务!J37</f>
        <v>1.9278952000000002E-2</v>
      </c>
      <c r="K13" s="1429">
        <f ca="1">债务!K37</f>
        <v>1.9278952000000002E-2</v>
      </c>
      <c r="L13" s="1433"/>
    </row>
    <row r="14" spans="1:12" ht="15.6" thickBot="1">
      <c r="B14" s="1428" t="s">
        <v>420</v>
      </c>
      <c r="C14" s="1710">
        <v>33.208477225300001</v>
      </c>
      <c r="D14" s="1710">
        <v>29.409058234699998</v>
      </c>
      <c r="E14" s="1710">
        <v>34.702029121599999</v>
      </c>
      <c r="F14" s="1710">
        <v>30.636240490199999</v>
      </c>
      <c r="G14" s="1429">
        <f ca="1">损益表!G18</f>
        <v>31.379227543914592</v>
      </c>
      <c r="H14" s="1429">
        <f ca="1">损益表!H18</f>
        <v>33.589492451987503</v>
      </c>
      <c r="I14" s="1429">
        <f ca="1">损益表!I18</f>
        <v>36.550563830357667</v>
      </c>
      <c r="J14" s="1429">
        <f ca="1">损益表!J18</f>
        <v>39.427679361125371</v>
      </c>
      <c r="K14" s="1429">
        <f ca="1">损益表!K18</f>
        <v>42.922562774736512</v>
      </c>
      <c r="L14" s="1433"/>
    </row>
    <row r="15" spans="1:12" ht="15.6" thickBot="1">
      <c r="B15" s="1428" t="s">
        <v>1497</v>
      </c>
      <c r="C15" s="1710">
        <v>25.008490129600002</v>
      </c>
      <c r="D15" s="1710">
        <v>22.254057325799998</v>
      </c>
      <c r="E15" s="1710">
        <v>26.721835465100003</v>
      </c>
      <c r="F15" s="1710">
        <v>23.0437169737</v>
      </c>
      <c r="G15" s="1429">
        <f ca="1">损益表!G20</f>
        <v>23.534420657935943</v>
      </c>
      <c r="H15" s="1429">
        <f ca="1">损益表!H20</f>
        <v>25.192119338990629</v>
      </c>
      <c r="I15" s="1429">
        <f ca="1">损益表!I20</f>
        <v>27.412922872768249</v>
      </c>
      <c r="J15" s="1429">
        <f ca="1">损益表!J20</f>
        <v>29.570759520844028</v>
      </c>
      <c r="K15" s="1429">
        <f ca="1">损益表!K20</f>
        <v>32.191922081052383</v>
      </c>
      <c r="L15" s="1433"/>
    </row>
    <row r="16" spans="1:12" ht="16.2" thickBot="1">
      <c r="B16" s="1428" t="s">
        <v>1498</v>
      </c>
      <c r="C16" s="1710">
        <v>3.1344632677926039E-2</v>
      </c>
      <c r="D16" s="1710">
        <v>2.7494343968221889E-2</v>
      </c>
      <c r="E16" s="1710">
        <v>3.1353624347482158E-2</v>
      </c>
      <c r="F16" s="1710">
        <v>2.6117755510216521E-2</v>
      </c>
      <c r="G16" s="1429">
        <f ca="1">G15/G5</f>
        <v>2.6435587791222036E-2</v>
      </c>
      <c r="H16" s="1429">
        <f t="shared" ref="H16:K16" ca="1" si="4">H15/H5</f>
        <v>2.7509926815295099E-2</v>
      </c>
      <c r="I16" s="1429">
        <f t="shared" ca="1" si="4"/>
        <v>2.9236505947423629E-2</v>
      </c>
      <c r="J16" s="1429">
        <f t="shared" ca="1" si="4"/>
        <v>3.0887742959454401E-2</v>
      </c>
      <c r="K16" s="1429">
        <f t="shared" ca="1" si="4"/>
        <v>3.2931827473973295E-2</v>
      </c>
      <c r="L16" s="1432" t="s">
        <v>1958</v>
      </c>
    </row>
    <row r="17" spans="2:12" ht="15.6" thickBot="1">
      <c r="B17" s="1428" t="s">
        <v>68</v>
      </c>
      <c r="C17" s="1710">
        <v>-3.9216940399999997E-2</v>
      </c>
      <c r="D17" s="1710">
        <v>2.3955697799999998E-2</v>
      </c>
      <c r="E17" s="1710">
        <v>1.4413419199999999E-2</v>
      </c>
      <c r="F17" s="1710">
        <v>1.0917090400000001E-2</v>
      </c>
      <c r="G17" s="1429">
        <f ca="1">损益表!G22</f>
        <v>1.1915804524883371E-2</v>
      </c>
      <c r="H17" s="1429">
        <f ca="1">损益表!H22</f>
        <v>1.2755120424420667E-2</v>
      </c>
      <c r="I17" s="1429">
        <f ca="1">损益表!I22</f>
        <v>1.3879544143248901E-2</v>
      </c>
      <c r="J17" s="1429">
        <f ca="1">损益表!J22</f>
        <v>1.4972086852025128E-2</v>
      </c>
      <c r="K17" s="1429">
        <f ca="1">损益表!K22</f>
        <v>1.6299217914622736E-2</v>
      </c>
      <c r="L17" s="1433"/>
    </row>
    <row r="18" spans="2:12" ht="16.2" thickBot="1">
      <c r="B18" s="1425" t="s">
        <v>1500</v>
      </c>
      <c r="C18" s="1722"/>
      <c r="D18" s="1722"/>
      <c r="E18" s="1722"/>
      <c r="F18" s="1722"/>
      <c r="G18" s="1429"/>
      <c r="H18" s="1429"/>
      <c r="I18" s="1429"/>
      <c r="J18" s="1429"/>
      <c r="K18" s="1429"/>
      <c r="L18" s="1433"/>
    </row>
    <row r="19" spans="2:12" ht="15.6" thickBot="1">
      <c r="B19" s="1428" t="s">
        <v>1501</v>
      </c>
      <c r="C19" s="1710">
        <v>89.522596727199996</v>
      </c>
      <c r="D19" s="1710">
        <v>107.65935087850001</v>
      </c>
      <c r="E19" s="1710">
        <v>126.23381364069999</v>
      </c>
      <c r="F19" s="1710">
        <v>162.28785960479999</v>
      </c>
      <c r="G19" s="1429">
        <f ca="1">资产负债表!G6+债务!G6</f>
        <v>219.77373745139934</v>
      </c>
      <c r="H19" s="1429">
        <f ca="1">资产负债表!H6+债务!H6</f>
        <v>247.18981227438232</v>
      </c>
      <c r="I19" s="1429">
        <f ca="1">资产负债表!I6+债务!I6</f>
        <v>273.9018657169272</v>
      </c>
      <c r="J19" s="1429">
        <f ca="1">资产负债表!J6+债务!J6</f>
        <v>291.62572047270271</v>
      </c>
      <c r="K19" s="1429">
        <f ca="1">资产负债表!K6+债务!K6</f>
        <v>303.60422352136425</v>
      </c>
      <c r="L19" s="1434" t="s">
        <v>1523</v>
      </c>
    </row>
    <row r="20" spans="2:12" ht="15.6" thickBot="1">
      <c r="B20" s="1428" t="s">
        <v>22</v>
      </c>
      <c r="C20" s="1710">
        <v>2410.1879499509</v>
      </c>
      <c r="D20" s="1710">
        <v>2607.7860514785002</v>
      </c>
      <c r="E20" s="1710">
        <v>2895.7713315095002</v>
      </c>
      <c r="F20" s="1710">
        <v>2985.2999820478999</v>
      </c>
      <c r="G20" s="1429">
        <f ca="1">资产负债表!G19</f>
        <v>3186.0830323173905</v>
      </c>
      <c r="H20" s="1429">
        <f ca="1">资产负债表!H19</f>
        <v>3335.1700718795864</v>
      </c>
      <c r="I20" s="1429">
        <f ca="1">资产负债表!I19</f>
        <v>3480.6857898340531</v>
      </c>
      <c r="J20" s="1429">
        <f ca="1">资产负债表!J19</f>
        <v>3632.6600365589102</v>
      </c>
      <c r="K20" s="1429">
        <f ca="1">资产负债表!K19</f>
        <v>3793.5279952428505</v>
      </c>
      <c r="L20" s="1433"/>
    </row>
    <row r="21" spans="2:12" ht="15.6" thickBot="1">
      <c r="B21" s="1428" t="s">
        <v>24</v>
      </c>
      <c r="C21" s="1710">
        <v>1197.4708449280001</v>
      </c>
      <c r="D21" s="1710">
        <v>1269.8399598317999</v>
      </c>
      <c r="E21" s="1710">
        <v>1430.8622860103001</v>
      </c>
      <c r="F21" s="1710">
        <v>1377.7877720109</v>
      </c>
      <c r="G21" s="1429">
        <f ca="1">资产负债表!G21</f>
        <v>1437.8965748762798</v>
      </c>
      <c r="H21" s="1429">
        <f ca="1">资产负债表!H21</f>
        <v>1442.1374071394525</v>
      </c>
      <c r="I21" s="1429">
        <f ca="1">资产负债表!I21</f>
        <v>1440.6012025480243</v>
      </c>
      <c r="J21" s="1429">
        <f ca="1">资产负债表!J21</f>
        <v>1444.1191819194528</v>
      </c>
      <c r="K21" s="1429">
        <f ca="1">资产负债表!K21</f>
        <v>1455.7970205374786</v>
      </c>
      <c r="L21" s="1433"/>
    </row>
    <row r="22" spans="2:12" ht="15.6" thickBot="1">
      <c r="B22" s="1428" t="s">
        <v>12</v>
      </c>
      <c r="C22" s="1710">
        <v>192.4820082693</v>
      </c>
      <c r="D22" s="1710">
        <v>291.88806595569997</v>
      </c>
      <c r="E22" s="1710">
        <v>219.95465513869999</v>
      </c>
      <c r="F22" s="1710">
        <v>232.11039270720002</v>
      </c>
      <c r="G22" s="1429">
        <f ca="1">资产负债表!G25</f>
        <v>166.49387785731943</v>
      </c>
      <c r="H22" s="1429">
        <f ca="1">资产负债表!H25</f>
        <v>160.57504058317608</v>
      </c>
      <c r="I22" s="1429">
        <f ca="1">资产负债表!I25</f>
        <v>167.02800676593012</v>
      </c>
      <c r="J22" s="1429">
        <f ca="1">资产负债表!J25</f>
        <v>176.41353765831872</v>
      </c>
      <c r="K22" s="1429">
        <f ca="1">资产负债表!K25</f>
        <v>186.87127775198428</v>
      </c>
      <c r="L22" s="1433"/>
    </row>
    <row r="23" spans="2:12" ht="16.2" thickBot="1">
      <c r="B23" s="1435" t="s">
        <v>1502</v>
      </c>
      <c r="C23" s="1710">
        <v>1600.2992327976001</v>
      </c>
      <c r="D23" s="1710">
        <v>1806.3082811622</v>
      </c>
      <c r="E23" s="1710">
        <v>1911.4739767265</v>
      </c>
      <c r="F23" s="1710">
        <v>1880.0724029154999</v>
      </c>
      <c r="G23" s="1429">
        <f ca="1">资产负债表!G31</f>
        <v>1928.3288084030385</v>
      </c>
      <c r="H23" s="1429">
        <f ca="1">资产负债表!H31</f>
        <v>1958.8740424268626</v>
      </c>
      <c r="I23" s="1429">
        <f ca="1">资产负债表!I31</f>
        <v>1991.0520744750725</v>
      </c>
      <c r="J23" s="1429">
        <f ca="1">资产负债表!J31</f>
        <v>2024.3358053774837</v>
      </c>
      <c r="K23" s="1429">
        <f ca="1">资产负债表!K31</f>
        <v>2060.0603815050026</v>
      </c>
      <c r="L23" s="1433"/>
    </row>
    <row r="24" spans="2:12" ht="15.6" thickBot="1">
      <c r="B24" s="1428" t="s">
        <v>15</v>
      </c>
      <c r="C24" s="1710">
        <v>77.712229931400003</v>
      </c>
      <c r="D24" s="1710">
        <v>105.63760728129999</v>
      </c>
      <c r="E24" s="1710">
        <v>74.178976668600001</v>
      </c>
      <c r="F24" s="1710">
        <v>80.1626164356</v>
      </c>
      <c r="G24" s="1429">
        <f ca="1">资产负债表!G35</f>
        <v>82.542705716973941</v>
      </c>
      <c r="H24" s="1429">
        <f ca="1">资产负债表!H35</f>
        <v>84.97391146033037</v>
      </c>
      <c r="I24" s="1429">
        <f ca="1">资产负债表!I35</f>
        <v>86.986529157479183</v>
      </c>
      <c r="J24" s="1429">
        <f ca="1">资产负债表!J35</f>
        <v>88.801536985512612</v>
      </c>
      <c r="K24" s="1429">
        <f ca="1">资产负债表!K35</f>
        <v>90.599105574327368</v>
      </c>
      <c r="L24" s="1433"/>
    </row>
    <row r="25" spans="2:12" ht="15.6" thickBot="1">
      <c r="B25" s="1428" t="s">
        <v>28</v>
      </c>
      <c r="C25" s="1710">
        <v>266.76762009070001</v>
      </c>
      <c r="D25" s="1710">
        <v>316.42235483280001</v>
      </c>
      <c r="E25" s="1710">
        <v>343.82479675349998</v>
      </c>
      <c r="F25" s="1710">
        <v>335.59874685</v>
      </c>
      <c r="G25" s="1429">
        <f>资产负债表!G40</f>
        <v>371.36110000000002</v>
      </c>
      <c r="H25" s="1429">
        <f>资产负债表!H40</f>
        <v>371.36110000000002</v>
      </c>
      <c r="I25" s="1429">
        <f>资产负债表!I40</f>
        <v>371.36110000000002</v>
      </c>
      <c r="J25" s="1429">
        <f>资产负债表!J40</f>
        <v>371.36110000000002</v>
      </c>
      <c r="K25" s="1429">
        <f>资产负债表!K40</f>
        <v>371.36110000000002</v>
      </c>
      <c r="L25" s="1433"/>
    </row>
    <row r="26" spans="2:12" ht="30.6" thickBot="1">
      <c r="B26" s="1428" t="s">
        <v>1503</v>
      </c>
      <c r="C26" s="1710">
        <v>0</v>
      </c>
      <c r="D26" s="1710">
        <v>0</v>
      </c>
      <c r="E26" s="1710">
        <v>0</v>
      </c>
      <c r="F26" s="1710">
        <v>0</v>
      </c>
      <c r="G26" s="1429">
        <f ca="1">资产负债表!G34+资产负债表!G41</f>
        <v>0</v>
      </c>
      <c r="H26" s="1429">
        <f ca="1">资产负债表!H34+资产负债表!H41</f>
        <v>0</v>
      </c>
      <c r="I26" s="1429">
        <f ca="1">资产负债表!I34+资产负债表!I41</f>
        <v>0</v>
      </c>
      <c r="J26" s="1429">
        <f ca="1">资产负债表!J34+资产负债表!J41</f>
        <v>0</v>
      </c>
      <c r="K26" s="1429">
        <f ca="1">资产负债表!K34+资产负债表!K41</f>
        <v>0</v>
      </c>
      <c r="L26" s="1433"/>
    </row>
    <row r="27" spans="2:12" ht="15.6" thickBot="1">
      <c r="B27" s="1428" t="s">
        <v>18</v>
      </c>
      <c r="C27" s="1710">
        <v>0</v>
      </c>
      <c r="D27" s="1710">
        <v>1.43</v>
      </c>
      <c r="E27" s="1710">
        <v>2.2810999999999999</v>
      </c>
      <c r="F27" s="1710">
        <v>0.4471</v>
      </c>
      <c r="G27" s="1429">
        <f ca="1">资产负债表!G45</f>
        <v>0.4471</v>
      </c>
      <c r="H27" s="1429">
        <f ca="1">资产负债表!H45</f>
        <v>0.4471</v>
      </c>
      <c r="I27" s="1429">
        <f ca="1">资产负债表!I45</f>
        <v>0.4471</v>
      </c>
      <c r="J27" s="1429">
        <f ca="1">资产负债表!J45</f>
        <v>0.4471</v>
      </c>
      <c r="K27" s="1429">
        <f ca="1">资产负债表!K45</f>
        <v>0.4471</v>
      </c>
      <c r="L27" s="1433"/>
    </row>
    <row r="28" spans="2:12" ht="15.6" thickBot="1">
      <c r="B28" s="1428" t="s">
        <v>1504</v>
      </c>
      <c r="C28" s="1710">
        <v>0</v>
      </c>
      <c r="D28" s="1710">
        <v>0</v>
      </c>
      <c r="E28" s="1710">
        <v>0</v>
      </c>
      <c r="F28" s="1710">
        <v>0</v>
      </c>
      <c r="G28" s="1429">
        <f ca="1">资产负债表!G46</f>
        <v>-1.2129032099999999E-2</v>
      </c>
      <c r="H28" s="1429">
        <f ca="1">资产负债表!H46</f>
        <v>-1.2129032099999999E-2</v>
      </c>
      <c r="I28" s="1429">
        <f ca="1">资产负债表!I46</f>
        <v>-1.2129032099999999E-2</v>
      </c>
      <c r="J28" s="1429">
        <f ca="1">资产负债表!J46</f>
        <v>-1.2129032099999999E-2</v>
      </c>
      <c r="K28" s="1429">
        <f ca="1">资产负债表!K46</f>
        <v>-1.2129032099999999E-2</v>
      </c>
      <c r="L28" s="1433"/>
    </row>
    <row r="29" spans="2:12" ht="16.2" thickBot="1">
      <c r="B29" s="1435" t="s">
        <v>1505</v>
      </c>
      <c r="C29" s="1710">
        <v>407.31212990929998</v>
      </c>
      <c r="D29" s="1710">
        <v>504.93336575149999</v>
      </c>
      <c r="E29" s="1710">
        <v>521.67813567660005</v>
      </c>
      <c r="F29" s="1710">
        <v>554.31524122350004</v>
      </c>
      <c r="G29" s="1429">
        <f ca="1">资产负债表!G54</f>
        <v>585.70320189212168</v>
      </c>
      <c r="H29" s="1429">
        <f ca="1">资产负债表!H54</f>
        <v>597.85240835807576</v>
      </c>
      <c r="I29" s="1429">
        <f ca="1">资产负债表!I54</f>
        <v>609.90118018768817</v>
      </c>
      <c r="J29" s="1429">
        <f ca="1">资产负债表!J54</f>
        <v>621.55456330923585</v>
      </c>
      <c r="K29" s="1429">
        <f ca="1">资产负债表!K54</f>
        <v>633.66490900804251</v>
      </c>
      <c r="L29" s="1433"/>
    </row>
    <row r="30" spans="2:12" ht="16.2" thickBot="1">
      <c r="B30" s="1435" t="s">
        <v>1506</v>
      </c>
      <c r="C30" s="1710">
        <v>1192.7346885497</v>
      </c>
      <c r="D30" s="1710">
        <v>1301.0539036373</v>
      </c>
      <c r="E30" s="1710">
        <v>1389.4604158573002</v>
      </c>
      <c r="F30" s="1710">
        <v>1325.4108194089999</v>
      </c>
      <c r="G30" s="1429">
        <f ca="1">资产负债表!G65</f>
        <v>1342.6284026274172</v>
      </c>
      <c r="H30" s="1429">
        <f ca="1">资产负债表!H65</f>
        <v>1361.0244301852867</v>
      </c>
      <c r="I30" s="1429">
        <f ca="1">资产负债表!I65</f>
        <v>1381.1536904038849</v>
      </c>
      <c r="J30" s="1429">
        <f ca="1">资产负债表!J65</f>
        <v>1402.7840381847482</v>
      </c>
      <c r="K30" s="1429">
        <f ca="1">资产负债表!K65</f>
        <v>1426.3982686134611</v>
      </c>
      <c r="L30" s="1433"/>
    </row>
    <row r="31" spans="2:12" ht="15.6" thickBot="1">
      <c r="B31" s="1428" t="s">
        <v>21</v>
      </c>
      <c r="C31" s="1710">
        <v>0.25241433860000001</v>
      </c>
      <c r="D31" s="1710">
        <v>0.32101177339999998</v>
      </c>
      <c r="E31" s="1710">
        <v>0.33542519260000003</v>
      </c>
      <c r="F31" s="1710">
        <v>0.34634228299999997</v>
      </c>
      <c r="G31" s="1429">
        <f ca="1">资产负债表!G64</f>
        <v>0.35825808752488336</v>
      </c>
      <c r="H31" s="1429">
        <f ca="1">资产负债表!H64</f>
        <v>0.37101320794930404</v>
      </c>
      <c r="I31" s="1429">
        <f ca="1">资产负债表!I64</f>
        <v>0.38489275209255291</v>
      </c>
      <c r="J31" s="1429">
        <f ca="1">资产负债表!J64</f>
        <v>0.39986483894457803</v>
      </c>
      <c r="K31" s="1429">
        <f ca="1">资产负债表!K64</f>
        <v>0.41616405685920077</v>
      </c>
      <c r="L31" s="1433"/>
    </row>
    <row r="32" spans="2:12" ht="16.2" thickBot="1">
      <c r="B32" s="1436" t="s">
        <v>1507</v>
      </c>
      <c r="C32" s="1722"/>
      <c r="D32" s="1722"/>
      <c r="E32" s="1722"/>
      <c r="F32" s="1722"/>
      <c r="G32" s="1429"/>
      <c r="H32" s="1429"/>
      <c r="I32" s="1429"/>
      <c r="J32" s="1429"/>
      <c r="K32" s="1429"/>
      <c r="L32" s="1433"/>
    </row>
    <row r="33" spans="2:12" ht="15.6" thickBot="1">
      <c r="B33" s="1428" t="s">
        <v>176</v>
      </c>
      <c r="C33" s="1710">
        <v>24.969273189199999</v>
      </c>
      <c r="D33" s="1710">
        <v>22.2780130236</v>
      </c>
      <c r="E33" s="1710">
        <v>26.736248884299997</v>
      </c>
      <c r="F33" s="1710">
        <v>23.0546340641</v>
      </c>
      <c r="G33" s="1429">
        <f ca="1">现金流量表!G5</f>
        <v>23.534420657935943</v>
      </c>
      <c r="H33" s="1429">
        <f ca="1">现金流量表!H5</f>
        <v>25.192119338990629</v>
      </c>
      <c r="I33" s="1429">
        <f ca="1">现金流量表!I5</f>
        <v>27.412922872768249</v>
      </c>
      <c r="J33" s="1429">
        <f ca="1">现金流量表!J5</f>
        <v>29.570759520844028</v>
      </c>
      <c r="K33" s="1429">
        <f ca="1">现金流量表!K5</f>
        <v>32.191922081052383</v>
      </c>
      <c r="L33" s="1433"/>
    </row>
    <row r="34" spans="2:12" ht="15.6" thickBot="1">
      <c r="B34" s="1428" t="s">
        <v>1508</v>
      </c>
      <c r="C34" s="1710">
        <v>0</v>
      </c>
      <c r="D34" s="1710">
        <v>167.53135320799998</v>
      </c>
      <c r="E34" s="1710">
        <v>179.04592605229999</v>
      </c>
      <c r="F34" s="1710">
        <v>228.48500829099999</v>
      </c>
      <c r="G34" s="1429">
        <f ca="1">现金流量表!G7+现金流量表!G8</f>
        <v>155.19514810062819</v>
      </c>
      <c r="H34" s="1429">
        <f ca="1">现金流量表!H7+现金流量表!H8</f>
        <v>160.37390726274077</v>
      </c>
      <c r="I34" s="1429">
        <f ca="1">现金流量表!I7+现金流量表!I8</f>
        <v>163.34086572595322</v>
      </c>
      <c r="J34" s="1429">
        <f ca="1">现金流量表!J7+现金流量表!J8</f>
        <v>165.48948997219026</v>
      </c>
      <c r="K34" s="1429">
        <f ca="1">现金流量表!K7+现金流量表!K8</f>
        <v>166.99830013503907</v>
      </c>
      <c r="L34" s="1433"/>
    </row>
    <row r="35" spans="2:12" ht="15.6" thickBot="1">
      <c r="B35" s="1428" t="s">
        <v>185</v>
      </c>
      <c r="C35" s="1710"/>
      <c r="D35" s="1799">
        <f>(主要评级指标表!D8-主要评级指标表!C8)/主要评级指标表!C8</f>
        <v>0.21944656431422183</v>
      </c>
      <c r="E35" s="1799">
        <f>(主要评级指标表!E8-主要评级指标表!D8)/主要评级指标表!D8</f>
        <v>-5.9177618188717841E-2</v>
      </c>
      <c r="F35" s="1799">
        <f>(主要评级指标表!F8-主要评级指标表!E8)/主要评级指标表!E8</f>
        <v>-4.5923527803199575E-2</v>
      </c>
      <c r="G35" s="1429">
        <f ca="1">现金流量表!G10</f>
        <v>40.106719825171069</v>
      </c>
      <c r="H35" s="1429">
        <f ca="1">现金流量表!H10</f>
        <v>0.90424399611771378</v>
      </c>
      <c r="I35" s="1429">
        <f ca="1">现金流量表!I10</f>
        <v>5.0504193713533141</v>
      </c>
      <c r="J35" s="1429">
        <f ca="1">现金流量表!J10</f>
        <v>2.5385112371265564</v>
      </c>
      <c r="K35" s="1429">
        <f ca="1">现金流量表!K10</f>
        <v>4.0406337943928179</v>
      </c>
      <c r="L35" s="1433"/>
    </row>
    <row r="36" spans="2:12" ht="16.2" thickBot="1">
      <c r="B36" s="1435" t="s">
        <v>187</v>
      </c>
      <c r="C36" s="1710">
        <f>历史现金流量表!F29</f>
        <v>156.13381418259999</v>
      </c>
      <c r="D36" s="1710">
        <f>历史现金流量表!G29</f>
        <v>168.1746454494</v>
      </c>
      <c r="E36" s="1710">
        <f>历史现金流量表!H29</f>
        <v>172.37933131939999</v>
      </c>
      <c r="F36" s="1710">
        <f>历史现金流量表!I29</f>
        <v>197.62884128959999</v>
      </c>
      <c r="G36" s="1429">
        <f ca="1">现金流量表!G20</f>
        <v>225.07111024761184</v>
      </c>
      <c r="H36" s="1429">
        <f ca="1">现金流量表!H20</f>
        <v>192.4408330590376</v>
      </c>
      <c r="I36" s="1429">
        <f ca="1">现金流量表!I20</f>
        <v>201.61506460834357</v>
      </c>
      <c r="J36" s="1429">
        <f ca="1">现金流量表!J20</f>
        <v>203.26928556335164</v>
      </c>
      <c r="K36" s="1429">
        <f ca="1">现金流量表!K20</f>
        <v>208.79030305642729</v>
      </c>
      <c r="L36" s="1433"/>
    </row>
    <row r="37" spans="2:12" ht="30.6" thickBot="1">
      <c r="B37" s="1428" t="s">
        <v>1509</v>
      </c>
      <c r="C37" s="1710">
        <f>历史现金流量表!F38</f>
        <v>244.83270820689998</v>
      </c>
      <c r="D37" s="1710">
        <f>历史现金流量表!G38</f>
        <v>253.84916571299999</v>
      </c>
      <c r="E37" s="1710">
        <f>历史现金流量表!H38</f>
        <v>240.55432031310002</v>
      </c>
      <c r="F37" s="1710">
        <f>历史现金流量表!I38</f>
        <v>202.78875645630001</v>
      </c>
      <c r="G37" s="1429">
        <f>现金流量表!G23+现金流量表!G26+现金流量表!G27</f>
        <v>-150.88923200614929</v>
      </c>
      <c r="H37" s="1429">
        <f>现金流量表!H23+现金流量表!H26+现金流量表!H27</f>
        <v>-159.89481412594026</v>
      </c>
      <c r="I37" s="1429">
        <f>现金流量表!I23+现金流量表!I26+现金流量表!I27</f>
        <v>-169.44073117291867</v>
      </c>
      <c r="J37" s="1429">
        <f>现金流量表!J23+现金流量表!J26+现金流量表!J27</f>
        <v>-179.5594032427158</v>
      </c>
      <c r="K37" s="1429">
        <f>现金流量表!K23+现金流量表!K26+现金流量表!K27</f>
        <v>-190.28519563670076</v>
      </c>
      <c r="L37" s="1434" t="s">
        <v>235</v>
      </c>
    </row>
    <row r="38" spans="2:12" ht="16.2" thickBot="1">
      <c r="B38" s="1435" t="s">
        <v>1510</v>
      </c>
      <c r="C38" s="1710">
        <f>历史现金流量表!F46</f>
        <v>-275.50830501439998</v>
      </c>
      <c r="D38" s="1710">
        <f>历史现金流量表!G46</f>
        <v>-136.1767614467</v>
      </c>
      <c r="E38" s="1710">
        <f>历史现金流量表!H46</f>
        <v>-134.92282277909999</v>
      </c>
      <c r="F38" s="1710">
        <f>历史现金流量表!I46</f>
        <v>-94.801470075799998</v>
      </c>
      <c r="G38" s="1429">
        <f>现金流量表!G28</f>
        <v>-150.14290701063732</v>
      </c>
      <c r="H38" s="1429">
        <f ca="1">现金流量表!H28</f>
        <v>-159.09829336786092</v>
      </c>
      <c r="I38" s="1429">
        <f ca="1">现金流量表!I28</f>
        <v>-168.60693865494878</v>
      </c>
      <c r="J38" s="1429">
        <f ca="1">现金流量表!J28</f>
        <v>-178.68923179525729</v>
      </c>
      <c r="K38" s="1429">
        <f ca="1">现金流量表!K28</f>
        <v>-189.37703062756103</v>
      </c>
      <c r="L38" s="1433"/>
    </row>
    <row r="39" spans="2:12" ht="16.2" thickBot="1">
      <c r="B39" s="1435" t="s">
        <v>1511</v>
      </c>
      <c r="C39" s="1710">
        <f>历史现金流量表!F60</f>
        <v>101.40430915270001</v>
      </c>
      <c r="D39" s="1710">
        <f>历史现金流量表!G60</f>
        <v>-13.8647330775</v>
      </c>
      <c r="E39" s="1710">
        <f>历史现金流量表!H60</f>
        <v>-20.224556105999998</v>
      </c>
      <c r="F39" s="1710">
        <f>历史现金流量表!I60</f>
        <v>-66.755755408900001</v>
      </c>
      <c r="G39" s="1429">
        <f ca="1">现金流量表!G39</f>
        <v>-17.44232539037516</v>
      </c>
      <c r="H39" s="1429">
        <f ca="1">现金流量表!H39</f>
        <v>-5.9264648681936922</v>
      </c>
      <c r="I39" s="1429">
        <f ca="1">现金流量表!I39</f>
        <v>-6.296072510849883</v>
      </c>
      <c r="J39" s="1429">
        <f ca="1">现金流量表!J39</f>
        <v>-6.8561990123188865</v>
      </c>
      <c r="K39" s="1429">
        <f ca="1">现金流量表!K39</f>
        <v>-7.4347693802047647</v>
      </c>
      <c r="L39" s="1433"/>
    </row>
    <row r="40" spans="2:12" ht="16.2" thickBot="1">
      <c r="B40" s="1435" t="s">
        <v>1512</v>
      </c>
      <c r="C40" s="1710">
        <f>历史现金流量表!F64</f>
        <v>89.522596727199996</v>
      </c>
      <c r="D40" s="1710">
        <f>历史现金流量表!G64</f>
        <v>107.65935087850001</v>
      </c>
      <c r="E40" s="1710">
        <f>历史现金流量表!H64</f>
        <v>126.23381364069999</v>
      </c>
      <c r="F40" s="1710">
        <f>历史现金流量表!I64</f>
        <v>162.28785960479999</v>
      </c>
      <c r="G40" s="1429">
        <f ca="1">现金流量表!G45</f>
        <v>57.485877846599351</v>
      </c>
      <c r="H40" s="1429">
        <f ca="1">现金流量表!H45</f>
        <v>27.416074822982978</v>
      </c>
      <c r="I40" s="1429">
        <f ca="1">现金流量表!I45</f>
        <v>26.712053442544914</v>
      </c>
      <c r="J40" s="1429">
        <f ca="1">现金流量表!J45</f>
        <v>17.723854755775477</v>
      </c>
      <c r="K40" s="1429">
        <f ca="1">现金流量表!K45</f>
        <v>11.978503048661509</v>
      </c>
      <c r="L40" s="1433" t="s">
        <v>1974</v>
      </c>
    </row>
    <row r="41" spans="2:12" ht="16.2" thickBot="1">
      <c r="B41" s="1437"/>
      <c r="C41" s="1722"/>
      <c r="D41" s="1722"/>
      <c r="E41" s="1722"/>
      <c r="F41" s="1722"/>
      <c r="G41" s="1429"/>
      <c r="H41" s="1429"/>
      <c r="I41" s="1429"/>
      <c r="J41" s="1429"/>
      <c r="K41" s="1429"/>
      <c r="L41" s="1433"/>
    </row>
    <row r="42" spans="2:12" ht="16.2" thickBot="1">
      <c r="B42" s="1438" t="s">
        <v>1513</v>
      </c>
      <c r="C42" s="1722"/>
      <c r="D42" s="1722"/>
      <c r="E42" s="1722"/>
      <c r="F42" s="1722"/>
      <c r="G42" s="1429"/>
      <c r="H42" s="1429"/>
      <c r="I42" s="1429"/>
      <c r="J42" s="1429"/>
      <c r="K42" s="1429"/>
      <c r="L42" s="1433"/>
    </row>
    <row r="43" spans="2:12" ht="15.6" thickBot="1">
      <c r="B43" s="1428" t="s">
        <v>1514</v>
      </c>
      <c r="C43" s="1723">
        <f>假设!C6*100</f>
        <v>92541.143520999976</v>
      </c>
      <c r="D43" s="1723">
        <f>假设!D6*100</f>
        <v>115588.41338400003</v>
      </c>
      <c r="E43" s="1723">
        <f>假设!E6*100</f>
        <v>123845.73284299999</v>
      </c>
      <c r="F43" s="1723">
        <f>假设!F6*100</f>
        <v>127651.654693</v>
      </c>
      <c r="G43" s="1439">
        <f>假设!G6*100</f>
        <v>130268.80030127613</v>
      </c>
      <c r="H43" s="1439">
        <f>假设!H6*100</f>
        <v>134176.86431031444</v>
      </c>
      <c r="I43" s="1439">
        <f>假设!I6*100</f>
        <v>137531.28591807227</v>
      </c>
      <c r="J43" s="1439">
        <f>假设!J6*100</f>
        <v>140556.97420826988</v>
      </c>
      <c r="K43" s="1439">
        <f>假设!K6*100</f>
        <v>143649.22764085184</v>
      </c>
      <c r="L43" s="1433"/>
    </row>
    <row r="44" spans="2:12" ht="15.6" thickBot="1">
      <c r="B44" s="1428" t="s">
        <v>1515</v>
      </c>
      <c r="C44" s="1710"/>
      <c r="D44" s="1746">
        <f>(D43-C43)/C43</f>
        <v>0.24904889853419665</v>
      </c>
      <c r="E44" s="1746">
        <f t="shared" ref="E44:F44" si="5">(E43-D43)/D43</f>
        <v>7.1437259300100017E-2</v>
      </c>
      <c r="F44" s="1746">
        <f t="shared" si="5"/>
        <v>3.0731150461395421E-2</v>
      </c>
      <c r="G44" s="1429">
        <f>假设!G7</f>
        <v>2.0502245854707724E-2</v>
      </c>
      <c r="H44" s="1429">
        <f>假设!H7</f>
        <v>0.03</v>
      </c>
      <c r="I44" s="1429">
        <f>假设!I7</f>
        <v>2.5000000000000001E-2</v>
      </c>
      <c r="J44" s="1429">
        <f>假设!J7</f>
        <v>2.1999999999999999E-2</v>
      </c>
      <c r="K44" s="1429">
        <f>假设!K7</f>
        <v>2.1999999999999999E-2</v>
      </c>
      <c r="L44" s="1433"/>
    </row>
    <row r="45" spans="2:12" ht="30.6" thickBot="1">
      <c r="B45" s="1428" t="s">
        <v>1516</v>
      </c>
      <c r="C45" s="1710"/>
      <c r="D45" s="1710"/>
      <c r="E45" s="1710"/>
      <c r="F45" s="1710"/>
      <c r="G45" s="1429"/>
      <c r="H45" s="1429"/>
      <c r="I45" s="1429"/>
      <c r="J45" s="1429"/>
      <c r="K45" s="1429"/>
      <c r="L45" s="1433"/>
    </row>
    <row r="46" spans="2:12" ht="15.6" thickBot="1">
      <c r="B46" s="1428" t="s">
        <v>1517</v>
      </c>
      <c r="C46" s="1710">
        <f>假设!C14</f>
        <v>668.05073728364425</v>
      </c>
      <c r="D46" s="1710">
        <f>假设!D14</f>
        <v>657.25975294761315</v>
      </c>
      <c r="E46" s="1710">
        <f>假设!E14</f>
        <v>634.72994240125468</v>
      </c>
      <c r="F46" s="1710">
        <f>假设!F14</f>
        <v>627.36876949462135</v>
      </c>
      <c r="G46" s="1429">
        <f>假设!G14</f>
        <v>639.78462534290338</v>
      </c>
      <c r="H46" s="1429">
        <f>假设!H14</f>
        <v>639.78462534290338</v>
      </c>
      <c r="I46" s="1429">
        <f>假设!I14</f>
        <v>639.78462534290338</v>
      </c>
      <c r="J46" s="1429">
        <f>假设!J14</f>
        <v>639.78462534290338</v>
      </c>
      <c r="K46" s="1429">
        <f>假设!K14</f>
        <v>639.78462534290338</v>
      </c>
      <c r="L46" s="1433"/>
    </row>
    <row r="47" spans="2:12" ht="15.6" thickBot="1">
      <c r="B47" s="1428" t="s">
        <v>1518</v>
      </c>
      <c r="C47" s="1710"/>
      <c r="D47" s="1746">
        <f>(D46-C46)/C46</f>
        <v>-1.6152941286927153E-2</v>
      </c>
      <c r="E47" s="1746">
        <f t="shared" ref="E47:F47" si="6">(E46-D46)/D46</f>
        <v>-3.4278396699811642E-2</v>
      </c>
      <c r="F47" s="1746">
        <f t="shared" si="6"/>
        <v>-1.1597330478510567E-2</v>
      </c>
      <c r="G47" s="1429">
        <f>G46/F46-1</f>
        <v>1.9790363263194832E-2</v>
      </c>
      <c r="H47" s="1429">
        <f t="shared" ref="H47:K47" si="7">H46/G46-1</f>
        <v>0</v>
      </c>
      <c r="I47" s="1429">
        <f t="shared" si="7"/>
        <v>0</v>
      </c>
      <c r="J47" s="1429">
        <f t="shared" si="7"/>
        <v>0</v>
      </c>
      <c r="K47" s="1429">
        <f t="shared" si="7"/>
        <v>0</v>
      </c>
      <c r="L47" s="1433"/>
    </row>
    <row r="48" spans="2:12" ht="15.6" thickBot="1">
      <c r="B48" s="1428" t="s">
        <v>83</v>
      </c>
      <c r="C48" s="1710"/>
      <c r="D48" s="1710"/>
      <c r="E48" s="1710"/>
      <c r="F48" s="1710"/>
      <c r="G48" s="1429">
        <f>假设!G9</f>
        <v>5.6599999999999998E-2</v>
      </c>
      <c r="H48" s="1429">
        <f>假设!H9</f>
        <v>5.6599999999999998E-2</v>
      </c>
      <c r="I48" s="1429">
        <f>假设!I9</f>
        <v>5.6599999999999998E-2</v>
      </c>
      <c r="J48" s="1429">
        <f>假设!J9</f>
        <v>5.6599999999999998E-2</v>
      </c>
      <c r="K48" s="1429">
        <f>假设!K9</f>
        <v>5.6599999999999998E-2</v>
      </c>
      <c r="L48" s="1433"/>
    </row>
    <row r="49" spans="2:12" ht="15.6" thickBot="1">
      <c r="B49" s="1428" t="s">
        <v>1519</v>
      </c>
      <c r="C49" s="1710">
        <f>假设!C17</f>
        <v>412.98868085161951</v>
      </c>
      <c r="D49" s="1710">
        <f>假设!D17</f>
        <v>403.1223159065533</v>
      </c>
      <c r="E49" s="1710">
        <f>假设!E17</f>
        <v>380.11006131712764</v>
      </c>
      <c r="F49" s="1710">
        <f>假设!F17</f>
        <v>382.2879038185668</v>
      </c>
      <c r="G49" s="1429">
        <f>假设!G17</f>
        <v>382.84</v>
      </c>
      <c r="H49" s="1429">
        <f>假设!H17</f>
        <v>382.84</v>
      </c>
      <c r="I49" s="1429">
        <f>假设!I17</f>
        <v>382.84</v>
      </c>
      <c r="J49" s="1429">
        <f>假设!J17</f>
        <v>382.84</v>
      </c>
      <c r="K49" s="1429">
        <f>假设!K17</f>
        <v>382.84</v>
      </c>
      <c r="L49" s="1433"/>
    </row>
    <row r="50" spans="2:12" ht="15.6" thickBot="1">
      <c r="B50" s="1428" t="s">
        <v>1520</v>
      </c>
      <c r="C50" s="1710"/>
      <c r="D50" s="1746">
        <f>(D49-C49)/C49</f>
        <v>-2.3890158259836286E-2</v>
      </c>
      <c r="E50" s="1746">
        <f t="shared" ref="E50:F50" si="8">(E49-D49)/D49</f>
        <v>-5.7085042631973913E-2</v>
      </c>
      <c r="F50" s="1746">
        <f t="shared" si="8"/>
        <v>5.7295050120290663E-3</v>
      </c>
      <c r="G50" s="1429">
        <f>G49/F49-1</f>
        <v>1.444189512455063E-3</v>
      </c>
      <c r="H50" s="1429">
        <f t="shared" ref="H50:K50" si="9">H49/G49-1</f>
        <v>0</v>
      </c>
      <c r="I50" s="1429">
        <f t="shared" si="9"/>
        <v>0</v>
      </c>
      <c r="J50" s="1429">
        <f t="shared" si="9"/>
        <v>0</v>
      </c>
      <c r="K50" s="1429">
        <f t="shared" si="9"/>
        <v>0</v>
      </c>
      <c r="L50" s="1433"/>
    </row>
    <row r="51" spans="2:12" ht="15.6" thickBot="1">
      <c r="B51" s="1428" t="s">
        <v>1521</v>
      </c>
      <c r="C51" s="1710">
        <f>C49-C46</f>
        <v>-255.06205643202475</v>
      </c>
      <c r="D51" s="1710">
        <f t="shared" ref="D51:F51" si="10">D49-D46</f>
        <v>-254.13743704105985</v>
      </c>
      <c r="E51" s="1710">
        <f t="shared" si="10"/>
        <v>-254.61988108412703</v>
      </c>
      <c r="F51" s="1710">
        <f t="shared" si="10"/>
        <v>-245.08086567605454</v>
      </c>
      <c r="G51" s="1429">
        <f>G46-G49</f>
        <v>256.94462534290341</v>
      </c>
      <c r="H51" s="1429">
        <f t="shared" ref="H51:K51" si="11">H46-H49</f>
        <v>256.94462534290341</v>
      </c>
      <c r="I51" s="1429">
        <f t="shared" si="11"/>
        <v>256.94462534290341</v>
      </c>
      <c r="J51" s="1429">
        <f t="shared" si="11"/>
        <v>256.94462534290341</v>
      </c>
      <c r="K51" s="1429">
        <f t="shared" si="11"/>
        <v>256.94462534290341</v>
      </c>
      <c r="L51" s="1747" t="s">
        <v>1975</v>
      </c>
    </row>
    <row r="52" spans="2:12" ht="15.6" thickBot="1">
      <c r="B52" s="1428" t="s">
        <v>1522</v>
      </c>
      <c r="C52" s="1710"/>
      <c r="D52" s="1746">
        <f>(D51-C51)/C51</f>
        <v>-3.6250762026272137E-3</v>
      </c>
      <c r="E52" s="1746">
        <f t="shared" ref="E52:F52" si="12">(E51-D51)/D51</f>
        <v>1.8983588120046609E-3</v>
      </c>
      <c r="F52" s="1746">
        <f t="shared" si="12"/>
        <v>-3.7463749364177783E-2</v>
      </c>
      <c r="G52" s="1429">
        <f>G51/F51-1</f>
        <v>-2.0484075312616623</v>
      </c>
      <c r="H52" s="1429">
        <f t="shared" ref="H52:K52" si="13">H51/G51-1</f>
        <v>0</v>
      </c>
      <c r="I52" s="1429">
        <f t="shared" si="13"/>
        <v>0</v>
      </c>
      <c r="J52" s="1429">
        <f t="shared" si="13"/>
        <v>0</v>
      </c>
      <c r="K52" s="1429">
        <f t="shared" si="13"/>
        <v>0</v>
      </c>
      <c r="L52" s="1433"/>
    </row>
  </sheetData>
  <mergeCells count="3">
    <mergeCell ref="C2:F2"/>
    <mergeCell ref="L2:L3"/>
    <mergeCell ref="C1:G1"/>
  </mergeCells>
  <phoneticPr fontId="20" type="noConversion"/>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7">
    <tabColor rgb="FFC00000"/>
  </sheetPr>
  <dimension ref="A1:M69"/>
  <sheetViews>
    <sheetView showGridLines="0" zoomScaleNormal="100" workbookViewId="0">
      <pane xSplit="2" ySplit="3" topLeftCell="C19" activePane="bottomRight" state="frozen"/>
      <selection activeCell="H43" sqref="H43"/>
      <selection pane="topRight" activeCell="H43" sqref="H43"/>
      <selection pane="bottomLeft" activeCell="H43" sqref="H43"/>
      <selection pane="bottomRight" activeCell="G23" sqref="G23"/>
    </sheetView>
  </sheetViews>
  <sheetFormatPr defaultColWidth="9" defaultRowHeight="15" outlineLevelRow="1"/>
  <cols>
    <col min="1" max="1" width="11.44140625" style="1372" customWidth="1"/>
    <col min="2" max="2" width="28.88671875" style="1372" customWidth="1"/>
    <col min="3" max="3" width="12.88671875" style="1372" bestFit="1" customWidth="1"/>
    <col min="4" max="5" width="13.88671875" style="1372" customWidth="1"/>
    <col min="6" max="6" width="13" style="1372" customWidth="1"/>
    <col min="7" max="11" width="15.21875" style="1372" customWidth="1"/>
    <col min="12" max="12" width="52.44140625" style="1372" customWidth="1"/>
    <col min="13" max="16384" width="9" style="1372"/>
  </cols>
  <sheetData>
    <row r="1" spans="1:13" s="1373" customFormat="1" ht="15.6" thickBot="1">
      <c r="A1" s="1370"/>
      <c r="B1" s="1371" t="s">
        <v>1524</v>
      </c>
      <c r="C1" s="2536" t="str">
        <f>"当前模式："&amp;测算模式</f>
        <v>当前模式：1.实际收入+实际成本</v>
      </c>
      <c r="D1" s="2536"/>
      <c r="E1" s="2536"/>
      <c r="F1" s="2536"/>
      <c r="G1" s="2536"/>
      <c r="H1" s="2537"/>
      <c r="I1" s="2537"/>
      <c r="J1" s="2537"/>
      <c r="K1" s="2537"/>
      <c r="L1" s="2533"/>
      <c r="M1" s="1372"/>
    </row>
    <row r="2" spans="1:13" s="1373" customFormat="1" ht="16.2" thickBot="1">
      <c r="A2" s="1370"/>
      <c r="B2" s="1374"/>
      <c r="C2" s="2535" t="s">
        <v>30</v>
      </c>
      <c r="D2" s="2535"/>
      <c r="E2" s="2535"/>
      <c r="F2" s="2535"/>
      <c r="G2" s="1375" t="s">
        <v>31</v>
      </c>
      <c r="H2" s="1938"/>
      <c r="I2" s="1938"/>
      <c r="J2" s="1938"/>
      <c r="K2" s="1938"/>
      <c r="L2" s="2532" t="s">
        <v>257</v>
      </c>
      <c r="M2" s="1372"/>
    </row>
    <row r="3" spans="1:13" s="1381" customFormat="1" ht="16.2" thickBot="1">
      <c r="A3" s="1376"/>
      <c r="B3" s="1377" t="s">
        <v>332</v>
      </c>
      <c r="C3" s="1378">
        <f>G3-4</f>
        <v>2014</v>
      </c>
      <c r="D3" s="1378">
        <f>G3-3</f>
        <v>2015</v>
      </c>
      <c r="E3" s="1378">
        <f>G3-2</f>
        <v>2016</v>
      </c>
      <c r="F3" s="1378">
        <f>G3-1</f>
        <v>2017</v>
      </c>
      <c r="G3" s="1379">
        <f>测算年份</f>
        <v>2018</v>
      </c>
      <c r="H3" s="1939">
        <f>假设!H3</f>
        <v>2019</v>
      </c>
      <c r="I3" s="1939">
        <f>假设!I3</f>
        <v>2020</v>
      </c>
      <c r="J3" s="1939">
        <f>假设!J3</f>
        <v>2021</v>
      </c>
      <c r="K3" s="1939">
        <f>假设!K3</f>
        <v>2022</v>
      </c>
      <c r="L3" s="2532"/>
      <c r="M3" s="1380"/>
    </row>
    <row r="4" spans="1:13" ht="16.2" thickBot="1">
      <c r="B4" s="1382" t="s">
        <v>1449</v>
      </c>
      <c r="C4" s="1383"/>
      <c r="D4" s="1383"/>
      <c r="E4" s="1383"/>
      <c r="F4" s="1384"/>
      <c r="G4" s="1384">
        <f>MIN(AVERAGE(D5:F5),F5)</f>
        <v>0.28243178002711705</v>
      </c>
      <c r="H4" s="1384">
        <f t="shared" ref="H4:K4" ca="1" si="0">MIN(AVERAGE(E5:G5),G5)</f>
        <v>0.2904975477035206</v>
      </c>
      <c r="I4" s="1384">
        <f t="shared" ca="1" si="0"/>
        <v>0.30125847101296677</v>
      </c>
      <c r="J4" s="1384">
        <f t="shared" ca="1" si="0"/>
        <v>0.30508643146799724</v>
      </c>
      <c r="K4" s="1384">
        <f t="shared" ca="1" si="0"/>
        <v>0.30618812024376441</v>
      </c>
      <c r="L4" s="1369"/>
    </row>
    <row r="5" spans="1:13" ht="16.2" thickBot="1">
      <c r="B5" s="1385" t="s">
        <v>607</v>
      </c>
      <c r="C5" s="1386">
        <f>资产负债表!C70</f>
        <v>0.2545224802721725</v>
      </c>
      <c r="D5" s="1386">
        <f>资产负债表!D70</f>
        <v>0.27953886444379245</v>
      </c>
      <c r="E5" s="1386">
        <f>资产负债表!E70</f>
        <v>0.27291929789700897</v>
      </c>
      <c r="F5" s="1386">
        <f>资产负债表!F70</f>
        <v>0.29483717774054991</v>
      </c>
      <c r="G5" s="1387">
        <f ca="1">IFERROR(G6/G7,"0")</f>
        <v>0.30373616747300303</v>
      </c>
      <c r="H5" s="1387">
        <f t="shared" ref="H5:K5" ca="1" si="1">IFERROR(H6/H7,"0")</f>
        <v>0.30520206782534742</v>
      </c>
      <c r="I5" s="1387">
        <f t="shared" ca="1" si="1"/>
        <v>0.30632105910564117</v>
      </c>
      <c r="J5" s="1387">
        <f t="shared" ca="1" si="1"/>
        <v>0.30704123380030457</v>
      </c>
      <c r="K5" s="1387">
        <f t="shared" ca="1" si="1"/>
        <v>0.30759530870891794</v>
      </c>
      <c r="L5" s="1369" t="s">
        <v>1431</v>
      </c>
    </row>
    <row r="6" spans="1:13" ht="15.6" outlineLevel="1" thickBot="1">
      <c r="B6" s="593" t="s">
        <v>1423</v>
      </c>
      <c r="C6" s="1724">
        <f>历史资产负债表!E53</f>
        <v>407.31212990929998</v>
      </c>
      <c r="D6" s="1724">
        <f>历史资产负债表!F53</f>
        <v>504.93336575149999</v>
      </c>
      <c r="E6" s="1724">
        <f>历史资产负债表!G53</f>
        <v>521.67813567660005</v>
      </c>
      <c r="F6" s="1724">
        <f>历史资产负债表!H53</f>
        <v>554.31524122350004</v>
      </c>
      <c r="G6" s="1388">
        <f ca="1">资产负债表!G54</f>
        <v>585.70320189212168</v>
      </c>
      <c r="H6" s="1388">
        <f ca="1">资产负债表!H54</f>
        <v>597.85240835807576</v>
      </c>
      <c r="I6" s="1388">
        <f ca="1">资产负债表!I54</f>
        <v>609.90118018768817</v>
      </c>
      <c r="J6" s="1388">
        <f ca="1">资产负债表!J54</f>
        <v>621.55456330923585</v>
      </c>
      <c r="K6" s="1388">
        <f ca="1">资产负债表!K54</f>
        <v>633.66490900804251</v>
      </c>
      <c r="L6" s="1369"/>
    </row>
    <row r="7" spans="1:13" ht="15.6" outlineLevel="1" thickBot="1">
      <c r="B7" s="593" t="s">
        <v>1204</v>
      </c>
      <c r="C7" s="1724">
        <f>历史资产负债表!E30</f>
        <v>1600.2992327976001</v>
      </c>
      <c r="D7" s="1724">
        <f>历史资产负债表!F30</f>
        <v>1806.3082811622</v>
      </c>
      <c r="E7" s="1724">
        <f>历史资产负债表!G30</f>
        <v>1911.4739767265</v>
      </c>
      <c r="F7" s="1724">
        <f>历史资产负债表!H30</f>
        <v>1880.0724029154999</v>
      </c>
      <c r="G7" s="1388">
        <f ca="1">资产负债表!G31</f>
        <v>1928.3288084030385</v>
      </c>
      <c r="H7" s="1388">
        <f ca="1">资产负债表!H31</f>
        <v>1958.8740424268626</v>
      </c>
      <c r="I7" s="1388">
        <f ca="1">资产负债表!I31</f>
        <v>1991.0520744750725</v>
      </c>
      <c r="J7" s="1388">
        <f ca="1">资产负债表!J31</f>
        <v>2024.3358053774837</v>
      </c>
      <c r="K7" s="1388">
        <f ca="1">资产负债表!K31</f>
        <v>2060.0603815050026</v>
      </c>
      <c r="L7" s="1369"/>
    </row>
    <row r="8" spans="1:13" ht="16.2" thickBot="1">
      <c r="B8" s="1382" t="s">
        <v>1450</v>
      </c>
      <c r="C8" s="1383"/>
      <c r="D8" s="1383"/>
      <c r="E8" s="1383"/>
      <c r="F8" s="1389"/>
      <c r="G8" s="1389">
        <f>MIN(AVERAGE(D9:F9),F9)</f>
        <v>30.636240490199999</v>
      </c>
      <c r="H8" s="1389">
        <f t="shared" ref="H8:K8" ca="1" si="2">MIN(AVERAGE(E9:G9),G9)</f>
        <v>31.379227543914535</v>
      </c>
      <c r="I8" s="1389">
        <f t="shared" ca="1" si="2"/>
        <v>31.868320162034063</v>
      </c>
      <c r="J8" s="1389">
        <f t="shared" ca="1" si="2"/>
        <v>33.839761275419967</v>
      </c>
      <c r="K8" s="1389">
        <f t="shared" ca="1" si="2"/>
        <v>36.522578547823606</v>
      </c>
      <c r="L8" s="1369"/>
    </row>
    <row r="9" spans="1:13" ht="16.2" thickBot="1">
      <c r="B9" s="1385" t="s">
        <v>1205</v>
      </c>
      <c r="C9" s="1390">
        <f>损益表!C18</f>
        <v>33.208477225300001</v>
      </c>
      <c r="D9" s="1390">
        <f>损益表!D18</f>
        <v>29.409058234699998</v>
      </c>
      <c r="E9" s="1390">
        <f>损益表!E18</f>
        <v>34.702029121599999</v>
      </c>
      <c r="F9" s="1390">
        <f>损益表!F18</f>
        <v>30.636240490199999</v>
      </c>
      <c r="G9" s="1391">
        <f ca="1">G10-G11-G12-G13-G14-G15-G16+G17+G18+G19+G20-G21</f>
        <v>31.379227543914535</v>
      </c>
      <c r="H9" s="1391">
        <f t="shared" ref="H9:K9" ca="1" si="3">H10-H11-H12-H13-H14-H15-H16+H17+H18+H19+H20-H21</f>
        <v>33.589492451987645</v>
      </c>
      <c r="I9" s="1391">
        <f t="shared" ca="1" si="3"/>
        <v>36.550563830357724</v>
      </c>
      <c r="J9" s="1391">
        <f t="shared" ca="1" si="3"/>
        <v>39.427679361125456</v>
      </c>
      <c r="K9" s="1391">
        <f t="shared" ca="1" si="3"/>
        <v>42.92256277473647</v>
      </c>
      <c r="L9" s="1369"/>
    </row>
    <row r="10" spans="1:13" ht="15.6" outlineLevel="1" thickBot="1">
      <c r="B10" s="1392" t="s">
        <v>1203</v>
      </c>
      <c r="C10" s="1725">
        <f>历史利润表!E4</f>
        <v>796.60442812539998</v>
      </c>
      <c r="D10" s="1725">
        <f>历史利润表!F4</f>
        <v>810.2762171503</v>
      </c>
      <c r="E10" s="1725">
        <f>历史利润表!G4</f>
        <v>852.73232172429994</v>
      </c>
      <c r="F10" s="1725">
        <f>历史利润表!H4</f>
        <v>882.71881000960002</v>
      </c>
      <c r="G10" s="1388">
        <f>损益表!G4</f>
        <v>890.25524394621448</v>
      </c>
      <c r="H10" s="1388">
        <f>损益表!H4</f>
        <v>915.74650518460101</v>
      </c>
      <c r="I10" s="1388">
        <f>损益表!I4</f>
        <v>937.6265044142159</v>
      </c>
      <c r="J10" s="1388">
        <f>损益表!J4</f>
        <v>957.36226371932889</v>
      </c>
      <c r="K10" s="1388">
        <f>损益表!K4</f>
        <v>977.53220972915415</v>
      </c>
      <c r="L10" s="1369"/>
    </row>
    <row r="11" spans="1:13" ht="15.6" outlineLevel="1" thickBot="1">
      <c r="B11" s="1392" t="s">
        <v>1041</v>
      </c>
      <c r="C11" s="1725">
        <f>历史利润表!E11</f>
        <v>768.13423680829999</v>
      </c>
      <c r="D11" s="1725">
        <f>历史利润表!F11</f>
        <v>783.09630905929998</v>
      </c>
      <c r="E11" s="1725">
        <f>历史利润表!G11</f>
        <v>819.15922779520008</v>
      </c>
      <c r="F11" s="1725">
        <f>历史利润表!H11</f>
        <v>852.41506452470003</v>
      </c>
      <c r="G11" s="1388">
        <f ca="1">损益表!G6</f>
        <v>852.13186448465535</v>
      </c>
      <c r="H11" s="1388">
        <f ca="1">损益表!H6</f>
        <v>877.35623711419544</v>
      </c>
      <c r="I11" s="1388">
        <f ca="1">损益表!I6</f>
        <v>898.15880450746499</v>
      </c>
      <c r="J11" s="1388">
        <f ca="1">损益表!J6</f>
        <v>916.88316920539148</v>
      </c>
      <c r="K11" s="1388">
        <f ca="1">损益表!K6</f>
        <v>935.37478005812545</v>
      </c>
      <c r="L11" s="1369"/>
    </row>
    <row r="12" spans="1:13" ht="15.6" outlineLevel="1" thickBot="1">
      <c r="B12" s="1392" t="s">
        <v>1421</v>
      </c>
      <c r="C12" s="1725">
        <f>历史利润表!E22</f>
        <v>3.5867487117000003</v>
      </c>
      <c r="D12" s="1725">
        <f>历史利润表!F22</f>
        <v>3.2671226669000002</v>
      </c>
      <c r="E12" s="1725">
        <f>历史利润表!G22</f>
        <v>3.7404287943000001</v>
      </c>
      <c r="F12" s="1725">
        <f>历史利润表!H22</f>
        <v>6.1103996416999999</v>
      </c>
      <c r="G12" s="1394">
        <f>损益表!G7</f>
        <v>6.1625687160459783</v>
      </c>
      <c r="H12" s="1394">
        <f>损益表!H7</f>
        <v>6.339025580645731</v>
      </c>
      <c r="I12" s="1394">
        <f>损益表!I7</f>
        <v>6.4904843894271833</v>
      </c>
      <c r="J12" s="1394">
        <f>损益表!J7</f>
        <v>6.6271002349480552</v>
      </c>
      <c r="K12" s="1394">
        <f>损益表!K7</f>
        <v>6.7667216290703855</v>
      </c>
      <c r="L12" s="1369"/>
    </row>
    <row r="13" spans="1:13" ht="15.6" outlineLevel="1" thickBot="1">
      <c r="B13" s="1392" t="s">
        <v>334</v>
      </c>
      <c r="C13" s="1725">
        <f>历史利润表!E24</f>
        <v>9.84728609E-2</v>
      </c>
      <c r="D13" s="1725">
        <f>历史利润表!F24</f>
        <v>0.55166360170000006</v>
      </c>
      <c r="E13" s="1725">
        <f>历史利润表!G24</f>
        <v>0.91817756150000007</v>
      </c>
      <c r="F13" s="1725">
        <f>历史利润表!H24</f>
        <v>0.64244614759999996</v>
      </c>
      <c r="G13" s="1394">
        <f>损益表!G8</f>
        <v>0.70669076236000006</v>
      </c>
      <c r="H13" s="1394">
        <f>损益表!H8</f>
        <v>0.77735983859600011</v>
      </c>
      <c r="I13" s="1394">
        <f>损益表!I8</f>
        <v>0.85509582245560023</v>
      </c>
      <c r="J13" s="1394">
        <f>损益表!J8</f>
        <v>0.94060540470116027</v>
      </c>
      <c r="K13" s="1394">
        <f>损益表!K8</f>
        <v>1.0346659451712763</v>
      </c>
      <c r="L13" s="1369"/>
    </row>
    <row r="14" spans="1:13" ht="15.6" outlineLevel="1" thickBot="1">
      <c r="B14" s="1392" t="s">
        <v>1422</v>
      </c>
      <c r="C14" s="1725">
        <f>历史利润表!E25</f>
        <v>1.5190390368</v>
      </c>
      <c r="D14" s="1725">
        <f>历史利润表!F25</f>
        <v>1.3818965437999999</v>
      </c>
      <c r="E14" s="1725">
        <f>历史利润表!G25</f>
        <v>1.3719273333999999</v>
      </c>
      <c r="F14" s="1725">
        <f>历史利润表!H25</f>
        <v>1.6626269233000002</v>
      </c>
      <c r="G14" s="1394">
        <f>损益表!G9</f>
        <v>1.7260255686577797</v>
      </c>
      <c r="H14" s="1394">
        <f>损益表!H9</f>
        <v>1.7918417065852235</v>
      </c>
      <c r="I14" s="1394">
        <f>损益表!I9</f>
        <v>1.8601675199719092</v>
      </c>
      <c r="J14" s="1394">
        <f>损益表!J9</f>
        <v>1.9310987067896268</v>
      </c>
      <c r="K14" s="1394">
        <f>损益表!K9</f>
        <v>2.0047346141281319</v>
      </c>
      <c r="L14" s="1369"/>
    </row>
    <row r="15" spans="1:13" ht="15.6" outlineLevel="1" thickBot="1">
      <c r="B15" s="1392" t="s">
        <v>341</v>
      </c>
      <c r="C15" s="1725">
        <f>历史利润表!E26</f>
        <v>-0.63414611840000001</v>
      </c>
      <c r="D15" s="1725">
        <f>历史利润表!F26</f>
        <v>-0.81544300219999999</v>
      </c>
      <c r="E15" s="1725">
        <f>历史利润表!G26</f>
        <v>-0.64352519419999998</v>
      </c>
      <c r="F15" s="1725">
        <f>历史利润表!H26</f>
        <v>-0.6535169556</v>
      </c>
      <c r="G15" s="1394">
        <f ca="1">损益表!G10</f>
        <v>-0.93587504064049842</v>
      </c>
      <c r="H15" s="1394">
        <f ca="1">损益表!H10</f>
        <v>-1.1481299223144541</v>
      </c>
      <c r="I15" s="1394">
        <f ca="1">损益表!I10</f>
        <v>-1.2834502429782739</v>
      </c>
      <c r="J15" s="1394">
        <f ca="1">损益表!J10</f>
        <v>-1.3945400134740742</v>
      </c>
      <c r="K15" s="1394">
        <f ca="1">损益表!K10</f>
        <v>-1.4687959079851642</v>
      </c>
      <c r="L15" s="1369"/>
    </row>
    <row r="16" spans="1:13" ht="15.6" outlineLevel="1" thickBot="1">
      <c r="A16" s="1395"/>
      <c r="B16" s="1392" t="s">
        <v>345</v>
      </c>
      <c r="C16" s="1725">
        <f>历史利润表!E27</f>
        <v>-1.9001354194</v>
      </c>
      <c r="D16" s="1725">
        <f>历史利润表!F27</f>
        <v>6.9797013499999991E-2</v>
      </c>
      <c r="E16" s="1725">
        <f>历史利润表!G27</f>
        <v>-0.1781665472</v>
      </c>
      <c r="F16" s="1725">
        <f>历史利润表!H27</f>
        <v>2.8576727400000002E-2</v>
      </c>
      <c r="G16" s="1394">
        <f>损益表!G11</f>
        <v>2.8576727400000002E-2</v>
      </c>
      <c r="H16" s="1394">
        <f>损益表!H11</f>
        <v>2.8576727400000002E-2</v>
      </c>
      <c r="I16" s="1394">
        <f>损益表!I11</f>
        <v>2.8576727400000002E-2</v>
      </c>
      <c r="J16" s="1394">
        <f>损益表!J11</f>
        <v>2.8576727400000002E-2</v>
      </c>
      <c r="K16" s="1394">
        <f>损益表!K11</f>
        <v>2.8576727400000002E-2</v>
      </c>
      <c r="L16" s="1369"/>
    </row>
    <row r="17" spans="1:12" ht="15.6" outlineLevel="1" thickBot="1">
      <c r="B17" s="1392" t="s">
        <v>1629</v>
      </c>
      <c r="C17" s="1725">
        <f>历史利润表!E29</f>
        <v>0</v>
      </c>
      <c r="D17" s="1725">
        <f>历史利润表!F29</f>
        <v>0</v>
      </c>
      <c r="E17" s="1725">
        <f>历史利润表!G29</f>
        <v>0</v>
      </c>
      <c r="F17" s="1725">
        <f>历史利润表!H29</f>
        <v>0</v>
      </c>
      <c r="G17" s="1394">
        <f>损益表!G12</f>
        <v>0</v>
      </c>
      <c r="H17" s="1394">
        <f>损益表!H12</f>
        <v>0</v>
      </c>
      <c r="I17" s="1394">
        <f>损益表!I12</f>
        <v>0</v>
      </c>
      <c r="J17" s="1394">
        <f>损益表!J12</f>
        <v>0</v>
      </c>
      <c r="K17" s="1394">
        <f>损益表!K12</f>
        <v>0</v>
      </c>
      <c r="L17" s="1369"/>
    </row>
    <row r="18" spans="1:12" ht="15.6" outlineLevel="1" thickBot="1">
      <c r="B18" s="1392" t="s">
        <v>350</v>
      </c>
      <c r="C18" s="1725">
        <f>历史利润表!E30</f>
        <v>3.7491075832999998</v>
      </c>
      <c r="D18" s="1725">
        <f>历史利润表!F30</f>
        <v>3.5344663863999997</v>
      </c>
      <c r="E18" s="1725">
        <f>历史利润表!G30</f>
        <v>3.0286453032999998</v>
      </c>
      <c r="F18" s="1725">
        <f>历史利润表!H30</f>
        <v>1.0948207815</v>
      </c>
      <c r="G18" s="1394">
        <f>损益表!G13</f>
        <v>1.093034816178674</v>
      </c>
      <c r="H18" s="1394">
        <f>损益表!H13</f>
        <v>1.137098312494577</v>
      </c>
      <c r="I18" s="1394">
        <f>损益表!I13</f>
        <v>1.182938139883235</v>
      </c>
      <c r="J18" s="1394">
        <f>损益表!J13</f>
        <v>1.2306259075528105</v>
      </c>
      <c r="K18" s="1394">
        <f>损益表!K13</f>
        <v>1.2802361114924112</v>
      </c>
      <c r="L18" s="1369"/>
    </row>
    <row r="19" spans="1:12" ht="15.6" outlineLevel="1" thickBot="1">
      <c r="B19" s="1392" t="s">
        <v>1161</v>
      </c>
      <c r="C19" s="1725">
        <f>历史利润表!E33</f>
        <v>0</v>
      </c>
      <c r="D19" s="1725">
        <f>历史利润表!F33</f>
        <v>0</v>
      </c>
      <c r="E19" s="1725">
        <f>历史利润表!G33</f>
        <v>0</v>
      </c>
      <c r="F19" s="1725">
        <f>历史利润表!H33</f>
        <v>0</v>
      </c>
      <c r="G19" s="1394">
        <f>损益表!G14</f>
        <v>2</v>
      </c>
      <c r="H19" s="1394">
        <f>损益表!H14</f>
        <v>4</v>
      </c>
      <c r="I19" s="1394">
        <f>损益表!I14</f>
        <v>6</v>
      </c>
      <c r="J19" s="1394">
        <f>损益表!J14</f>
        <v>8</v>
      </c>
      <c r="K19" s="1394">
        <f>损益表!K14</f>
        <v>10</v>
      </c>
      <c r="L19" s="1369"/>
    </row>
    <row r="20" spans="1:12" ht="15.6" outlineLevel="1" thickBot="1">
      <c r="B20" s="1392" t="s">
        <v>392</v>
      </c>
      <c r="C20" s="1725">
        <f>历史利润表!E35</f>
        <v>2.1129386902</v>
      </c>
      <c r="D20" s="1725">
        <f>历史利润表!F35</f>
        <v>1.1393394945999999</v>
      </c>
      <c r="E20" s="1725">
        <f>历史利润表!G35</f>
        <v>2.5897836813999997</v>
      </c>
      <c r="F20" s="1725">
        <f>历史利润表!H35</f>
        <v>1.1406059123000001</v>
      </c>
      <c r="G20" s="1394">
        <f>损益表!G16</f>
        <v>1.1835</v>
      </c>
      <c r="H20" s="1394">
        <f>损益表!H16</f>
        <v>1.1835</v>
      </c>
      <c r="I20" s="1394">
        <f>损益表!I16</f>
        <v>1.1835</v>
      </c>
      <c r="J20" s="1394">
        <f>损益表!J16</f>
        <v>1.1835</v>
      </c>
      <c r="K20" s="1394">
        <f>损益表!K16</f>
        <v>1.1835</v>
      </c>
      <c r="L20" s="1369"/>
    </row>
    <row r="21" spans="1:12" ht="15.6" outlineLevel="1" thickBot="1">
      <c r="B21" s="1392" t="s">
        <v>393</v>
      </c>
      <c r="C21" s="1725">
        <f>历史利润表!E36</f>
        <v>1.1237603653000001</v>
      </c>
      <c r="D21" s="1725">
        <f>历史利润表!F36</f>
        <v>2.4446557372999997</v>
      </c>
      <c r="E21" s="1725">
        <f>历史利润表!G36</f>
        <v>4.4894937922000002</v>
      </c>
      <c r="F21" s="1725">
        <f>历史利润表!H36</f>
        <v>3.3925745897000001</v>
      </c>
      <c r="G21" s="1394">
        <f>损益表!G17</f>
        <v>3.3327</v>
      </c>
      <c r="H21" s="1394">
        <f>损益表!H17</f>
        <v>3.3327</v>
      </c>
      <c r="I21" s="1394">
        <f>损益表!I17</f>
        <v>3.3327</v>
      </c>
      <c r="J21" s="1394">
        <f>损益表!J17</f>
        <v>3.3327</v>
      </c>
      <c r="K21" s="1394">
        <f>损益表!K17</f>
        <v>3.3327</v>
      </c>
      <c r="L21" s="1369"/>
    </row>
    <row r="22" spans="1:12" ht="16.2" thickBot="1">
      <c r="B22" s="1382" t="s">
        <v>1451</v>
      </c>
      <c r="C22" s="1393"/>
      <c r="D22" s="1393"/>
      <c r="E22" s="1393"/>
      <c r="F22" s="1396"/>
      <c r="G22" s="1396">
        <f>MIN(AVERAGE(D23:F23),F23)</f>
        <v>-4.5323132180055232</v>
      </c>
      <c r="H22" s="1396">
        <f t="shared" ref="H22:K22" ca="1" si="4">MIN(AVERAGE(E23:G23),G23)</f>
        <v>-24.199425139865632</v>
      </c>
      <c r="I22" s="1396">
        <f t="shared" ca="1" si="4"/>
        <v>-25.168996008603891</v>
      </c>
      <c r="J22" s="1396">
        <f t="shared" ca="1" si="4"/>
        <v>-24.422128199506318</v>
      </c>
      <c r="K22" s="1396">
        <f t="shared" ca="1" si="4"/>
        <v>-23.818378251375986</v>
      </c>
      <c r="L22" s="1369"/>
    </row>
    <row r="23" spans="1:12" ht="16.2" thickBot="1">
      <c r="A23" s="1395"/>
      <c r="B23" s="1385" t="s">
        <v>1424</v>
      </c>
      <c r="C23" s="1904"/>
      <c r="D23" s="1397">
        <f t="shared" ref="D23:E23" si="5">D24-D32</f>
        <v>-8.5272936686161636</v>
      </c>
      <c r="E23" s="1397">
        <f t="shared" si="5"/>
        <v>-5.1320458598433376</v>
      </c>
      <c r="F23" s="1397">
        <f>F24-F32</f>
        <v>6.2399874442931491E-2</v>
      </c>
      <c r="G23" s="1398">
        <f ca="1">G24-G32</f>
        <v>-24.199425139865632</v>
      </c>
      <c r="H23" s="1398">
        <f t="shared" ref="H23:K23" ca="1" si="6">H24-H32</f>
        <v>-25.168996008603905</v>
      </c>
      <c r="I23" s="1398">
        <f t="shared" ca="1" si="6"/>
        <v>-23.89796345004946</v>
      </c>
      <c r="J23" s="1398">
        <f t="shared" ca="1" si="6"/>
        <v>-22.388175295474618</v>
      </c>
      <c r="K23" s="1398">
        <f t="shared" ca="1" si="6"/>
        <v>-20.40207221658892</v>
      </c>
      <c r="L23" s="1369" t="s">
        <v>1432</v>
      </c>
    </row>
    <row r="24" spans="1:12" ht="15.6" outlineLevel="1" thickBot="1">
      <c r="A24" s="1399"/>
      <c r="B24" s="1400" t="s">
        <v>1531</v>
      </c>
      <c r="C24" s="1904"/>
      <c r="D24" s="1726">
        <f>D25+(D27+D26)*(1-D31)</f>
        <v>22.416430771950001</v>
      </c>
      <c r="E24" s="1726">
        <f t="shared" ref="E24" si="7">E25+(E27+E26)*(1-E31)</f>
        <v>27.753604988649997</v>
      </c>
      <c r="F24" s="1397">
        <f>F25+(F27+F26)*(1-F31)</f>
        <v>32.110591564099998</v>
      </c>
      <c r="G24" s="1397">
        <f ca="1">G25+(G27+G26)*(1-G31)</f>
        <v>32.604837371935943</v>
      </c>
      <c r="H24" s="1397">
        <f t="shared" ref="H24:K24" ca="1" si="8">H25+(H27+H26)*(1-H31)</f>
        <v>34.262536052990626</v>
      </c>
      <c r="I24" s="1397">
        <f t="shared" ca="1" si="8"/>
        <v>36.483339586768253</v>
      </c>
      <c r="J24" s="1397">
        <f t="shared" ca="1" si="8"/>
        <v>38.641176234844025</v>
      </c>
      <c r="K24" s="1397">
        <f t="shared" ca="1" si="8"/>
        <v>41.262338795052386</v>
      </c>
      <c r="L24" s="1369"/>
    </row>
    <row r="25" spans="1:12" ht="15.6" outlineLevel="1" thickBot="1">
      <c r="A25" s="1399"/>
      <c r="B25" s="1401" t="s">
        <v>1208</v>
      </c>
      <c r="C25" s="1905"/>
      <c r="D25" s="1727">
        <f>历史利润表!F39</f>
        <v>22.2780130236</v>
      </c>
      <c r="E25" s="1727">
        <f>历史利润表!G39</f>
        <v>26.736248884299997</v>
      </c>
      <c r="F25" s="1388">
        <f>损益表!F20</f>
        <v>23.0546340641</v>
      </c>
      <c r="G25" s="1388">
        <f ca="1">损益表!G20</f>
        <v>23.534420657935943</v>
      </c>
      <c r="H25" s="1388">
        <f ca="1">损益表!H20</f>
        <v>25.192119338990629</v>
      </c>
      <c r="I25" s="1388">
        <f ca="1">损益表!I20</f>
        <v>27.412922872768249</v>
      </c>
      <c r="J25" s="1388">
        <f ca="1">损益表!J20</f>
        <v>29.570759520844028</v>
      </c>
      <c r="K25" s="1388">
        <f ca="1">损益表!K20</f>
        <v>32.191922081052383</v>
      </c>
      <c r="L25" s="1369"/>
    </row>
    <row r="26" spans="1:12" ht="15.6" outlineLevel="1" thickBot="1">
      <c r="A26" s="1399"/>
      <c r="B26" s="1401" t="s">
        <v>1425</v>
      </c>
      <c r="C26" s="1905"/>
      <c r="D26" s="1727">
        <f t="shared" ref="D26:E26" si="9">D15</f>
        <v>-0.81544300219999999</v>
      </c>
      <c r="E26" s="1727">
        <f t="shared" si="9"/>
        <v>-0.64352519419999998</v>
      </c>
      <c r="F26" s="1388">
        <f>债务!F37</f>
        <v>0</v>
      </c>
      <c r="G26" s="1388">
        <f ca="1">债务!G37</f>
        <v>1.9278952000000002E-2</v>
      </c>
      <c r="H26" s="1388">
        <f ca="1">债务!H37</f>
        <v>1.9278952000000002E-2</v>
      </c>
      <c r="I26" s="1388">
        <f ca="1">债务!I37</f>
        <v>1.9278952000000002E-2</v>
      </c>
      <c r="J26" s="1388">
        <f ca="1">债务!J37</f>
        <v>1.9278952000000002E-2</v>
      </c>
      <c r="K26" s="1388">
        <f ca="1">债务!K37</f>
        <v>1.9278952000000002E-2</v>
      </c>
      <c r="L26" s="1369" t="s">
        <v>1536</v>
      </c>
    </row>
    <row r="27" spans="1:12" ht="15.6" outlineLevel="1" thickBot="1">
      <c r="A27" s="1399"/>
      <c r="B27" s="1401" t="s">
        <v>1532</v>
      </c>
      <c r="C27" s="1906"/>
      <c r="D27" s="1728">
        <v>1</v>
      </c>
      <c r="E27" s="1728">
        <v>2</v>
      </c>
      <c r="F27" s="1394">
        <f>F28+F29+F30*0.5</f>
        <v>12.07461</v>
      </c>
      <c r="G27" s="1394">
        <f>G28+G29+G30*0.5</f>
        <v>12.07461</v>
      </c>
      <c r="H27" s="1394">
        <f t="shared" ref="H27:K27" si="10">H28+H29+H30*0.5</f>
        <v>12.07461</v>
      </c>
      <c r="I27" s="1394">
        <f t="shared" si="10"/>
        <v>12.07461</v>
      </c>
      <c r="J27" s="1394">
        <f t="shared" si="10"/>
        <v>12.07461</v>
      </c>
      <c r="K27" s="1394">
        <f t="shared" si="10"/>
        <v>12.07461</v>
      </c>
      <c r="L27" s="1369" t="s">
        <v>1537</v>
      </c>
    </row>
    <row r="28" spans="1:12" ht="15.6" outlineLevel="1" thickBot="1">
      <c r="A28" s="1399"/>
      <c r="B28" s="1403" t="s">
        <v>1527</v>
      </c>
      <c r="C28" s="1907"/>
      <c r="D28" s="1729">
        <f t="shared" ref="D28:E28" si="11">D29+D30+D31*0.5</f>
        <v>0.125</v>
      </c>
      <c r="E28" s="1729">
        <f t="shared" si="11"/>
        <v>0.125</v>
      </c>
      <c r="F28" s="1394">
        <f>G28</f>
        <v>3.59</v>
      </c>
      <c r="G28" s="1404">
        <f>IF(动因指标对成果指标影响分析!D10=TRUE,动因指标对成果指标影响分析!E10+动因指标对成果指标影响分析!F10,IF(多维联动分析!B4="YES",多维联动分析!D42,假设!G71))</f>
        <v>3.59</v>
      </c>
      <c r="H28" s="1404">
        <f>IF(动因指标对成果指标影响分析!E10=TRUE,动因指标对成果指标影响分析!F10+动因指标对成果指标影响分析!G10,IF(多维联动分析!C4="YES",多维联动分析!E42,假设!H71))</f>
        <v>3.59</v>
      </c>
      <c r="I28" s="1404">
        <f>IF(动因指标对成果指标影响分析!F10=TRUE,动因指标对成果指标影响分析!G10+动因指标对成果指标影响分析!H10,IF(多维联动分析!D4="YES",多维联动分析!F42,假设!I71))</f>
        <v>3.59</v>
      </c>
      <c r="J28" s="1404">
        <f>IF(动因指标对成果指标影响分析!G10=TRUE,动因指标对成果指标影响分析!H10+动因指标对成果指标影响分析!I10,IF(多维联动分析!E4="YES",多维联动分析!G42,假设!J71))</f>
        <v>3.59</v>
      </c>
      <c r="K28" s="1404">
        <f>IF(动因指标对成果指标影响分析!H10=TRUE,动因指标对成果指标影响分析!I10+动因指标对成果指标影响分析!J10,IF(多维联动分析!F4="YES",多维联动分析!H42,假设!K71))</f>
        <v>3.59</v>
      </c>
      <c r="L28" s="1369"/>
    </row>
    <row r="29" spans="1:12" ht="16.2" outlineLevel="1" thickBot="1">
      <c r="A29" s="1399"/>
      <c r="B29" s="1403" t="s">
        <v>1528</v>
      </c>
      <c r="C29" s="1908"/>
      <c r="D29" s="1402"/>
      <c r="E29" s="1402"/>
      <c r="F29" s="1632">
        <v>8.48461</v>
      </c>
      <c r="G29" s="1632">
        <v>8.48461</v>
      </c>
      <c r="H29" s="1632">
        <v>8.48461</v>
      </c>
      <c r="I29" s="1632">
        <v>8.48461</v>
      </c>
      <c r="J29" s="1632">
        <v>8.48461</v>
      </c>
      <c r="K29" s="1632">
        <v>8.48461</v>
      </c>
      <c r="L29" s="1369"/>
    </row>
    <row r="30" spans="1:12" ht="15.6" outlineLevel="1" thickBot="1">
      <c r="A30" s="1395"/>
      <c r="B30" s="1403" t="s">
        <v>1529</v>
      </c>
      <c r="C30" s="1908"/>
      <c r="D30" s="1402"/>
      <c r="E30" s="1402"/>
      <c r="F30" s="1406"/>
      <c r="G30" s="1406"/>
      <c r="H30" s="1406"/>
      <c r="I30" s="1406"/>
      <c r="J30" s="1406"/>
      <c r="K30" s="1406"/>
      <c r="L30" s="1369" t="s">
        <v>1538</v>
      </c>
    </row>
    <row r="31" spans="1:12" ht="15.6" outlineLevel="1" thickBot="1">
      <c r="A31" s="1407"/>
      <c r="B31" s="1401" t="s">
        <v>545</v>
      </c>
      <c r="C31" s="1909"/>
      <c r="D31" s="1405">
        <v>0.25</v>
      </c>
      <c r="E31" s="1405">
        <v>0.25</v>
      </c>
      <c r="F31" s="1405">
        <v>0.25</v>
      </c>
      <c r="G31" s="1405">
        <v>0.25</v>
      </c>
      <c r="H31" s="1405">
        <v>0.25</v>
      </c>
      <c r="I31" s="1405">
        <v>0.25</v>
      </c>
      <c r="J31" s="1405">
        <v>0.25</v>
      </c>
      <c r="K31" s="1405">
        <v>0.25</v>
      </c>
      <c r="L31" s="1369"/>
    </row>
    <row r="32" spans="1:12" ht="15.6" outlineLevel="1" thickBot="1">
      <c r="A32" s="1395"/>
      <c r="B32" s="1400" t="s">
        <v>1426</v>
      </c>
      <c r="C32" s="1388"/>
      <c r="D32" s="1388">
        <f t="shared" ref="D32:E32" si="12">D33*D39</f>
        <v>30.943724440566164</v>
      </c>
      <c r="E32" s="1388">
        <f t="shared" si="12"/>
        <v>32.885650848493334</v>
      </c>
      <c r="F32" s="1388">
        <f>F33*F39</f>
        <v>32.048191689657067</v>
      </c>
      <c r="G32" s="1388">
        <f ca="1">G33*G39</f>
        <v>56.804262511801575</v>
      </c>
      <c r="H32" s="1388">
        <f t="shared" ref="H32:K32" ca="1" si="13">H33*H39</f>
        <v>59.431532061594531</v>
      </c>
      <c r="I32" s="1388">
        <f t="shared" ca="1" si="13"/>
        <v>60.381303036817734</v>
      </c>
      <c r="J32" s="1388">
        <f t="shared" ca="1" si="13"/>
        <v>61.029351530318664</v>
      </c>
      <c r="K32" s="1388">
        <f t="shared" ca="1" si="13"/>
        <v>61.664411011641299</v>
      </c>
      <c r="L32" s="1369"/>
    </row>
    <row r="33" spans="1:12" ht="15.6" outlineLevel="1" thickBot="1">
      <c r="A33" s="1395"/>
      <c r="B33" s="1403" t="s">
        <v>1533</v>
      </c>
      <c r="C33" s="1388"/>
      <c r="D33" s="1388">
        <f t="shared" ref="D33:E33" si="14">D35+D34-D36-D37-D38</f>
        <v>678.34872681600018</v>
      </c>
      <c r="E33" s="1388">
        <f t="shared" si="14"/>
        <v>714.76607939299993</v>
      </c>
      <c r="F33" s="1388">
        <f>F35+F34-F36-F37-F38</f>
        <v>646.66279924489982</v>
      </c>
      <c r="G33" s="1388">
        <f ca="1">G35+G34-G36-G37-G38</f>
        <v>1141.0512197870987</v>
      </c>
      <c r="H33" s="1388">
        <f t="shared" ref="H33:K33" ca="1" si="15">H35+H34-H36-H37-H38</f>
        <v>1188.724132037504</v>
      </c>
      <c r="I33" s="1388">
        <f t="shared" ca="1" si="15"/>
        <v>1207.7197114714327</v>
      </c>
      <c r="J33" s="1388">
        <f t="shared" ca="1" si="15"/>
        <v>1220.6802669335921</v>
      </c>
      <c r="K33" s="1388">
        <f t="shared" ca="1" si="15"/>
        <v>1233.3809205453526</v>
      </c>
      <c r="L33" s="1369"/>
    </row>
    <row r="34" spans="1:12" ht="15.6" outlineLevel="1" thickBot="1">
      <c r="A34" s="1395"/>
      <c r="B34" s="1401" t="s">
        <v>1427</v>
      </c>
      <c r="C34" s="1908"/>
      <c r="D34" s="1730">
        <f t="shared" ref="D34:E34" si="16">AVERAGE(C43:D43)</f>
        <v>1247.1810091495001</v>
      </c>
      <c r="E34" s="1730">
        <f t="shared" si="16"/>
        <v>1345.5853782303</v>
      </c>
      <c r="F34" s="1730">
        <f>AVERAGE(E43:F43)</f>
        <v>1357.77650137095</v>
      </c>
      <c r="G34" s="1388">
        <f ca="1">AVERAGE(F43:G43)</f>
        <v>1334.1913841014584</v>
      </c>
      <c r="H34" s="1388">
        <f t="shared" ref="H34:K34" ca="1" si="17">AVERAGE(G43:H43)</f>
        <v>1351.8236202898518</v>
      </c>
      <c r="I34" s="1388">
        <f t="shared" ca="1" si="17"/>
        <v>1371.0862641780857</v>
      </c>
      <c r="J34" s="1388">
        <f t="shared" ca="1" si="17"/>
        <v>1391.9660681778164</v>
      </c>
      <c r="K34" s="1388">
        <f t="shared" ca="1" si="17"/>
        <v>1414.588357282604</v>
      </c>
      <c r="L34" s="1369"/>
    </row>
    <row r="35" spans="1:12" ht="15.6" outlineLevel="1" thickBot="1">
      <c r="A35" s="1395"/>
      <c r="B35" s="1401" t="s">
        <v>1692</v>
      </c>
      <c r="C35" s="1908"/>
      <c r="D35" s="1731">
        <f>AVERAGE((历史资产负债表!F34+历史资产负债表!F44+历史资产负债表!F45+历史资产负债表!F40),(历史资产负债表!E34+历史资产负债表!E44+历史资产负债表!E45+历史资产负债表!E40))</f>
        <v>106.44778631060001</v>
      </c>
      <c r="E35" s="1731">
        <f>AVERAGE((历史资产负债表!G34+历史资产负债表!G44+历史资产负债表!G45+历史资产负债表!G40),(历史资产负债表!F34+历史资产负债表!F44+历史资产负债表!F45+历史资产负债表!F40))</f>
        <v>106.23207246375</v>
      </c>
      <c r="F35" s="1388">
        <f>AVERAGE(SUM(资产负债表!E34,资产负债表!E41,资产负债表!E45:E46),SUM(资产负债表!F34,资产负债表!F41,资产负债表!F45:F46))</f>
        <v>12.072321345700001</v>
      </c>
      <c r="G35" s="1388">
        <f ca="1">AVERAGE(SUM(资产负债表!F34,资产负债表!F41,资产负债表!F45:F46),SUM(资产负债表!G34,资产负债表!G41,资产负债表!G45:G46))</f>
        <v>6.1619709679000003</v>
      </c>
      <c r="H35" s="1388">
        <f ca="1">AVERAGE(SUM(资产负债表!G34,资产负债表!G41,资产负债表!G45:G46),SUM(资产负债表!H34,资产负债表!H41,资产负债表!H45:H46))</f>
        <v>0.43497096790000001</v>
      </c>
      <c r="I35" s="1388">
        <f ca="1">AVERAGE(SUM(资产负债表!H34,资产负债表!H41,资产负债表!H45:H46),SUM(资产负债表!I34,资产负债表!I41,资产负债表!I45:I46))</f>
        <v>0.43497096790000001</v>
      </c>
      <c r="J35" s="1388">
        <f ca="1">AVERAGE(SUM(资产负债表!I34,资产负债表!I41,资产负债表!I45:I46),SUM(资产负债表!J34,资产负债表!J41,资产负债表!J45:J46))</f>
        <v>0.43497096790000001</v>
      </c>
      <c r="K35" s="1388">
        <f ca="1">AVERAGE(SUM(资产负债表!J34,资产负债表!J41,资产负债表!J45:J46),SUM(资产负债表!K34,资产负债表!K41,资产负债表!K45:K46))</f>
        <v>0.43497096790000001</v>
      </c>
      <c r="L35" s="1369"/>
    </row>
    <row r="36" spans="1:12" ht="15.6" outlineLevel="1" thickBot="1">
      <c r="A36" s="1395"/>
      <c r="B36" s="1401" t="s">
        <v>1530</v>
      </c>
      <c r="C36" s="1908"/>
      <c r="D36" s="1402"/>
      <c r="E36" s="1402"/>
      <c r="F36" s="1388"/>
      <c r="G36" s="1388"/>
      <c r="H36" s="1388"/>
      <c r="I36" s="1388"/>
      <c r="J36" s="1388"/>
      <c r="K36" s="1388"/>
      <c r="L36" s="1369" t="s">
        <v>1787</v>
      </c>
    </row>
    <row r="37" spans="1:12" ht="15.6" outlineLevel="1" thickBot="1">
      <c r="A37" s="1395"/>
      <c r="B37" s="1408" t="s">
        <v>1539</v>
      </c>
      <c r="C37" s="1910"/>
      <c r="D37" s="1732">
        <f>AVERAGE((历史资产负债表!F34+历史资产负债表!F35+历史资产负债表!F37+历史资产负债表!F38+历史资产负债表!F39+历史资产负债表!F40+历史资产负债表!F41+历史资产负债表!F48),(历史资产负债表!E34+历史资产负债表!E35+历史资产负债表!E37+历史资产负债表!E38+历史资产负债表!E39+历史资产负债表!E40+历史资产负债表!E41+历史资产负债表!E48))</f>
        <v>433.09503153160006</v>
      </c>
      <c r="E37" s="1732">
        <f>AVERAGE((历史资产负债表!G34+历史资产负债表!G35+历史资产负债表!G37+历史资产负债表!G38+历史资产负债表!G39+历史资产负债表!G40+历史资产负债表!G41+历史资产负债表!G48),(历史资产负债表!F34+历史资产负债表!F35+历史资产负债表!F37+历史资产负债表!F38+历史资产负债表!F39+历史资产负债表!F40+历史资产负债表!F41+历史资产负债表!F48))</f>
        <v>481.13001075385</v>
      </c>
      <c r="F37" s="1732">
        <f>AVERAGE((历史资产负债表!H34+历史资产负债表!H35+历史资产负债表!H37+历史资产负债表!H38+历史资产负债表!H39+历史资产负债表!H40+历史资产负债表!H41+历史资产负债表!H48),(历史资产负债表!G34+历史资产负债表!G35+历史资产负债表!G37+历史资产负债表!G38+历史资产负债表!G39+历史资产负债表!G40+历史资产负债表!G41+历史资产负债表!G48))</f>
        <v>497.15349954880003</v>
      </c>
      <c r="G37" s="1409"/>
      <c r="H37" s="1409"/>
      <c r="I37" s="1409"/>
      <c r="J37" s="1409"/>
      <c r="K37" s="1409"/>
      <c r="L37" s="1410" t="s">
        <v>1540</v>
      </c>
    </row>
    <row r="38" spans="1:12" ht="15.6" outlineLevel="1" thickBot="1">
      <c r="A38" s="1395"/>
      <c r="B38" s="1401" t="s">
        <v>1428</v>
      </c>
      <c r="C38" s="1908"/>
      <c r="D38" s="1731">
        <f>AVERAGE(资产负债表!C25,资产负债表!D25)</f>
        <v>242.18503711249997</v>
      </c>
      <c r="E38" s="1731">
        <f>AVERAGE(资产负债表!D25,资产负债表!E25)</f>
        <v>255.92136054719998</v>
      </c>
      <c r="F38" s="1388">
        <f>AVERAGE(资产负债表!E25,资产负债表!F25)</f>
        <v>226.03252392295002</v>
      </c>
      <c r="G38" s="1388">
        <f ca="1">AVERAGE(资产负债表!F25,资产负债表!G25)</f>
        <v>199.30213528225971</v>
      </c>
      <c r="H38" s="1388">
        <f ca="1">AVERAGE(资产负债表!G25,资产负债表!H25)</f>
        <v>163.53445922024775</v>
      </c>
      <c r="I38" s="1388">
        <f ca="1">AVERAGE(资产负债表!H25,资产负债表!I25)</f>
        <v>163.8015236745531</v>
      </c>
      <c r="J38" s="1388">
        <f ca="1">AVERAGE(资产负债表!I25,资产负债表!J25)</f>
        <v>171.72077221212442</v>
      </c>
      <c r="K38" s="1388">
        <f ca="1">AVERAGE(资产负债表!J25,资产负债表!K25)</f>
        <v>181.6424077051515</v>
      </c>
      <c r="L38" s="1369" t="s">
        <v>1541</v>
      </c>
    </row>
    <row r="39" spans="1:12" ht="15.6" outlineLevel="1" thickBot="1">
      <c r="A39" s="1407"/>
      <c r="B39" s="1403" t="s">
        <v>1429</v>
      </c>
      <c r="C39" s="1411"/>
      <c r="D39" s="1736">
        <f t="shared" ref="D39:E39" si="18">IFERROR((D41*(D35-D36))/(D34+D35-D36)*(1-D31)+D40*D34/(D34+D35-D36),"0")</f>
        <v>4.561624901370169E-2</v>
      </c>
      <c r="E39" s="1736">
        <f t="shared" si="18"/>
        <v>4.6008969642796674E-2</v>
      </c>
      <c r="F39" s="1411">
        <f>IFERROR((F41*(F35-F36))/(F34+F35-F36)*(1-F31)+F40*F34/(F34+F35-F36),"0")</f>
        <v>4.9559355706064033E-2</v>
      </c>
      <c r="G39" s="1411">
        <f ca="1">IFERROR((G41*(G35-G36))/(G34+G35-G36)*(1-G31)+G40*G34/(G34+G35-G36),"0")</f>
        <v>4.9782394976450144E-2</v>
      </c>
      <c r="H39" s="1411">
        <f t="shared" ref="H39:K39" ca="1" si="19">IFERROR((H41*(H35-H36))/(H34+H35-H36)*(1-H31)+H40*H34/(H34+H35-H36),"0")</f>
        <v>4.9996067598734907E-2</v>
      </c>
      <c r="I39" s="1411">
        <f t="shared" ca="1" si="19"/>
        <v>4.9996122828244484E-2</v>
      </c>
      <c r="J39" s="1411">
        <f t="shared" ca="1" si="19"/>
        <v>4.9996180968524519E-2</v>
      </c>
      <c r="K39" s="1411">
        <f t="shared" ca="1" si="19"/>
        <v>4.999624202422049E-2</v>
      </c>
      <c r="L39" s="1369" t="s">
        <v>1542</v>
      </c>
    </row>
    <row r="40" spans="1:12" ht="15.6" outlineLevel="1" thickBot="1">
      <c r="A40" s="1407"/>
      <c r="B40" s="1401" t="s">
        <v>1430</v>
      </c>
      <c r="C40" s="1911"/>
      <c r="D40" s="1735">
        <v>0.05</v>
      </c>
      <c r="E40" s="1735">
        <v>0.05</v>
      </c>
      <c r="F40" s="1735">
        <v>0.05</v>
      </c>
      <c r="G40" s="1735">
        <v>0.05</v>
      </c>
      <c r="H40" s="1735">
        <f>G40</f>
        <v>0.05</v>
      </c>
      <c r="I40" s="1735">
        <f t="shared" ref="I40:K40" si="20">H40</f>
        <v>0.05</v>
      </c>
      <c r="J40" s="1735">
        <f t="shared" si="20"/>
        <v>0.05</v>
      </c>
      <c r="K40" s="1735">
        <f t="shared" si="20"/>
        <v>0.05</v>
      </c>
      <c r="L40" s="1369"/>
    </row>
    <row r="41" spans="1:12" ht="15.6" outlineLevel="1" thickBot="1">
      <c r="A41" s="1407"/>
      <c r="B41" s="1401" t="s">
        <v>1534</v>
      </c>
      <c r="C41" s="1412"/>
      <c r="D41" s="1734">
        <f t="shared" ref="D41:E41" si="21">IFERROR(D42/(D35-D36),"0")</f>
        <v>-7.6604975120915094E-3</v>
      </c>
      <c r="E41" s="1734">
        <f t="shared" si="21"/>
        <v>-6.0577298293751419E-3</v>
      </c>
      <c r="F41" s="1412">
        <f>IFERROR(F42/(F35-F36),"0")</f>
        <v>0</v>
      </c>
      <c r="G41" s="1412">
        <f ca="1">IFERROR(G42/(G35-G36),"0")</f>
        <v>3.5553396979840384E-3</v>
      </c>
      <c r="H41" s="1412">
        <f t="shared" ref="H41:K41" ca="1" si="22">IFERROR(H42/(H35-H36),"0")</f>
        <v>5.0366349979101672E-2</v>
      </c>
      <c r="I41" s="1412">
        <f t="shared" ca="1" si="22"/>
        <v>5.0366349979101672E-2</v>
      </c>
      <c r="J41" s="1412">
        <f t="shared" ca="1" si="22"/>
        <v>5.0366349979101672E-2</v>
      </c>
      <c r="K41" s="1412">
        <f t="shared" ca="1" si="22"/>
        <v>5.0366349979101672E-2</v>
      </c>
      <c r="L41" s="1369"/>
    </row>
    <row r="42" spans="1:12" ht="15.6" outlineLevel="1" thickBot="1">
      <c r="A42" s="1399"/>
      <c r="B42" s="1403" t="s">
        <v>1535</v>
      </c>
      <c r="C42" s="1912"/>
      <c r="D42" s="1731">
        <f t="shared" ref="D42:E42" si="23">D15</f>
        <v>-0.81544300219999999</v>
      </c>
      <c r="E42" s="1731">
        <f t="shared" si="23"/>
        <v>-0.64352519419999998</v>
      </c>
      <c r="F42" s="1733">
        <f>债务!F35</f>
        <v>0</v>
      </c>
      <c r="G42" s="1394">
        <f ca="1">债务!G35</f>
        <v>2.1907900000000001E-2</v>
      </c>
      <c r="H42" s="1394">
        <f ca="1">债务!H35</f>
        <v>2.1907900000000001E-2</v>
      </c>
      <c r="I42" s="1394">
        <f ca="1">债务!I35</f>
        <v>2.1907900000000001E-2</v>
      </c>
      <c r="J42" s="1394">
        <f ca="1">债务!J35</f>
        <v>2.1907900000000001E-2</v>
      </c>
      <c r="K42" s="1394">
        <f ca="1">债务!K35</f>
        <v>2.1907900000000001E-2</v>
      </c>
      <c r="L42" s="1369"/>
    </row>
    <row r="43" spans="1:12" ht="15.6" thickBot="1">
      <c r="A43" s="1395"/>
      <c r="B43" s="1403" t="s">
        <v>1632</v>
      </c>
      <c r="C43" s="1394">
        <f>(1-资产负债表!C70)/资产负债表!C70*资产负债表!C54</f>
        <v>1192.9871028883001</v>
      </c>
      <c r="D43" s="1394">
        <f>(1-资产负债表!D70)/资产负债表!D70*资产负债表!D54</f>
        <v>1301.3749154107002</v>
      </c>
      <c r="E43" s="1394">
        <f>(1-资产负债表!E70)/资产负债表!E70*资产负债表!E54</f>
        <v>1389.7958410498998</v>
      </c>
      <c r="F43" s="1394">
        <f>(1-资产负债表!F70)/资产负债表!F70*资产负债表!F54</f>
        <v>1325.7571616920002</v>
      </c>
      <c r="G43" s="1394">
        <f ca="1">(1-资产负债表!G70)/资产负债表!G70*资产负债表!G54</f>
        <v>1342.6256065109167</v>
      </c>
      <c r="H43" s="1394">
        <f ca="1">(1-资产负债表!H70)/资产负债表!H70*资产负债表!H54</f>
        <v>1361.0216340687869</v>
      </c>
      <c r="I43" s="1394">
        <f ca="1">(1-资产负债表!I70)/资产负债表!I70*资产负债表!I54</f>
        <v>1381.1508942873845</v>
      </c>
      <c r="J43" s="1394">
        <f ca="1">(1-资产负债表!J70)/资产负债表!J70*资产负债表!J54</f>
        <v>1402.781242068248</v>
      </c>
      <c r="K43" s="1394">
        <f ca="1">(1-资产负债表!K70)/资产负债表!K70*资产负债表!K54</f>
        <v>1426.3954724969599</v>
      </c>
      <c r="L43" s="1369"/>
    </row>
    <row r="44" spans="1:12" hidden="1">
      <c r="A44" s="1395"/>
      <c r="B44" s="1413"/>
      <c r="C44" s="1414"/>
      <c r="D44" s="1414"/>
      <c r="E44" s="1414"/>
      <c r="F44" s="1414" t="s">
        <v>1829</v>
      </c>
      <c r="G44" s="1414">
        <f ca="1">G25</f>
        <v>23.534420657935943</v>
      </c>
      <c r="H44" s="1414"/>
      <c r="I44" s="1414"/>
      <c r="J44" s="1414"/>
      <c r="K44" s="1414"/>
      <c r="L44" s="1373"/>
    </row>
    <row r="45" spans="1:12" hidden="1">
      <c r="A45" s="1395"/>
      <c r="B45" s="1413"/>
      <c r="C45" s="1414"/>
      <c r="D45" s="1414"/>
      <c r="E45" s="1414"/>
      <c r="F45" s="1414" t="s">
        <v>1830</v>
      </c>
      <c r="G45" s="1414">
        <f>G27*(1-G31)</f>
        <v>9.0559574999999999</v>
      </c>
      <c r="H45" s="1414"/>
      <c r="I45" s="1414"/>
      <c r="J45" s="1414"/>
      <c r="K45" s="1414"/>
      <c r="L45" s="1373"/>
    </row>
    <row r="46" spans="1:12" hidden="1">
      <c r="A46" s="1395"/>
      <c r="B46" s="1413"/>
      <c r="C46" s="1414"/>
      <c r="D46" s="1414"/>
      <c r="E46" s="1414"/>
      <c r="F46" s="1414" t="s">
        <v>1831</v>
      </c>
      <c r="G46" s="1414">
        <f ca="1">G40*G34</f>
        <v>66.709569205072924</v>
      </c>
      <c r="H46" s="1414"/>
      <c r="I46" s="1414"/>
      <c r="J46" s="1414"/>
      <c r="K46" s="1414"/>
      <c r="L46" s="1373"/>
    </row>
    <row r="47" spans="1:12" hidden="1">
      <c r="A47" s="1395"/>
      <c r="B47" s="1413"/>
      <c r="C47" s="1414"/>
      <c r="D47" s="1414"/>
      <c r="E47" s="1414"/>
      <c r="F47" s="1414" t="s">
        <v>1832</v>
      </c>
      <c r="G47" s="1414">
        <f ca="1">G35*G41*(1-G31)-G26*(1-G31)</f>
        <v>1.9717109999999975E-3</v>
      </c>
      <c r="H47" s="1414"/>
      <c r="I47" s="1414"/>
      <c r="J47" s="1414"/>
      <c r="K47" s="1414"/>
      <c r="L47" s="1373"/>
    </row>
    <row r="48" spans="1:12" hidden="1">
      <c r="A48" s="1395"/>
      <c r="B48" s="1413"/>
      <c r="C48" s="1414"/>
      <c r="D48" s="1414"/>
      <c r="E48" s="1414"/>
      <c r="F48" s="1414" t="s">
        <v>1833</v>
      </c>
      <c r="G48" s="1414">
        <f ca="1">G38*G39</f>
        <v>9.9217376182713526</v>
      </c>
      <c r="H48" s="1414"/>
      <c r="I48" s="1414"/>
      <c r="J48" s="1414"/>
      <c r="K48" s="1414"/>
      <c r="L48" s="1373"/>
    </row>
    <row r="49" spans="1:12" hidden="1">
      <c r="A49" s="1395"/>
      <c r="B49" s="1413"/>
      <c r="C49" s="1414"/>
      <c r="D49" s="1414"/>
      <c r="E49" s="1414"/>
      <c r="F49" s="1414"/>
      <c r="G49" s="1414">
        <f ca="1">SUM(G44:G45)-G46-G47+G48</f>
        <v>-24.199425139865632</v>
      </c>
      <c r="H49" s="1414"/>
      <c r="I49" s="1414"/>
      <c r="J49" s="1414"/>
      <c r="K49" s="1414"/>
      <c r="L49" s="1373"/>
    </row>
    <row r="50" spans="1:12" ht="16.2" thickBot="1">
      <c r="A50" s="1395"/>
      <c r="B50" s="2014" t="s">
        <v>2314</v>
      </c>
      <c r="C50" s="2015">
        <f>IFERROR((C51+C58+C59)/C60,0)</f>
        <v>1.7353440530831397E-2</v>
      </c>
      <c r="D50" s="2015">
        <f t="shared" ref="D50:K50" si="24">IFERROR((D51+D58+D59)/D60,0)</f>
        <v>2.0873832583204004E-2</v>
      </c>
      <c r="E50" s="2015">
        <f>IFERROR((E51+E58+E59)/E60,0)</f>
        <v>2.1987294748559382E-2</v>
      </c>
      <c r="F50" s="2015">
        <f t="shared" si="24"/>
        <v>2.34420767867566E-2</v>
      </c>
      <c r="G50" s="2015">
        <f t="shared" ca="1" si="24"/>
        <v>1.7605716901955084E-2</v>
      </c>
      <c r="H50" s="2015">
        <f t="shared" ca="1" si="24"/>
        <v>1.8270397755648201E-2</v>
      </c>
      <c r="I50" s="2015">
        <f t="shared" ca="1" si="24"/>
        <v>1.8847819773085188E-2</v>
      </c>
      <c r="J50" s="2015">
        <f t="shared" ca="1" si="24"/>
        <v>1.9359738337225929E-2</v>
      </c>
      <c r="K50" s="2015">
        <f t="shared" ca="1" si="24"/>
        <v>1.989066574127768E-2</v>
      </c>
      <c r="L50" s="1369"/>
    </row>
    <row r="51" spans="1:12" ht="15.6" thickBot="1">
      <c r="A51" s="1395"/>
      <c r="B51" s="2018" t="s">
        <v>2257</v>
      </c>
      <c r="C51" s="2016">
        <f>SUM(C52:C59)</f>
        <v>173.53440530831398</v>
      </c>
      <c r="D51" s="2016">
        <f t="shared" ref="D51:K51" si="25">SUM(D52:D59)</f>
        <v>206.92072431484004</v>
      </c>
      <c r="E51" s="2016">
        <f t="shared" si="25"/>
        <v>218.02184213349381</v>
      </c>
      <c r="F51" s="2016">
        <f t="shared" si="25"/>
        <v>233.73781135366599</v>
      </c>
      <c r="G51" s="2016">
        <f t="shared" ca="1" si="25"/>
        <v>241.11029297227486</v>
      </c>
      <c r="H51" s="2016">
        <f t="shared" ca="1" si="25"/>
        <v>250.21309726360212</v>
      </c>
      <c r="I51" s="2016">
        <f t="shared" ca="1" si="25"/>
        <v>258.12089179240166</v>
      </c>
      <c r="J51" s="2016">
        <f t="shared" ca="1" si="25"/>
        <v>265.13161652830917</v>
      </c>
      <c r="K51" s="2016">
        <f t="shared" ca="1" si="25"/>
        <v>272.402667326798</v>
      </c>
      <c r="L51" s="1369"/>
    </row>
    <row r="52" spans="1:12" ht="15.6" thickBot="1">
      <c r="A52" s="1395"/>
      <c r="B52" s="2020" t="s">
        <v>2258</v>
      </c>
      <c r="C52" s="2017">
        <f>实际收入!C33</f>
        <v>124.4617439367</v>
      </c>
      <c r="D52" s="2017">
        <f>实际收入!D33</f>
        <v>125.15229154740001</v>
      </c>
      <c r="E52" s="2017">
        <f>实际收入!E33</f>
        <v>126.68733873859999</v>
      </c>
      <c r="F52" s="2017">
        <f>实际收入!F33</f>
        <v>142.6093738479</v>
      </c>
      <c r="G52" s="2017">
        <f ca="1">实际收入!G33</f>
        <v>154.85442231883817</v>
      </c>
      <c r="H52" s="2017">
        <f ca="1">实际收入!H33</f>
        <v>159.98010170253076</v>
      </c>
      <c r="I52" s="2017">
        <f ca="1">实际收入!I33</f>
        <v>162.89398038732321</v>
      </c>
      <c r="J52" s="2017">
        <f ca="1">实际收入!J33</f>
        <v>164.98952485514025</v>
      </c>
      <c r="K52" s="2017">
        <f ca="1">实际收入!K33</f>
        <v>166.44525523956906</v>
      </c>
      <c r="L52" s="1369"/>
    </row>
    <row r="53" spans="1:12" ht="15.6" thickBot="1">
      <c r="A53" s="1395"/>
      <c r="B53" s="2020" t="s">
        <v>2259</v>
      </c>
      <c r="C53" s="2017">
        <f>实际收入!C22</f>
        <v>0</v>
      </c>
      <c r="D53" s="2017">
        <f>实际收入!D22</f>
        <v>33.461042688100001</v>
      </c>
      <c r="E53" s="2017">
        <f>实际收入!E22</f>
        <v>33.985949285899999</v>
      </c>
      <c r="F53" s="2017">
        <f>实际收入!F22</f>
        <v>36.522841977200002</v>
      </c>
      <c r="G53" s="2017">
        <f>实际收入!G22</f>
        <v>30.054272150000003</v>
      </c>
      <c r="H53" s="2017">
        <f>实际收入!H22</f>
        <v>31.411709940364826</v>
      </c>
      <c r="I53" s="2017">
        <f>实际收入!I22</f>
        <v>32.830458061105112</v>
      </c>
      <c r="J53" s="2017">
        <f>实际收入!J22</f>
        <v>34.313285667932767</v>
      </c>
      <c r="K53" s="2017">
        <f>实际收入!K22</f>
        <v>35.863086988848657</v>
      </c>
      <c r="L53" s="1369"/>
    </row>
    <row r="54" spans="1:12" ht="15.6" thickBot="1">
      <c r="A54" s="1395"/>
      <c r="B54" s="2020" t="s">
        <v>2260</v>
      </c>
      <c r="C54" s="2017">
        <f>C55-C56</f>
        <v>8.4266812356069813</v>
      </c>
      <c r="D54" s="2017">
        <f t="shared" ref="D54:K54" si="26">D55-D56</f>
        <v>7.8877070423700033</v>
      </c>
      <c r="E54" s="2017">
        <f t="shared" si="26"/>
        <v>9.4478547622469886</v>
      </c>
      <c r="F54" s="2017">
        <f t="shared" si="26"/>
        <v>11.26203637413299</v>
      </c>
      <c r="G54" s="2017">
        <f t="shared" ca="1" si="26"/>
        <v>11.336585479761066</v>
      </c>
      <c r="H54" s="2017">
        <f t="shared" ca="1" si="26"/>
        <v>11.541296584359507</v>
      </c>
      <c r="I54" s="2017">
        <f t="shared" ca="1" si="26"/>
        <v>11.848344756807837</v>
      </c>
      <c r="J54" s="2017">
        <f t="shared" ca="1" si="26"/>
        <v>12.125963322055394</v>
      </c>
      <c r="K54" s="2017">
        <f t="shared" ca="1" si="26"/>
        <v>12.511281161821895</v>
      </c>
      <c r="L54" s="1369"/>
    </row>
    <row r="55" spans="1:12" ht="15.6" thickBot="1">
      <c r="A55" s="1395"/>
      <c r="B55" s="2020" t="s">
        <v>2261</v>
      </c>
      <c r="C55" s="2017">
        <f>损益表!C4*17%-损益表!C5*17%+损益表!C7</f>
        <v>8.4266812356069813</v>
      </c>
      <c r="D55" s="2017">
        <f>损益表!D4*17%-损益表!D5*17%+损益表!D7</f>
        <v>7.8877070423700033</v>
      </c>
      <c r="E55" s="2017">
        <f>损益表!E4*17%-损益表!E5*17%+损益表!E7</f>
        <v>9.4478547622469886</v>
      </c>
      <c r="F55" s="2017">
        <f>损益表!F4*17%-损益表!F5*17%+损益表!F7</f>
        <v>11.26203637413299</v>
      </c>
      <c r="G55" s="2017">
        <f ca="1">损益表!G4*17%-损益表!G5*17%+损益表!G7</f>
        <v>11.336585479761066</v>
      </c>
      <c r="H55" s="2017">
        <f ca="1">损益表!H4*17%-损益表!H5*17%+损益表!H7</f>
        <v>11.541296584359507</v>
      </c>
      <c r="I55" s="2017">
        <f ca="1">损益表!I4*17%-损益表!I5*17%+损益表!I7</f>
        <v>11.848344756807837</v>
      </c>
      <c r="J55" s="2017">
        <f ca="1">损益表!J4*17%-损益表!J5*17%+损益表!J7</f>
        <v>12.125963322055394</v>
      </c>
      <c r="K55" s="2017">
        <f ca="1">损益表!K4*17%-损益表!K5*17%+损益表!K7</f>
        <v>12.511281161821895</v>
      </c>
      <c r="L55" s="1369"/>
    </row>
    <row r="56" spans="1:12" ht="15.6" thickBot="1">
      <c r="A56" s="1395"/>
      <c r="B56" s="2020" t="s">
        <v>2262</v>
      </c>
      <c r="C56" s="2017">
        <f>现金流量表!C38</f>
        <v>0</v>
      </c>
      <c r="D56" s="2017">
        <f>现金流量表!D38</f>
        <v>0</v>
      </c>
      <c r="E56" s="2017">
        <f>现金流量表!E38</f>
        <v>0</v>
      </c>
      <c r="F56" s="2017">
        <f>现金流量表!F38</f>
        <v>0</v>
      </c>
      <c r="G56" s="2017">
        <f>现金流量表!G38</f>
        <v>0</v>
      </c>
      <c r="H56" s="2017">
        <f>现金流量表!H38</f>
        <v>0</v>
      </c>
      <c r="I56" s="2017">
        <f>现金流量表!I38</f>
        <v>0</v>
      </c>
      <c r="J56" s="2017">
        <f>现金流量表!J38</f>
        <v>0</v>
      </c>
      <c r="K56" s="2017">
        <f>现金流量表!K38</f>
        <v>0</v>
      </c>
      <c r="L56" s="1369"/>
    </row>
    <row r="57" spans="1:12" ht="15.6" thickBot="1">
      <c r="A57" s="1395"/>
      <c r="B57" s="2020" t="s">
        <v>2263</v>
      </c>
      <c r="C57" s="2017">
        <f>损益表!C15</f>
        <v>32.219298900399991</v>
      </c>
      <c r="D57" s="2017">
        <f>损益表!D15</f>
        <v>30.714374477400014</v>
      </c>
      <c r="E57" s="2017">
        <f>损益表!E15</f>
        <v>36.601739232399858</v>
      </c>
      <c r="F57" s="2017">
        <f>损益表!F15</f>
        <v>31.398566266399992</v>
      </c>
      <c r="G57" s="2017">
        <f ca="1">损益表!G15</f>
        <v>33.528427543914589</v>
      </c>
      <c r="H57" s="2017">
        <f ca="1">损益表!H15</f>
        <v>35.738692451987504</v>
      </c>
      <c r="I57" s="2017">
        <f ca="1">损益表!I15</f>
        <v>38.699763830357668</v>
      </c>
      <c r="J57" s="2017">
        <f ca="1">损益表!J15</f>
        <v>41.576879361125371</v>
      </c>
      <c r="K57" s="2017">
        <f ca="1">损益表!K15</f>
        <v>45.071762774736513</v>
      </c>
      <c r="L57" s="1369"/>
    </row>
    <row r="58" spans="1:12" ht="15.6" thickBot="1">
      <c r="A58" s="1395"/>
      <c r="B58" s="2019" t="s">
        <v>2264</v>
      </c>
      <c r="C58" s="2017">
        <f>关键参数底稿!E20</f>
        <v>0</v>
      </c>
      <c r="D58" s="2017">
        <f>关键参数底稿!F20</f>
        <v>1.8176015172</v>
      </c>
      <c r="E58" s="2017">
        <f>关键参数底稿!G20</f>
        <v>1.8511053520999998</v>
      </c>
      <c r="F58" s="2017">
        <f>关键参数底稿!H20</f>
        <v>0.68295651390000001</v>
      </c>
      <c r="G58" s="2017">
        <f>关键参数底稿!I20</f>
        <v>0</v>
      </c>
      <c r="H58" s="2017">
        <f>关键参数底稿!J20</f>
        <v>0</v>
      </c>
      <c r="I58" s="2017">
        <f>关键参数底稿!K20</f>
        <v>0</v>
      </c>
      <c r="J58" s="2017">
        <f>关键参数底稿!L20</f>
        <v>0</v>
      </c>
      <c r="K58" s="2017">
        <f>关键参数底稿!M20</f>
        <v>0</v>
      </c>
      <c r="L58" s="1369"/>
    </row>
    <row r="59" spans="1:12" ht="15.6" thickBot="1">
      <c r="A59" s="1395"/>
      <c r="B59" s="2019" t="s">
        <v>2265</v>
      </c>
      <c r="C59" s="2017">
        <f>关键参数底稿!E21</f>
        <v>0</v>
      </c>
      <c r="D59" s="2017">
        <f>关键参数底稿!F21</f>
        <v>0</v>
      </c>
      <c r="E59" s="2017">
        <f>关键参数底稿!G21</f>
        <v>0</v>
      </c>
      <c r="F59" s="2017">
        <f>关键参数底稿!H21</f>
        <v>0</v>
      </c>
      <c r="G59" s="2017">
        <f>关键参数底稿!I21</f>
        <v>0</v>
      </c>
      <c r="H59" s="2017">
        <f>关键参数底稿!J21</f>
        <v>0</v>
      </c>
      <c r="I59" s="2017">
        <f>关键参数底稿!K21</f>
        <v>0</v>
      </c>
      <c r="J59" s="2017">
        <f>关键参数底稿!L21</f>
        <v>0</v>
      </c>
      <c r="K59" s="2017">
        <f>关键参数底稿!M21</f>
        <v>0</v>
      </c>
      <c r="L59" s="1369"/>
    </row>
    <row r="60" spans="1:12" ht="15.6" thickBot="1">
      <c r="A60" s="1395"/>
      <c r="B60" s="2019" t="s">
        <v>2266</v>
      </c>
      <c r="C60" s="2022">
        <v>10000</v>
      </c>
      <c r="D60" s="2022">
        <v>10000</v>
      </c>
      <c r="E60" s="2022">
        <v>10000</v>
      </c>
      <c r="F60" s="2022">
        <v>10000</v>
      </c>
      <c r="G60" s="2022">
        <v>13695</v>
      </c>
      <c r="H60" s="2022">
        <v>13695</v>
      </c>
      <c r="I60" s="2022">
        <v>13695</v>
      </c>
      <c r="J60" s="2022">
        <v>13695</v>
      </c>
      <c r="K60" s="2022">
        <v>13695</v>
      </c>
      <c r="L60" s="1369"/>
    </row>
    <row r="61" spans="1:12" ht="15.6">
      <c r="A61" s="1395"/>
      <c r="B61" s="1294" t="s">
        <v>2315</v>
      </c>
      <c r="C61" s="1639">
        <v>1550139.33</v>
      </c>
      <c r="D61" s="1639">
        <v>1658414.4</v>
      </c>
      <c r="E61" s="1639">
        <v>1877807.36</v>
      </c>
      <c r="F61" s="1639">
        <v>2112290.41</v>
      </c>
      <c r="G61" s="1414"/>
      <c r="H61" s="1414"/>
      <c r="I61" s="1414"/>
      <c r="J61" s="1414"/>
      <c r="K61" s="1414"/>
      <c r="L61" s="1373"/>
    </row>
    <row r="62" spans="1:12">
      <c r="A62" s="1395"/>
      <c r="B62" s="1413"/>
      <c r="C62" s="1414"/>
      <c r="D62" s="1414"/>
      <c r="E62" s="1414"/>
      <c r="F62" s="1414"/>
      <c r="G62" s="1414"/>
      <c r="H62" s="1399"/>
      <c r="I62" s="1399"/>
      <c r="J62" s="1399"/>
      <c r="K62" s="1399"/>
      <c r="L62" s="1373"/>
    </row>
    <row r="63" spans="1:12">
      <c r="B63" s="1415"/>
      <c r="C63" s="1416"/>
      <c r="D63" s="1416"/>
      <c r="E63" s="1416"/>
      <c r="F63" s="1417" t="s">
        <v>1795</v>
      </c>
      <c r="G63" s="1418">
        <f ca="1">(G35-G36)*G39</f>
        <v>0.30675767255741659</v>
      </c>
      <c r="H63" s="1399"/>
      <c r="I63" s="1399"/>
      <c r="J63" s="1399"/>
      <c r="K63" s="1399"/>
    </row>
    <row r="64" spans="1:12">
      <c r="E64" s="1399"/>
      <c r="G64" s="1399">
        <f>482876.8684058/10000</f>
        <v>48.287686840580001</v>
      </c>
      <c r="H64" s="1399"/>
      <c r="I64" s="1399"/>
      <c r="J64" s="1399"/>
      <c r="K64" s="1399"/>
    </row>
    <row r="65" spans="1:12">
      <c r="A65" s="1407"/>
      <c r="B65" s="1372" t="s">
        <v>1800</v>
      </c>
      <c r="C65" s="1395">
        <f ca="1">G26-A26</f>
        <v>1.9278952000000002E-2</v>
      </c>
      <c r="D65" s="1399"/>
      <c r="E65" s="1399"/>
      <c r="G65" s="1399">
        <f ca="1">G23-G64</f>
        <v>-72.487111980445633</v>
      </c>
      <c r="H65" s="1399"/>
      <c r="I65" s="1399"/>
      <c r="J65" s="1399"/>
      <c r="K65" s="1399"/>
    </row>
    <row r="66" spans="1:12">
      <c r="B66" s="1399" t="s">
        <v>1798</v>
      </c>
      <c r="C66" s="1395">
        <f ca="1">G35-A35</f>
        <v>6.1619709679000003</v>
      </c>
      <c r="E66" s="1399"/>
      <c r="G66" s="1399"/>
      <c r="H66" s="1399"/>
      <c r="I66" s="1399"/>
      <c r="J66" s="1399"/>
      <c r="K66" s="1399"/>
    </row>
    <row r="67" spans="1:12">
      <c r="B67" s="1372" t="s">
        <v>1797</v>
      </c>
      <c r="C67" s="1395">
        <f ca="1">G38-A38</f>
        <v>199.30213528225971</v>
      </c>
      <c r="D67" s="1399"/>
      <c r="E67" s="1399"/>
    </row>
    <row r="68" spans="1:12">
      <c r="B68" s="1399" t="s">
        <v>1799</v>
      </c>
      <c r="C68" s="1395">
        <f ca="1">G42-A42</f>
        <v>2.1907900000000001E-2</v>
      </c>
      <c r="G68" s="1399">
        <v>16773.103687976803</v>
      </c>
      <c r="H68" s="1399"/>
      <c r="I68" s="1399"/>
      <c r="J68" s="1399"/>
      <c r="K68" s="1399"/>
      <c r="L68" s="1399">
        <v>22645.113516229321</v>
      </c>
    </row>
    <row r="69" spans="1:12">
      <c r="B69" s="1372" t="s">
        <v>1801</v>
      </c>
      <c r="C69" s="1395">
        <f ca="1">G34-A34</f>
        <v>1334.1913841014584</v>
      </c>
      <c r="G69" s="1395"/>
      <c r="H69" s="1395"/>
      <c r="I69" s="1395"/>
      <c r="J69" s="1395"/>
      <c r="K69" s="1395"/>
    </row>
  </sheetData>
  <mergeCells count="3">
    <mergeCell ref="C2:F2"/>
    <mergeCell ref="C1:L1"/>
    <mergeCell ref="L2:L3"/>
  </mergeCells>
  <phoneticPr fontId="20" type="noConversion"/>
  <conditionalFormatting sqref="C8:E8 B6:F7">
    <cfRule type="containsText" dxfId="1" priority="4" operator="containsText" text="上年同期数">
      <formula>NOT(ISERROR(SEARCH("上年同期数",B6)))</formula>
    </cfRule>
  </conditionalFormatting>
  <conditionalFormatting sqref="C4:E4">
    <cfRule type="containsText" dxfId="0" priority="2" operator="containsText" text="上年同期数">
      <formula>NOT(ISERROR(SEARCH("上年同期数",C4)))</formula>
    </cfRule>
  </conditionalFormatting>
  <pageMargins left="0.7" right="0.7" top="0.75" bottom="0.75" header="0.3" footer="0.3"/>
  <legacy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8">
    <tabColor theme="5" tint="0.59999389629810485"/>
  </sheetPr>
  <dimension ref="A2:Q58"/>
  <sheetViews>
    <sheetView showGridLines="0" zoomScale="80" zoomScaleNormal="80" workbookViewId="0">
      <selection activeCell="N30" sqref="N30"/>
    </sheetView>
  </sheetViews>
  <sheetFormatPr defaultRowHeight="14.4"/>
  <cols>
    <col min="1" max="1" width="1.88671875" customWidth="1"/>
    <col min="2" max="2" width="11.33203125" customWidth="1"/>
    <col min="3" max="3" width="16.33203125" customWidth="1"/>
    <col min="4" max="5" width="12.88671875" customWidth="1"/>
    <col min="6" max="8" width="15.44140625" customWidth="1"/>
    <col min="9" max="9" width="13" customWidth="1"/>
    <col min="10" max="10" width="13.21875" bestFit="1" customWidth="1"/>
    <col min="11" max="11" width="13.109375" bestFit="1" customWidth="1"/>
    <col min="12" max="12" width="12.77734375" bestFit="1" customWidth="1"/>
    <col min="13" max="13" width="13.88671875" customWidth="1"/>
    <col min="14" max="14" width="13" bestFit="1" customWidth="1"/>
    <col min="15" max="15" width="13" customWidth="1"/>
    <col min="16" max="16" width="12.88671875" customWidth="1"/>
    <col min="17" max="17" width="12.33203125" customWidth="1"/>
  </cols>
  <sheetData>
    <row r="2" spans="1:17">
      <c r="B2" s="819" t="s">
        <v>1760</v>
      </c>
    </row>
    <row r="4" spans="1:17" s="7" customFormat="1">
      <c r="A4" s="32"/>
      <c r="B4" s="675"/>
      <c r="C4" s="809" t="s">
        <v>376</v>
      </c>
      <c r="D4" s="707" t="str">
        <f>发展投入!E39</f>
        <v>现金缺口</v>
      </c>
      <c r="E4" s="707" t="str">
        <f>发展投入!F39</f>
        <v>带息负债</v>
      </c>
      <c r="F4" s="707" t="str">
        <f>发展投入!G39</f>
        <v>财务费用</v>
      </c>
      <c r="G4" s="707" t="str">
        <f>发展投入!H39</f>
        <v>债务成本（EVA）</v>
      </c>
      <c r="H4" s="707" t="str">
        <f>发展投入!I39</f>
        <v>净利润</v>
      </c>
      <c r="I4" s="707" t="str">
        <f>发展投入!J39</f>
        <v>转资</v>
      </c>
      <c r="J4" s="707" t="str">
        <f>发展投入!K39</f>
        <v>在建工程</v>
      </c>
      <c r="K4" s="707" t="str">
        <f>发展投入!L39</f>
        <v>折旧</v>
      </c>
      <c r="L4" s="707" t="str">
        <f>发展投入!M39</f>
        <v>检修运维</v>
      </c>
      <c r="M4" s="707" t="str">
        <f>发展投入!N39</f>
        <v>所有者权益</v>
      </c>
      <c r="N4" s="707" t="str">
        <f>发展投入!O39</f>
        <v>资产总额</v>
      </c>
      <c r="O4" s="707" t="str">
        <f>发展投入!P39</f>
        <v>利润总额</v>
      </c>
      <c r="P4" s="707" t="str">
        <f>发展投入!Q39</f>
        <v>资产负债率</v>
      </c>
      <c r="Q4" s="707" t="str">
        <f>发展投入!R39</f>
        <v>EVA</v>
      </c>
    </row>
    <row r="5" spans="1:17" s="7" customFormat="1">
      <c r="A5" s="32"/>
      <c r="B5" s="675" t="s">
        <v>1607</v>
      </c>
      <c r="C5" s="707">
        <f>发展投入!B41</f>
        <v>176.57999999999998</v>
      </c>
      <c r="D5" s="681">
        <f ca="1">发展投入!E40</f>
        <v>0</v>
      </c>
      <c r="E5" s="681">
        <f ca="1">发展投入!F40</f>
        <v>0.43497096790000001</v>
      </c>
      <c r="F5" s="681">
        <f ca="1">发展投入!G40</f>
        <v>-0.93587504064049842</v>
      </c>
      <c r="G5" s="681">
        <f ca="1">发展投入!H40</f>
        <v>0.30675767255741659</v>
      </c>
      <c r="H5" s="681">
        <f ca="1">发展投入!I40</f>
        <v>23.534420657935943</v>
      </c>
      <c r="I5" s="681">
        <f>发展投入!J40</f>
        <v>30.018607065969842</v>
      </c>
      <c r="J5" s="681">
        <f ca="1">发展投入!K40</f>
        <v>166.49387785731943</v>
      </c>
      <c r="K5" s="681">
        <f ca="1">发展投入!L40</f>
        <v>154.85442231883817</v>
      </c>
      <c r="L5" s="681">
        <f>发展投入!M40</f>
        <v>25.119</v>
      </c>
      <c r="M5" s="681">
        <f ca="1">发展投入!N40</f>
        <v>1342.6284026274172</v>
      </c>
      <c r="N5" s="681">
        <f ca="1">发展投入!O40</f>
        <v>1928.3288084030385</v>
      </c>
      <c r="O5" s="681">
        <f ca="1">发展投入!P40</f>
        <v>31.379227543914592</v>
      </c>
      <c r="P5" s="690">
        <f ca="1">发展投入!Q40</f>
        <v>0.30373616747300303</v>
      </c>
      <c r="Q5" s="727">
        <f ca="1">发展投入!R40</f>
        <v>-24.199425139865717</v>
      </c>
    </row>
    <row r="6" spans="1:17" s="7" customFormat="1">
      <c r="A6" s="32"/>
      <c r="B6" s="675" t="s">
        <v>1754</v>
      </c>
      <c r="C6" s="707">
        <f>发展投入!D41</f>
        <v>1476.58</v>
      </c>
      <c r="D6" s="681">
        <f>发展投入!E41</f>
        <v>-1054.216383813945</v>
      </c>
      <c r="E6" s="681">
        <f>发展投入!F41</f>
        <v>1054.6513611303062</v>
      </c>
      <c r="F6" s="681">
        <f>发展投入!G41</f>
        <v>16.486557765847817</v>
      </c>
      <c r="G6" s="681">
        <f>发展投入!H41</f>
        <v>23.218521032014788</v>
      </c>
      <c r="H6" s="681">
        <f>发展投入!I41</f>
        <v>6.1797355303111674</v>
      </c>
      <c r="I6" s="681">
        <f>发展投入!J41</f>
        <v>251.01865908636182</v>
      </c>
      <c r="J6" s="681">
        <f>发展投入!K41</f>
        <v>1048.1518275223686</v>
      </c>
      <c r="K6" s="681">
        <f>发展投入!L41</f>
        <v>160.571571296944</v>
      </c>
      <c r="L6" s="681">
        <f>发展投入!M41</f>
        <v>25.119</v>
      </c>
      <c r="M6" s="681">
        <f>发展投入!N41</f>
        <v>1325.2737174996269</v>
      </c>
      <c r="N6" s="681">
        <f>发展投入!O41</f>
        <v>2949.1540983185905</v>
      </c>
      <c r="O6" s="681">
        <f>发展投入!P41</f>
        <v>8.2396473737482232</v>
      </c>
      <c r="P6" s="690">
        <f>发展投入!Q41</f>
        <v>0.55062676224667106</v>
      </c>
      <c r="Q6" s="727">
        <f>发展投入!R41</f>
        <v>-24.927444221231895</v>
      </c>
    </row>
    <row r="7" spans="1:17" s="7" customFormat="1">
      <c r="B7" s="808" t="s">
        <v>1738</v>
      </c>
      <c r="C7" s="813">
        <v>1000</v>
      </c>
      <c r="D7" s="681">
        <f ca="1">发展投入!E42</f>
        <v>1054.216383813945</v>
      </c>
      <c r="E7" s="681">
        <f ca="1">发展投入!F42</f>
        <v>1054.2163901624062</v>
      </c>
      <c r="F7" s="681">
        <f ca="1">发展投入!G42</f>
        <v>17.422432806488317</v>
      </c>
      <c r="G7" s="681">
        <f ca="1">发展投入!H42</f>
        <v>22.911763359457371</v>
      </c>
      <c r="H7" s="681">
        <f ca="1">发展投入!I42</f>
        <v>-17.354685127624776</v>
      </c>
      <c r="I7" s="681">
        <f>发展投入!J42</f>
        <v>221.00005202039199</v>
      </c>
      <c r="J7" s="681">
        <f ca="1">发展投入!K42</f>
        <v>881.65794966504927</v>
      </c>
      <c r="K7" s="681">
        <f ca="1">发展投入!L42</f>
        <v>5.7171489781058256</v>
      </c>
      <c r="L7" s="681">
        <f>发展投入!M42</f>
        <v>0</v>
      </c>
      <c r="M7" s="681">
        <f ca="1">发展投入!N42</f>
        <v>-17.35468512779039</v>
      </c>
      <c r="N7" s="681">
        <f ca="1">发展投入!O42</f>
        <v>1020.825289915552</v>
      </c>
      <c r="O7" s="681">
        <f ca="1">发展投入!P42</f>
        <v>-23.139580170166369</v>
      </c>
      <c r="P7" s="690">
        <f ca="1">发展投入!Q42</f>
        <v>0.24689059477366804</v>
      </c>
      <c r="Q7" s="727">
        <f ca="1">发展投入!R42</f>
        <v>-0.72801908136617755</v>
      </c>
    </row>
    <row r="8" spans="1:17">
      <c r="B8" s="724" t="s">
        <v>1796</v>
      </c>
      <c r="C8" s="690">
        <f>C7/C5</f>
        <v>5.6631555102503119</v>
      </c>
      <c r="D8" s="690" t="e">
        <f t="shared" ref="D8:Q8" ca="1" si="0">D7/D5</f>
        <v>#DIV/0!</v>
      </c>
      <c r="E8" s="690">
        <f t="shared" ca="1" si="0"/>
        <v>2423.6477097588063</v>
      </c>
      <c r="F8" s="690">
        <f t="shared" ca="1" si="0"/>
        <v>-18.616195592271243</v>
      </c>
      <c r="G8" s="690">
        <f t="shared" ca="1" si="0"/>
        <v>74.690106912220486</v>
      </c>
      <c r="H8" s="690">
        <f t="shared" ca="1" si="0"/>
        <v>-0.7374171380663529</v>
      </c>
      <c r="I8" s="690">
        <f t="shared" si="0"/>
        <v>7.3621021633254093</v>
      </c>
      <c r="J8" s="690">
        <f t="shared" ca="1" si="0"/>
        <v>5.295437652191664</v>
      </c>
      <c r="K8" s="690">
        <f t="shared" ca="1" si="0"/>
        <v>3.6919507318521894E-2</v>
      </c>
      <c r="L8" s="690">
        <f t="shared" si="0"/>
        <v>0</v>
      </c>
      <c r="M8" s="690">
        <f t="shared" ca="1" si="0"/>
        <v>-1.2925903469514459E-2</v>
      </c>
      <c r="N8" s="690">
        <f t="shared" ca="1" si="0"/>
        <v>0.52938341504162711</v>
      </c>
      <c r="O8" s="690">
        <f t="shared" ca="1" si="0"/>
        <v>-0.7374171380663529</v>
      </c>
      <c r="P8" s="690">
        <f t="shared" ca="1" si="0"/>
        <v>0.81284555878783327</v>
      </c>
      <c r="Q8" s="690">
        <f t="shared" ca="1" si="0"/>
        <v>3.0084147749726974E-2</v>
      </c>
    </row>
    <row r="9" spans="1:17">
      <c r="B9" s="724" t="s">
        <v>1802</v>
      </c>
      <c r="C9" s="690"/>
      <c r="D9" s="681" t="e">
        <f ca="1">D8/$C8</f>
        <v>#DIV/0!</v>
      </c>
      <c r="E9" s="681">
        <f t="shared" ref="E9:Q9" ca="1" si="1">E8/$C8</f>
        <v>427.96771258920995</v>
      </c>
      <c r="F9" s="681">
        <f t="shared" ca="1" si="1"/>
        <v>-3.287247817683256</v>
      </c>
      <c r="G9" s="681">
        <f t="shared" ca="1" si="1"/>
        <v>13.188779078559893</v>
      </c>
      <c r="H9" s="681">
        <f t="shared" ca="1" si="1"/>
        <v>-0.13021311823975659</v>
      </c>
      <c r="I9" s="681">
        <f t="shared" si="1"/>
        <v>1.3000000000000007</v>
      </c>
      <c r="J9" s="681">
        <f t="shared" ca="1" si="1"/>
        <v>0.93506838062400399</v>
      </c>
      <c r="K9" s="681">
        <f t="shared" ca="1" si="1"/>
        <v>6.5192466023045953E-3</v>
      </c>
      <c r="L9" s="681">
        <f t="shared" si="1"/>
        <v>0</v>
      </c>
      <c r="M9" s="681">
        <f t="shared" ca="1" si="1"/>
        <v>-2.2824560346468631E-3</v>
      </c>
      <c r="N9" s="681">
        <f t="shared" ca="1" si="1"/>
        <v>9.3478523428050506E-2</v>
      </c>
      <c r="O9" s="681">
        <f t="shared" ca="1" si="1"/>
        <v>-0.13021311823975659</v>
      </c>
      <c r="P9" s="681">
        <f t="shared" ca="1" si="1"/>
        <v>0.14353226877075559</v>
      </c>
      <c r="Q9" s="681">
        <f t="shared" ca="1" si="1"/>
        <v>5.3122588096467882E-3</v>
      </c>
    </row>
    <row r="11" spans="1:17">
      <c r="B11" s="675"/>
      <c r="C11" s="810" t="s">
        <v>1612</v>
      </c>
      <c r="D11" s="681" t="str">
        <f>假设!E169</f>
        <v>现金缺口</v>
      </c>
      <c r="E11" s="681" t="str">
        <f>假设!F169</f>
        <v>带息负债</v>
      </c>
      <c r="F11" s="681" t="str">
        <f>假设!G169</f>
        <v>财务费用</v>
      </c>
      <c r="G11" s="681" t="str">
        <f>假设!H169</f>
        <v>债务成本（EVA）</v>
      </c>
      <c r="H11" s="681" t="str">
        <f>假设!I169</f>
        <v>净利润</v>
      </c>
      <c r="I11" s="681" t="str">
        <f>假设!J169</f>
        <v>售电收入</v>
      </c>
      <c r="J11" s="681" t="str">
        <f>假设!K169</f>
        <v>所有者权益</v>
      </c>
      <c r="K11" s="681" t="str">
        <f>假设!L169</f>
        <v>资产总额</v>
      </c>
      <c r="L11" s="681" t="str">
        <f>假设!M169</f>
        <v>利润总额</v>
      </c>
      <c r="M11" s="681" t="str">
        <f>假设!N169</f>
        <v>资产负债率</v>
      </c>
      <c r="N11" s="681" t="str">
        <f>假设!O169</f>
        <v>EVA</v>
      </c>
      <c r="O11" s="679"/>
      <c r="P11" s="679"/>
      <c r="Q11" s="679"/>
    </row>
    <row r="12" spans="1:17">
      <c r="B12" s="675" t="s">
        <v>1607</v>
      </c>
      <c r="C12" s="690">
        <f>假设!B171</f>
        <v>2.0502245854707724E-2</v>
      </c>
      <c r="D12" s="681">
        <f ca="1">假设!E170</f>
        <v>0</v>
      </c>
      <c r="E12" s="681">
        <f ca="1">假设!F170</f>
        <v>0.43497096790000001</v>
      </c>
      <c r="F12" s="681">
        <f ca="1">假设!G170</f>
        <v>-0.93587504064049842</v>
      </c>
      <c r="G12" s="681">
        <f ca="1">假设!H170</f>
        <v>0.30675767255741659</v>
      </c>
      <c r="H12" s="681">
        <f ca="1">假设!I170</f>
        <v>23.534420657935943</v>
      </c>
      <c r="I12" s="681">
        <f>假设!J170</f>
        <v>833.43975594621452</v>
      </c>
      <c r="J12" s="681">
        <f ca="1">假设!K170</f>
        <v>1342.6284026274172</v>
      </c>
      <c r="K12" s="681">
        <f ca="1">假设!L170</f>
        <v>1928.3288084030385</v>
      </c>
      <c r="L12" s="681">
        <f ca="1">假设!M170</f>
        <v>31.379227543914592</v>
      </c>
      <c r="M12" s="690">
        <f ca="1">假设!N170</f>
        <v>0.30373616747300303</v>
      </c>
      <c r="N12" s="681">
        <f ca="1">假设!O170</f>
        <v>-24.199425139865632</v>
      </c>
      <c r="O12" s="679"/>
      <c r="P12" s="679"/>
      <c r="Q12" s="679"/>
    </row>
    <row r="13" spans="1:17">
      <c r="B13" s="675" t="s">
        <v>1754</v>
      </c>
      <c r="C13" s="690">
        <f>假设!D171</f>
        <v>3.5185330343061469E-2</v>
      </c>
      <c r="D13" s="681">
        <f>假设!E171</f>
        <v>0</v>
      </c>
      <c r="E13" s="681">
        <f>假设!F171</f>
        <v>0.43497096790000001</v>
      </c>
      <c r="F13" s="681">
        <f>假设!G171</f>
        <v>-0.95155381569343234</v>
      </c>
      <c r="G13" s="681">
        <f>假设!H171</f>
        <v>0.30675920730295497</v>
      </c>
      <c r="H13" s="681">
        <f>假设!I171</f>
        <v>26.60623165783376</v>
      </c>
      <c r="I13" s="681">
        <f>假设!J171</f>
        <v>837.548265454025</v>
      </c>
      <c r="J13" s="681">
        <f>假设!K171</f>
        <v>1345.7002136273275</v>
      </c>
      <c r="K13" s="681">
        <f>假设!L171</f>
        <v>1934.6517361837632</v>
      </c>
      <c r="L13" s="681">
        <f>假设!M171</f>
        <v>35.474975543778349</v>
      </c>
      <c r="M13" s="690">
        <f>假设!N171</f>
        <v>0.30442394756885682</v>
      </c>
      <c r="N13" s="681">
        <f>假设!O171</f>
        <v>-21.20435872023797</v>
      </c>
      <c r="O13" s="679"/>
      <c r="P13" s="679"/>
      <c r="Q13" s="679"/>
    </row>
    <row r="14" spans="1:17">
      <c r="B14" s="808" t="s">
        <v>1738</v>
      </c>
      <c r="C14" s="816">
        <v>1.4999999999999999E-2</v>
      </c>
      <c r="D14" s="681">
        <f ca="1">假设!E172</f>
        <v>0</v>
      </c>
      <c r="E14" s="681">
        <f ca="1">假设!F172</f>
        <v>0</v>
      </c>
      <c r="F14" s="681">
        <f ca="1">假设!G172</f>
        <v>-1.5678775052933913E-2</v>
      </c>
      <c r="G14" s="681">
        <f ca="1">假设!H172</f>
        <v>1.5347455383785125E-6</v>
      </c>
      <c r="H14" s="681">
        <f ca="1">假设!I172</f>
        <v>3.0718109998978171</v>
      </c>
      <c r="I14" s="681">
        <f>假设!J172</f>
        <v>4.1085095078104814</v>
      </c>
      <c r="J14" s="681">
        <f ca="1">假设!K172</f>
        <v>3.0718109999102126</v>
      </c>
      <c r="K14" s="681">
        <f ca="1">假设!L172</f>
        <v>6.3229277807247399</v>
      </c>
      <c r="L14" s="681">
        <f ca="1">假设!M172</f>
        <v>4.0957479998637574</v>
      </c>
      <c r="M14" s="690">
        <f ca="1">假设!N172</f>
        <v>6.8778009585379607E-4</v>
      </c>
      <c r="N14" s="681">
        <f ca="1">假设!O172</f>
        <v>2.995066419627662</v>
      </c>
      <c r="O14" s="679"/>
      <c r="P14" s="679"/>
      <c r="Q14" s="679"/>
    </row>
    <row r="15" spans="1:17" s="380" customFormat="1">
      <c r="B15" s="724" t="s">
        <v>1796</v>
      </c>
      <c r="C15" s="690">
        <f>C14/C12</f>
        <v>0.73162716447260345</v>
      </c>
      <c r="D15" s="690" t="e">
        <f t="shared" ref="D15" ca="1" si="2">D14/D12</f>
        <v>#DIV/0!</v>
      </c>
      <c r="E15" s="690">
        <f t="shared" ref="E15" ca="1" si="3">E14/E12</f>
        <v>0</v>
      </c>
      <c r="F15" s="690">
        <f t="shared" ref="F15" ca="1" si="4">F14/F12</f>
        <v>1.6753064642266346E-2</v>
      </c>
      <c r="G15" s="690">
        <f t="shared" ref="G15" ca="1" si="5">G14/G12</f>
        <v>5.0031202987799769E-6</v>
      </c>
      <c r="H15" s="690">
        <f t="shared" ref="H15" ca="1" si="6">H14/H12</f>
        <v>0.13052418177381328</v>
      </c>
      <c r="I15" s="690">
        <f t="shared" ref="I15" si="7">I14/I12</f>
        <v>4.9295818665933923E-3</v>
      </c>
      <c r="J15" s="690">
        <f t="shared" ref="J15" ca="1" si="8">J14/J12</f>
        <v>2.2879085485596178E-3</v>
      </c>
      <c r="K15" s="690">
        <f t="shared" ref="K15" ca="1" si="9">K14/K12</f>
        <v>3.2789676496930652E-3</v>
      </c>
      <c r="L15" s="690">
        <f t="shared" ref="L15" ca="1" si="10">L14/L12</f>
        <v>0.13052418177381331</v>
      </c>
      <c r="M15" s="690">
        <f t="shared" ref="M15" ca="1" si="11">M14/M12</f>
        <v>2.2643997307792724E-3</v>
      </c>
      <c r="N15" s="681">
        <f t="shared" ref="N15" ca="1" si="12">N14/N12</f>
        <v>-0.12376601519734663</v>
      </c>
      <c r="O15"/>
      <c r="P15"/>
      <c r="Q15"/>
    </row>
    <row r="16" spans="1:17" s="380" customFormat="1">
      <c r="B16" s="724" t="s">
        <v>1802</v>
      </c>
      <c r="C16" s="690"/>
      <c r="D16" s="681" t="e">
        <f ca="1">D15/$C15</f>
        <v>#DIV/0!</v>
      </c>
      <c r="E16" s="681">
        <f t="shared" ref="E16" ca="1" si="13">E15/$C15</f>
        <v>0</v>
      </c>
      <c r="F16" s="681">
        <f t="shared" ref="F16" ca="1" si="14">F15/$C15</f>
        <v>2.2898363341037047E-2</v>
      </c>
      <c r="G16" s="681">
        <f t="shared" ref="G16" ca="1" si="15">G15/$C15</f>
        <v>6.8383468270843898E-6</v>
      </c>
      <c r="H16" s="681">
        <f t="shared" ref="H16" ca="1" si="16">H15/$C15</f>
        <v>0.17840259098075203</v>
      </c>
      <c r="I16" s="681">
        <f t="shared" ref="I16" si="17">I15/$C15</f>
        <v>6.7378332926537826E-3</v>
      </c>
      <c r="J16" s="681">
        <f t="shared" ref="J16" ca="1" si="18">J15/$C15</f>
        <v>3.1271509037104528E-3</v>
      </c>
      <c r="K16" s="681">
        <f t="shared" ref="K16" ca="1" si="19">K15/$C15</f>
        <v>4.4817467269093582E-3</v>
      </c>
      <c r="L16" s="681">
        <f t="shared" ref="L16" ca="1" si="20">L15/$C15</f>
        <v>0.17840259098075209</v>
      </c>
      <c r="M16" s="681">
        <f t="shared" ref="M16" ca="1" si="21">M15/$C15</f>
        <v>3.095018666251375E-3</v>
      </c>
      <c r="N16" s="681">
        <f t="shared" ref="N16" ca="1" si="22">N15/$C15</f>
        <v>-0.16916541813556621</v>
      </c>
      <c r="O16"/>
      <c r="P16"/>
      <c r="Q16"/>
    </row>
    <row r="18" spans="2:17">
      <c r="B18" s="675"/>
      <c r="C18" s="809" t="s">
        <v>1188</v>
      </c>
      <c r="D18" s="681" t="str">
        <f>假设!E189</f>
        <v>现金缺口</v>
      </c>
      <c r="E18" s="681" t="str">
        <f>假设!F189</f>
        <v>带息负债</v>
      </c>
      <c r="F18" s="681" t="str">
        <f>假设!G189</f>
        <v>财务费用</v>
      </c>
      <c r="G18" s="681" t="str">
        <f>假设!H189</f>
        <v>债务成本（EVA）</v>
      </c>
      <c r="H18" s="681" t="str">
        <f>假设!I189</f>
        <v>净利润</v>
      </c>
      <c r="I18" s="681" t="str">
        <f>假设!J189</f>
        <v>售电收入</v>
      </c>
      <c r="J18" s="681" t="str">
        <f>假设!K189</f>
        <v>所有者权益</v>
      </c>
      <c r="K18" s="681" t="str">
        <f>假设!L189</f>
        <v>资产总额</v>
      </c>
      <c r="L18" s="681" t="str">
        <f>假设!M189</f>
        <v>利润总额</v>
      </c>
      <c r="M18" s="681" t="str">
        <f>假设!N189</f>
        <v>资产负债率</v>
      </c>
      <c r="N18" s="681" t="str">
        <f>假设!O189</f>
        <v>EVA</v>
      </c>
      <c r="O18" s="679"/>
      <c r="P18" s="679"/>
    </row>
    <row r="19" spans="2:17">
      <c r="B19" s="675" t="s">
        <v>1607</v>
      </c>
      <c r="C19" s="681">
        <f>假设!B191</f>
        <v>219.2</v>
      </c>
      <c r="D19" s="681">
        <f ca="1">假设!E190</f>
        <v>0</v>
      </c>
      <c r="E19" s="681">
        <f ca="1">假设!F190</f>
        <v>0.43497096790000001</v>
      </c>
      <c r="F19" s="681">
        <f ca="1">假设!G190</f>
        <v>-0.93587504064049842</v>
      </c>
      <c r="G19" s="681">
        <f ca="1">假设!H190</f>
        <v>0.30675767255741659</v>
      </c>
      <c r="H19" s="681">
        <f ca="1">假设!I190</f>
        <v>23.534420657935943</v>
      </c>
      <c r="I19" s="681">
        <f>假设!J190</f>
        <v>833.43975594621452</v>
      </c>
      <c r="J19" s="681">
        <f ca="1">假设!K190</f>
        <v>1342.6284026274172</v>
      </c>
      <c r="K19" s="681">
        <f ca="1">假设!L190</f>
        <v>1928.3288084030385</v>
      </c>
      <c r="L19" s="681">
        <f ca="1">假设!M190</f>
        <v>31.379227543914592</v>
      </c>
      <c r="M19" s="690">
        <f ca="1">假设!N190</f>
        <v>0.30373616747300303</v>
      </c>
      <c r="N19" s="681">
        <f ca="1">假设!O190</f>
        <v>-24.199425139865632</v>
      </c>
      <c r="O19" s="679"/>
      <c r="P19" s="679"/>
    </row>
    <row r="20" spans="2:17">
      <c r="B20" s="675" t="s">
        <v>1754</v>
      </c>
      <c r="C20" s="681">
        <f>假设!D191</f>
        <v>229.21399682449601</v>
      </c>
      <c r="D20" s="681">
        <f>假设!E191</f>
        <v>0</v>
      </c>
      <c r="E20" s="681">
        <f>假设!F191</f>
        <v>0.43497096790000001</v>
      </c>
      <c r="F20" s="681">
        <f>假设!G191</f>
        <v>-0.9858914493940899</v>
      </c>
      <c r="G20" s="681">
        <f>假设!H191</f>
        <v>0.30676253358224015</v>
      </c>
      <c r="H20" s="681">
        <f>假设!I191</f>
        <v>33.288041742931782</v>
      </c>
      <c r="I20" s="681">
        <f>假设!J191</f>
        <v>846.48486947169317</v>
      </c>
      <c r="J20" s="681">
        <f>假设!K191</f>
        <v>1352.3820237125151</v>
      </c>
      <c r="K20" s="681">
        <f>假设!L191</f>
        <v>1948.4053634430279</v>
      </c>
      <c r="L20" s="681">
        <f>假设!M191</f>
        <v>44.384055657242378</v>
      </c>
      <c r="M20" s="690">
        <f>假设!N191</f>
        <v>0.30590458598519027</v>
      </c>
      <c r="N20" s="681">
        <f>假设!O191</f>
        <v>-14.689485348453069</v>
      </c>
      <c r="O20" s="679"/>
      <c r="P20" s="679"/>
    </row>
    <row r="21" spans="2:17">
      <c r="B21" s="808" t="s">
        <v>1738</v>
      </c>
      <c r="C21" s="872">
        <v>10</v>
      </c>
      <c r="D21" s="681">
        <f ca="1">假设!E192</f>
        <v>0</v>
      </c>
      <c r="E21" s="681">
        <f ca="1">假设!F192</f>
        <v>0</v>
      </c>
      <c r="F21" s="681">
        <f ca="1">假设!G192</f>
        <v>-5.0016408753591479E-2</v>
      </c>
      <c r="G21" s="681">
        <f ca="1">假设!H192</f>
        <v>4.8610248235547715E-6</v>
      </c>
      <c r="H21" s="681">
        <f ca="1">假设!I192</f>
        <v>9.7536210849958387</v>
      </c>
      <c r="I21" s="681">
        <f>假设!J192</f>
        <v>13.045113525478655</v>
      </c>
      <c r="J21" s="681">
        <f ca="1">假设!K192</f>
        <v>9.7536210850978478</v>
      </c>
      <c r="K21" s="681">
        <f ca="1">假设!L192</f>
        <v>20.076555039989444</v>
      </c>
      <c r="L21" s="681">
        <f ca="1">假设!M192</f>
        <v>13.004828113327786</v>
      </c>
      <c r="M21" s="690">
        <f ca="1">假设!N192</f>
        <v>2.1684185121872424E-3</v>
      </c>
      <c r="N21" s="681">
        <f ca="1">假设!O192</f>
        <v>9.5099397914125632</v>
      </c>
      <c r="O21" s="679"/>
      <c r="P21" s="679"/>
    </row>
    <row r="22" spans="2:17" s="380" customFormat="1">
      <c r="B22" s="724" t="s">
        <v>1796</v>
      </c>
      <c r="C22" s="690">
        <f>C21/C19</f>
        <v>4.5620437956204379E-2</v>
      </c>
      <c r="D22" s="690" t="e">
        <f t="shared" ref="D22" ca="1" si="23">D21/D19</f>
        <v>#DIV/0!</v>
      </c>
      <c r="E22" s="690">
        <f t="shared" ref="E22" ca="1" si="24">E21/E19</f>
        <v>0</v>
      </c>
      <c r="F22" s="690">
        <f t="shared" ref="F22" ca="1" si="25">F21/F19</f>
        <v>5.3443469033388286E-2</v>
      </c>
      <c r="G22" s="690">
        <f t="shared" ref="G22" ca="1" si="26">G21/G19</f>
        <v>1.5846465332158633E-5</v>
      </c>
      <c r="H22" s="690">
        <f t="shared" ref="H22" ca="1" si="27">H21/H19</f>
        <v>0.41444067082683256</v>
      </c>
      <c r="I22" s="690">
        <f t="shared" ref="I22" si="28">I21/I19</f>
        <v>1.5652137340950788E-2</v>
      </c>
      <c r="J22" s="690">
        <f t="shared" ref="J22" ca="1" si="29">J21/J19</f>
        <v>7.2645722867256384E-3</v>
      </c>
      <c r="K22" s="690">
        <f t="shared" ref="K22" ca="1" si="30">K21/K19</f>
        <v>1.0411375359068565E-2</v>
      </c>
      <c r="L22" s="690">
        <f t="shared" ref="L22" ca="1" si="31">L21/L19</f>
        <v>0.41444067082683261</v>
      </c>
      <c r="M22" s="690">
        <f t="shared" ref="M22" ca="1" si="32">M21/M19</f>
        <v>7.1391514887010543E-3</v>
      </c>
      <c r="N22" s="873">
        <f t="shared" ref="N22" ca="1" si="33">N21/N19</f>
        <v>-0.39298205376565271</v>
      </c>
      <c r="O22"/>
      <c r="P22"/>
      <c r="Q22"/>
    </row>
    <row r="23" spans="2:17" s="380" customFormat="1">
      <c r="B23" s="32"/>
      <c r="C23" s="369"/>
      <c r="D23" s="681" t="e">
        <f ca="1">D22/$C22</f>
        <v>#DIV/0!</v>
      </c>
      <c r="E23" s="681">
        <f t="shared" ref="E23" ca="1" si="34">E22/$C22</f>
        <v>0</v>
      </c>
      <c r="F23" s="681">
        <f t="shared" ref="F23" ca="1" si="35">F22/$C22</f>
        <v>1.1714808412118711</v>
      </c>
      <c r="G23" s="681">
        <f t="shared" ref="G23" ca="1" si="36">G22/$C22</f>
        <v>3.4735452008091721E-4</v>
      </c>
      <c r="H23" s="681">
        <f t="shared" ref="H23" ca="1" si="37">H22/$C22</f>
        <v>9.0845395045241695</v>
      </c>
      <c r="I23" s="681">
        <f t="shared" ref="I23" si="38">I22/$C22</f>
        <v>0.3430948505136413</v>
      </c>
      <c r="J23" s="681">
        <f t="shared" ref="J23" ca="1" si="39">J22/$C22</f>
        <v>0.15923942452502599</v>
      </c>
      <c r="K23" s="681">
        <f t="shared" ref="K23" ca="1" si="40">K22/$C22</f>
        <v>0.22821734787078296</v>
      </c>
      <c r="L23" s="681">
        <f t="shared" ref="L23" ca="1" si="41">L22/$C22</f>
        <v>9.0845395045241712</v>
      </c>
      <c r="M23" s="681">
        <f t="shared" ref="M23" ca="1" si="42">M22/$C22</f>
        <v>0.1564902006323271</v>
      </c>
      <c r="N23" s="681">
        <f t="shared" ref="N23" ca="1" si="43">N22/$C22</f>
        <v>-8.6141666185431074</v>
      </c>
      <c r="O23"/>
      <c r="P23"/>
      <c r="Q23"/>
    </row>
    <row r="25" spans="2:17">
      <c r="B25" s="675"/>
      <c r="C25" s="810" t="s">
        <v>1749</v>
      </c>
      <c r="D25" s="681" t="str">
        <f>假设!E174</f>
        <v>转资</v>
      </c>
      <c r="E25" s="681" t="str">
        <f>假设!F174</f>
        <v>折旧</v>
      </c>
      <c r="F25" s="681" t="str">
        <f>假设!G174</f>
        <v>检修运维</v>
      </c>
      <c r="G25" s="681" t="str">
        <f>假设!H174</f>
        <v>资本公积</v>
      </c>
      <c r="H25" s="681" t="str">
        <f>假设!I174</f>
        <v>所有者权益</v>
      </c>
      <c r="I25" s="681" t="str">
        <f>假设!J174</f>
        <v>资产总额</v>
      </c>
      <c r="J25" s="681" t="str">
        <f>假设!K174</f>
        <v>利润总额</v>
      </c>
      <c r="K25" s="681" t="str">
        <f>假设!L174</f>
        <v>资产负债率</v>
      </c>
      <c r="L25" s="681" t="str">
        <f>假设!M174</f>
        <v>EVA</v>
      </c>
    </row>
    <row r="26" spans="2:17">
      <c r="B26" s="675" t="s">
        <v>1607</v>
      </c>
      <c r="C26" s="681">
        <f>假设!B176</f>
        <v>0</v>
      </c>
      <c r="D26" s="681">
        <f ca="1">假设!E175</f>
        <v>215.70955017972992</v>
      </c>
      <c r="E26" s="681">
        <f ca="1">假设!F175</f>
        <v>154.85442231883817</v>
      </c>
      <c r="F26" s="681">
        <f>假设!G175</f>
        <v>25.119</v>
      </c>
      <c r="G26" s="681">
        <f>假设!H175</f>
        <v>4.0612393104233941</v>
      </c>
      <c r="H26" s="681">
        <f ca="1">假设!I175</f>
        <v>1342.6284026274172</v>
      </c>
      <c r="I26" s="681">
        <f ca="1">假设!J175</f>
        <v>1928.3288084030385</v>
      </c>
      <c r="J26" s="681">
        <f ca="1">假设!K175</f>
        <v>31.379227543914592</v>
      </c>
      <c r="K26" s="690">
        <f ca="1">假设!L175</f>
        <v>0.30373616747300303</v>
      </c>
      <c r="L26" s="811">
        <f ca="1">假设!M175</f>
        <v>-24.199425139865632</v>
      </c>
    </row>
    <row r="27" spans="2:17">
      <c r="B27" s="675" t="s">
        <v>1754</v>
      </c>
      <c r="C27" s="681">
        <f>假设!D176</f>
        <v>418</v>
      </c>
      <c r="D27" s="681">
        <f>假设!E176</f>
        <v>633.70955017972994</v>
      </c>
      <c r="E27" s="681">
        <f>假设!F176</f>
        <v>165.55444716599095</v>
      </c>
      <c r="F27" s="681">
        <f>假设!G176</f>
        <v>25.119</v>
      </c>
      <c r="G27" s="681">
        <f>假设!H176</f>
        <v>422.06123931042339</v>
      </c>
      <c r="H27" s="681">
        <f>假设!I176</f>
        <v>1752.5956318273838</v>
      </c>
      <c r="I27" s="681">
        <f>假设!J176</f>
        <v>2331.4942564437833</v>
      </c>
      <c r="J27" s="681">
        <f>假设!K176</f>
        <v>20.668866477271102</v>
      </c>
      <c r="K27" s="690">
        <f>假设!L176</f>
        <v>0.2482963099917872</v>
      </c>
      <c r="L27" s="811">
        <f>假设!M176</f>
        <v>-42.475624488654873</v>
      </c>
    </row>
    <row r="28" spans="2:17">
      <c r="B28" s="808" t="s">
        <v>1738</v>
      </c>
      <c r="C28" s="814">
        <v>100</v>
      </c>
      <c r="D28" s="681">
        <f ca="1">假设!E177</f>
        <v>418</v>
      </c>
      <c r="E28" s="681">
        <f ca="1">假设!F177</f>
        <v>10.700024847152775</v>
      </c>
      <c r="F28" s="681">
        <f>假设!G177</f>
        <v>0</v>
      </c>
      <c r="G28" s="681">
        <f>假设!H177</f>
        <v>418</v>
      </c>
      <c r="H28" s="681">
        <f ca="1">假设!I177</f>
        <v>409.9672291999666</v>
      </c>
      <c r="I28" s="681">
        <f ca="1">假设!J177</f>
        <v>403.16544804074488</v>
      </c>
      <c r="J28" s="681">
        <f ca="1">假设!K177</f>
        <v>-10.71036106664349</v>
      </c>
      <c r="K28" s="690">
        <f ca="1">假设!L177</f>
        <v>-5.5439857481215826E-2</v>
      </c>
      <c r="L28" s="811">
        <f ca="1">假设!M177</f>
        <v>-18.276199348789241</v>
      </c>
    </row>
    <row r="29" spans="2:17" s="380" customFormat="1">
      <c r="B29" s="724" t="s">
        <v>1796</v>
      </c>
      <c r="C29" s="690" t="e">
        <f>C28/C26</f>
        <v>#DIV/0!</v>
      </c>
      <c r="D29" s="690">
        <f t="shared" ref="D29" ca="1" si="44">D28/D26</f>
        <v>1.9377908843244123</v>
      </c>
      <c r="E29" s="690">
        <f t="shared" ref="E29" ca="1" si="45">E28/E26</f>
        <v>6.9097315316716715E-2</v>
      </c>
      <c r="F29" s="690">
        <f t="shared" ref="F29" si="46">F28/F26</f>
        <v>0</v>
      </c>
      <c r="G29" s="690">
        <f t="shared" ref="G29" si="47">G28/G26</f>
        <v>102.92424751409749</v>
      </c>
      <c r="H29" s="690">
        <f t="shared" ref="H29" ca="1" si="48">H28/H26</f>
        <v>0.30534675744807221</v>
      </c>
      <c r="I29" s="690">
        <f t="shared" ref="I29" ca="1" si="49">I28/I26</f>
        <v>0.2090750531153604</v>
      </c>
      <c r="J29" s="690">
        <f t="shared" ref="J29" ca="1" si="50">J28/J26</f>
        <v>-0.34132009947200126</v>
      </c>
      <c r="K29" s="690">
        <f t="shared" ref="K29" ca="1" si="51">K28/K26</f>
        <v>-0.18252636142234688</v>
      </c>
      <c r="L29" s="690">
        <f t="shared" ref="L29" ca="1" si="52">L28/L26</f>
        <v>0.75523278933933879</v>
      </c>
      <c r="M29"/>
      <c r="N29"/>
      <c r="O29"/>
      <c r="P29"/>
      <c r="Q29"/>
    </row>
    <row r="30" spans="2:17" s="380" customFormat="1">
      <c r="B30" s="724" t="s">
        <v>1802</v>
      </c>
      <c r="C30" s="690"/>
      <c r="D30" s="681" t="e">
        <f ca="1">D29/$C29</f>
        <v>#DIV/0!</v>
      </c>
      <c r="E30" s="681" t="e">
        <f t="shared" ref="E30" ca="1" si="53">E29/$C29</f>
        <v>#DIV/0!</v>
      </c>
      <c r="F30" s="681" t="e">
        <f t="shared" ref="F30" si="54">F29/$C29</f>
        <v>#DIV/0!</v>
      </c>
      <c r="G30" s="681" t="e">
        <f t="shared" ref="G30" si="55">G29/$C29</f>
        <v>#DIV/0!</v>
      </c>
      <c r="H30" s="681" t="e">
        <f t="shared" ref="H30" ca="1" si="56">H29/$C29</f>
        <v>#DIV/0!</v>
      </c>
      <c r="I30" s="681" t="e">
        <f t="shared" ref="I30" ca="1" si="57">I29/$C29</f>
        <v>#DIV/0!</v>
      </c>
      <c r="J30" s="681" t="e">
        <f t="shared" ref="J30" ca="1" si="58">J29/$C29</f>
        <v>#DIV/0!</v>
      </c>
      <c r="K30" s="681" t="e">
        <f t="shared" ref="K30" ca="1" si="59">K29/$C29</f>
        <v>#DIV/0!</v>
      </c>
      <c r="L30" s="681" t="e">
        <f t="shared" ref="L30" ca="1" si="60">L29/$C29</f>
        <v>#DIV/0!</v>
      </c>
      <c r="M30"/>
      <c r="N30"/>
      <c r="O30"/>
      <c r="P30"/>
      <c r="Q30"/>
    </row>
    <row r="32" spans="2:17">
      <c r="B32" s="675"/>
      <c r="C32" s="809" t="s">
        <v>177</v>
      </c>
      <c r="D32" s="707" t="str">
        <f>假设!E179</f>
        <v>经营现金流</v>
      </c>
      <c r="E32" s="707" t="str">
        <f>假设!F179</f>
        <v>现金缺口</v>
      </c>
      <c r="F32" s="707" t="str">
        <f>假设!H179</f>
        <v>财务费用</v>
      </c>
      <c r="G32" s="707" t="str">
        <f>假设!I179</f>
        <v>所有者权益</v>
      </c>
      <c r="H32" s="707" t="str">
        <f>假设!J179</f>
        <v>资产总额</v>
      </c>
      <c r="I32" s="707" t="str">
        <f>假设!K179</f>
        <v>利润总额</v>
      </c>
      <c r="J32" s="707" t="str">
        <f>假设!L179</f>
        <v>资产负债率</v>
      </c>
      <c r="K32" s="707" t="str">
        <f>假设!M179</f>
        <v>EVA</v>
      </c>
    </row>
    <row r="33" spans="2:17">
      <c r="B33" s="675" t="s">
        <v>1607</v>
      </c>
      <c r="C33" s="807">
        <f>假设!B181</f>
        <v>5.3653166271017752E-3</v>
      </c>
      <c r="D33" s="681">
        <f ca="1">假设!E180</f>
        <v>225.07111024761184</v>
      </c>
      <c r="E33" s="681">
        <f ca="1">假设!F180</f>
        <v>0</v>
      </c>
      <c r="F33" s="681">
        <f ca="1">假设!H180</f>
        <v>-0.93587504064049842</v>
      </c>
      <c r="G33" s="681">
        <f ca="1">假设!I180</f>
        <v>1342.6284026274172</v>
      </c>
      <c r="H33" s="681">
        <f ca="1">假设!J180</f>
        <v>1928.3288084030385</v>
      </c>
      <c r="I33" s="681">
        <f ca="1">假设!K180</f>
        <v>31.379227543914592</v>
      </c>
      <c r="J33" s="690">
        <f ca="1">假设!L180</f>
        <v>0.30373616747300303</v>
      </c>
      <c r="K33" s="681">
        <f ca="1">假设!M180</f>
        <v>-24.199425139865632</v>
      </c>
    </row>
    <row r="34" spans="2:17">
      <c r="B34" s="675" t="s">
        <v>1754</v>
      </c>
      <c r="C34" s="807">
        <f>假设!D181</f>
        <v>2.1411983935423127E-2</v>
      </c>
      <c r="D34" s="681">
        <f>假设!E181</f>
        <v>210.77168094124733</v>
      </c>
      <c r="E34" s="681">
        <f>假设!F181</f>
        <v>0</v>
      </c>
      <c r="F34" s="681">
        <f>假设!H181</f>
        <v>-0.9000299475573188</v>
      </c>
      <c r="G34" s="681">
        <f>假设!I181</f>
        <v>1342.6015190508926</v>
      </c>
      <c r="H34" s="681">
        <f>假设!J181</f>
        <v>1928.2764007625703</v>
      </c>
      <c r="I34" s="681">
        <f>假设!K181</f>
        <v>31.343382775292664</v>
      </c>
      <c r="J34" s="690">
        <f>假设!L181</f>
        <v>0.30373118577890185</v>
      </c>
      <c r="K34" s="681">
        <f>假设!M181</f>
        <v>-24.225639287914419</v>
      </c>
    </row>
    <row r="35" spans="2:17">
      <c r="B35" s="808" t="s">
        <v>1738</v>
      </c>
      <c r="C35" s="815">
        <v>-0.01</v>
      </c>
      <c r="D35" s="681">
        <f ca="1">假设!E182</f>
        <v>-14.299429306364516</v>
      </c>
      <c r="E35" s="681">
        <f ca="1">假设!F182</f>
        <v>0</v>
      </c>
      <c r="F35" s="681">
        <f ca="1">假设!H182</f>
        <v>3.5845093083179624E-2</v>
      </c>
      <c r="G35" s="681">
        <f ca="1">假设!I182</f>
        <v>-2.688357652459672E-2</v>
      </c>
      <c r="H35" s="681">
        <f ca="1">假设!J182</f>
        <v>-5.2407640468118188E-2</v>
      </c>
      <c r="I35" s="681">
        <f ca="1">假设!K182</f>
        <v>-3.5844768621927869E-2</v>
      </c>
      <c r="J35" s="690">
        <f ca="1">假设!L182</f>
        <v>-4.9816941011804339E-6</v>
      </c>
      <c r="K35" s="681">
        <f ca="1">假设!M182</f>
        <v>-2.6214148048786967E-2</v>
      </c>
    </row>
    <row r="36" spans="2:17" s="380" customFormat="1">
      <c r="B36" s="724" t="s">
        <v>1796</v>
      </c>
      <c r="C36" s="690">
        <f>C35/C33</f>
        <v>-1.8638229008679732</v>
      </c>
      <c r="D36" s="690">
        <f t="shared" ref="D36" ca="1" si="61">D35/D33</f>
        <v>-6.3532939836805385E-2</v>
      </c>
      <c r="E36" s="690" t="e">
        <f t="shared" ref="E36" ca="1" si="62">E35/E33</f>
        <v>#DIV/0!</v>
      </c>
      <c r="F36" s="690">
        <f t="shared" ref="F36" ca="1" si="63">F35/F33</f>
        <v>-3.8301152960172759E-2</v>
      </c>
      <c r="G36" s="690">
        <f t="shared" ref="G36" ca="1" si="64">G35/G33</f>
        <v>-2.0023095349381627E-5</v>
      </c>
      <c r="H36" s="690">
        <f t="shared" ref="H36" ca="1" si="65">H35/H33</f>
        <v>-2.7177751138572685E-5</v>
      </c>
      <c r="I36" s="690">
        <f t="shared" ref="I36" ca="1" si="66">I35/I33</f>
        <v>-1.1423088274484718E-3</v>
      </c>
      <c r="J36" s="690">
        <f t="shared" ref="J36" ca="1" si="67">J35/J33</f>
        <v>-1.6401385921955513E-5</v>
      </c>
      <c r="K36" s="690">
        <f t="shared" ref="K36" ca="1" si="68">K35/K33</f>
        <v>1.0832549904502616E-3</v>
      </c>
      <c r="L36"/>
      <c r="M36"/>
      <c r="N36"/>
      <c r="O36"/>
      <c r="P36"/>
      <c r="Q36"/>
    </row>
    <row r="37" spans="2:17" s="380" customFormat="1">
      <c r="B37" s="724" t="s">
        <v>1802</v>
      </c>
      <c r="C37" s="690"/>
      <c r="D37" s="681">
        <f ca="1">D36/$C36</f>
        <v>3.4087433847506864E-2</v>
      </c>
      <c r="E37" s="681" t="e">
        <f t="shared" ref="E37" ca="1" si="69">E36/$C36</f>
        <v>#DIV/0!</v>
      </c>
      <c r="F37" s="681">
        <f t="shared" ref="F37" ca="1" si="70">F36/$C36</f>
        <v>2.0549781281438327E-2</v>
      </c>
      <c r="G37" s="681">
        <f t="shared" ref="G37" ca="1" si="71">G36/$C36</f>
        <v>1.0743024640408146E-5</v>
      </c>
      <c r="H37" s="681">
        <f t="shared" ref="H37" ca="1" si="72">H36/$C36</f>
        <v>1.4581724007101823E-5</v>
      </c>
      <c r="I37" s="681">
        <f t="shared" ref="I37" ca="1" si="73">I36/$C36</f>
        <v>6.1288485451944181E-4</v>
      </c>
      <c r="J37" s="681">
        <f t="shared" ref="J37" ca="1" si="74">J36/$C36</f>
        <v>8.7998628594580884E-6</v>
      </c>
      <c r="K37" s="681">
        <f t="shared" ref="K37" ca="1" si="75">K36/$C36</f>
        <v>-5.812006011653763E-4</v>
      </c>
      <c r="L37"/>
      <c r="M37"/>
      <c r="N37"/>
      <c r="O37"/>
      <c r="P37"/>
      <c r="Q37"/>
    </row>
    <row r="39" spans="2:17">
      <c r="B39" s="675"/>
      <c r="C39" s="809" t="s">
        <v>1757</v>
      </c>
      <c r="D39" s="707" t="str">
        <f>假设!E184</f>
        <v>存货</v>
      </c>
      <c r="E39" s="707" t="str">
        <f>假设!F184</f>
        <v>经营现金流</v>
      </c>
      <c r="F39" s="707" t="str">
        <f>假设!G184</f>
        <v>现金缺口</v>
      </c>
      <c r="G39" s="707" t="str">
        <f>假设!H184</f>
        <v>带息负债</v>
      </c>
      <c r="H39" s="707" t="str">
        <f>假设!I184</f>
        <v>财务费用</v>
      </c>
      <c r="I39" s="707" t="str">
        <f>假设!J184</f>
        <v>资产总额</v>
      </c>
      <c r="J39" s="707" t="str">
        <f>假设!K184</f>
        <v>利润总额</v>
      </c>
      <c r="K39" s="707" t="str">
        <f>假设!L184</f>
        <v>资产负债率</v>
      </c>
      <c r="L39" s="707" t="str">
        <f>假设!M184</f>
        <v>EVA</v>
      </c>
    </row>
    <row r="40" spans="2:17">
      <c r="B40" s="675" t="s">
        <v>1607</v>
      </c>
      <c r="C40" s="811">
        <f>假设!B186</f>
        <v>0.17081820340688464</v>
      </c>
      <c r="D40" s="681">
        <f>假设!E185</f>
        <v>4.2907824513775354</v>
      </c>
      <c r="E40" s="681">
        <f ca="1">假设!F185</f>
        <v>225.07111024761184</v>
      </c>
      <c r="F40" s="681">
        <f ca="1">假设!G185</f>
        <v>0</v>
      </c>
      <c r="G40" s="681">
        <f ca="1">假设!H185</f>
        <v>0.43497096790000001</v>
      </c>
      <c r="H40" s="681">
        <f ca="1">假设!I185</f>
        <v>-0.93587504064049842</v>
      </c>
      <c r="I40" s="681">
        <f ca="1">假设!J185</f>
        <v>1928.3288084030385</v>
      </c>
      <c r="J40" s="681">
        <f ca="1">假设!K185</f>
        <v>31.379227543914592</v>
      </c>
      <c r="K40" s="690">
        <f ca="1">假设!L185</f>
        <v>0.30373616747300303</v>
      </c>
      <c r="L40" s="727">
        <f ca="1">假设!M185</f>
        <v>-24.199425139865632</v>
      </c>
    </row>
    <row r="41" spans="2:17">
      <c r="B41" s="675" t="s">
        <v>1754</v>
      </c>
      <c r="C41" s="690">
        <f>假设!D186</f>
        <v>0.22546160984964753</v>
      </c>
      <c r="D41" s="681">
        <f>假设!E186</f>
        <v>5.6633701778132961</v>
      </c>
      <c r="E41" s="681">
        <f>假设!F186</f>
        <v>223.69720006608333</v>
      </c>
      <c r="F41" s="681">
        <f>假设!G186</f>
        <v>0</v>
      </c>
      <c r="G41" s="681">
        <f>假设!H186</f>
        <v>0.43497096790000001</v>
      </c>
      <c r="H41" s="681">
        <f>假设!I186</f>
        <v>-0.93243102866130234</v>
      </c>
      <c r="I41" s="681">
        <f>假设!J186</f>
        <v>1928.3237764585185</v>
      </c>
      <c r="J41" s="681">
        <f>假设!K186</f>
        <v>31.375783531935351</v>
      </c>
      <c r="K41" s="690">
        <f>假设!L186</f>
        <v>0.30373568829463954</v>
      </c>
      <c r="L41" s="727">
        <f>假设!M186</f>
        <v>-24.201934443438724</v>
      </c>
    </row>
    <row r="42" spans="2:17">
      <c r="B42" s="808" t="s">
        <v>1738</v>
      </c>
      <c r="C42" s="816">
        <v>0.01</v>
      </c>
      <c r="D42" s="681">
        <f>假设!E187</f>
        <v>1.3725877264357607</v>
      </c>
      <c r="E42" s="681">
        <f ca="1">假设!F187</f>
        <v>-1.3739101815285153</v>
      </c>
      <c r="F42" s="681">
        <f ca="1">假设!G187</f>
        <v>0</v>
      </c>
      <c r="G42" s="681">
        <f ca="1">假设!H187</f>
        <v>0</v>
      </c>
      <c r="H42" s="681">
        <f ca="1">假设!I187</f>
        <v>3.4440119791960822E-3</v>
      </c>
      <c r="I42" s="681">
        <f ca="1">假设!J187</f>
        <v>-5.0319445199420443E-3</v>
      </c>
      <c r="J42" s="681">
        <f ca="1">假设!K187</f>
        <v>-3.4440119792407131E-3</v>
      </c>
      <c r="K42" s="690">
        <f ca="1">假设!L187</f>
        <v>-4.7917836348831955E-7</v>
      </c>
      <c r="L42" s="727">
        <f ca="1">假设!M187</f>
        <v>-2.50930357309187E-3</v>
      </c>
    </row>
    <row r="43" spans="2:17">
      <c r="B43" s="724" t="s">
        <v>1796</v>
      </c>
      <c r="C43" s="690">
        <f>C42/C40</f>
        <v>5.8541770142496188E-2</v>
      </c>
      <c r="D43" s="690">
        <f t="shared" ref="D43" si="76">D42/D40</f>
        <v>0.31989217397752195</v>
      </c>
      <c r="E43" s="690">
        <f t="shared" ref="E43" ca="1" si="77">E42/E40</f>
        <v>-6.1043382245593797E-3</v>
      </c>
      <c r="F43" s="690" t="e">
        <f t="shared" ref="F43" ca="1" si="78">F42/F40</f>
        <v>#DIV/0!</v>
      </c>
      <c r="G43" s="690">
        <f t="shared" ref="G43" ca="1" si="79">G42/G40</f>
        <v>0</v>
      </c>
      <c r="H43" s="690">
        <f t="shared" ref="H43" ca="1" si="80">H42/H40</f>
        <v>-3.6799912698163781E-3</v>
      </c>
      <c r="I43" s="690">
        <f t="shared" ref="I43" ca="1" si="81">I42/I40</f>
        <v>-2.6094846988824956E-6</v>
      </c>
      <c r="J43" s="690">
        <f t="shared" ref="J43" ca="1" si="82">J42/J40</f>
        <v>-1.0975451752025726E-4</v>
      </c>
      <c r="K43" s="690">
        <f t="shared" ref="K43" ca="1" si="83">K42/K40</f>
        <v>-1.5776137806536009E-6</v>
      </c>
      <c r="L43" s="690">
        <f t="shared" ref="L43" ca="1" si="84">L42/L40</f>
        <v>1.0369269346642848E-4</v>
      </c>
    </row>
    <row r="44" spans="2:17">
      <c r="B44" s="724" t="s">
        <v>1802</v>
      </c>
      <c r="C44" s="690"/>
      <c r="D44" s="681">
        <f>D43/$C43</f>
        <v>5.4643406442762874</v>
      </c>
      <c r="E44" s="681">
        <f t="shared" ref="E44" ca="1" si="85">E43/$C43</f>
        <v>-0.10427320885072051</v>
      </c>
      <c r="F44" s="681" t="e">
        <f t="shared" ref="F44" ca="1" si="86">F43/$C43</f>
        <v>#DIV/0!</v>
      </c>
      <c r="G44" s="681">
        <f t="shared" ref="G44" ca="1" si="87">G43/$C43</f>
        <v>0</v>
      </c>
      <c r="H44" s="681">
        <f t="shared" ref="H44" ca="1" si="88">H43/$C43</f>
        <v>-6.2860949726305376E-2</v>
      </c>
      <c r="I44" s="681">
        <f t="shared" ref="I44" ca="1" si="89">I43/$C43</f>
        <v>-4.4574748808086328E-5</v>
      </c>
      <c r="J44" s="681">
        <f t="shared" ref="J44" ca="1" si="90">J43/$C43</f>
        <v>-1.8748069498599788E-3</v>
      </c>
      <c r="K44" s="681">
        <f t="shared" ref="K44" ca="1" si="91">K43/$C43</f>
        <v>-2.6948515168119108E-5</v>
      </c>
      <c r="L44" s="681">
        <f t="shared" ref="L44" ca="1" si="92">L43/$C43</f>
        <v>1.7712599604356118E-3</v>
      </c>
    </row>
    <row r="51" spans="2:5">
      <c r="B51" s="819" t="s">
        <v>1761</v>
      </c>
    </row>
    <row r="52" spans="2:5">
      <c r="B52" s="675"/>
      <c r="C52" s="681" t="s">
        <v>1753</v>
      </c>
      <c r="D52" s="681" t="str">
        <f>输配电价测算参数!E80</f>
        <v>本周期输配电价</v>
      </c>
      <c r="E52" s="681" t="str">
        <f>输配电价测算参数!F80</f>
        <v>下周期输配电价</v>
      </c>
    </row>
    <row r="53" spans="2:5">
      <c r="B53" s="675" t="s">
        <v>1607</v>
      </c>
      <c r="C53" s="707">
        <f>输配电价测算参数!C82</f>
        <v>1950000</v>
      </c>
      <c r="D53" s="727">
        <f>输配电价测算参数!E81</f>
        <v>227.93457443424359</v>
      </c>
      <c r="E53" s="727">
        <f>输配电价测算参数!F81</f>
        <v>216.38554053961403</v>
      </c>
    </row>
    <row r="54" spans="2:5">
      <c r="B54" s="675" t="s">
        <v>1754</v>
      </c>
      <c r="C54" s="707">
        <f>输配电价测算参数!D82</f>
        <v>1950100</v>
      </c>
      <c r="D54" s="727">
        <f>输配电价测算参数!E82</f>
        <v>227.93486074534729</v>
      </c>
      <c r="E54" s="727">
        <f>输配电价测算参数!F82</f>
        <v>216.38596576417061</v>
      </c>
    </row>
    <row r="55" spans="2:5">
      <c r="B55" s="808" t="s">
        <v>1738</v>
      </c>
      <c r="C55" s="812">
        <v>100</v>
      </c>
      <c r="D55" s="727">
        <f>输配电价测算参数!E83</f>
        <v>2.8631110370724855E-4</v>
      </c>
      <c r="E55" s="727">
        <f>输配电价测算参数!F83</f>
        <v>4.2522455657945102E-4</v>
      </c>
    </row>
    <row r="58" spans="2:5">
      <c r="B58" s="819" t="s">
        <v>1763</v>
      </c>
    </row>
  </sheetData>
  <phoneticPr fontId="20"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4">
    <tabColor theme="5" tint="0.59999389629810485"/>
  </sheetPr>
  <dimension ref="A1:L79"/>
  <sheetViews>
    <sheetView showGridLines="0" zoomScale="80" zoomScaleNormal="80" workbookViewId="0">
      <selection activeCell="N30" sqref="N30"/>
    </sheetView>
  </sheetViews>
  <sheetFormatPr defaultColWidth="8.88671875" defaultRowHeight="14.4"/>
  <cols>
    <col min="1" max="1" width="2.44140625" style="679" customWidth="1"/>
    <col min="2" max="2" width="45.44140625" style="679" customWidth="1"/>
    <col min="3" max="5" width="18.44140625" style="679" customWidth="1"/>
    <col min="6" max="7" width="4.44140625" style="679" customWidth="1"/>
    <col min="8" max="8" width="25" style="679" customWidth="1"/>
    <col min="9" max="12" width="17.77734375" style="679" customWidth="1"/>
    <col min="13" max="16384" width="8.88671875" style="679"/>
  </cols>
  <sheetData>
    <row r="1" spans="2:12" ht="15" thickBot="1"/>
    <row r="2" spans="2:12">
      <c r="B2" s="895" t="s">
        <v>1808</v>
      </c>
      <c r="C2" s="896" t="s">
        <v>1607</v>
      </c>
      <c r="D2" s="896" t="s">
        <v>1754</v>
      </c>
      <c r="E2" s="897" t="s">
        <v>1627</v>
      </c>
      <c r="H2" s="894" t="s">
        <v>1820</v>
      </c>
      <c r="I2" s="681" t="s">
        <v>1607</v>
      </c>
      <c r="J2" s="681" t="s">
        <v>1754</v>
      </c>
      <c r="K2" s="700" t="s">
        <v>1627</v>
      </c>
    </row>
    <row r="3" spans="2:12">
      <c r="B3" s="898" t="s">
        <v>1803</v>
      </c>
      <c r="C3" s="546">
        <v>5385.72</v>
      </c>
      <c r="D3" s="546">
        <f>C3+E3</f>
        <v>6385.72</v>
      </c>
      <c r="E3" s="899">
        <v>1000</v>
      </c>
      <c r="H3" s="700" t="s">
        <v>1821</v>
      </c>
      <c r="I3" s="681">
        <v>537.82746354779897</v>
      </c>
      <c r="J3" s="681">
        <v>437.82746354779943</v>
      </c>
      <c r="K3" s="681">
        <v>100</v>
      </c>
    </row>
    <row r="4" spans="2:12">
      <c r="B4" s="651" t="s">
        <v>1420</v>
      </c>
      <c r="C4" s="546">
        <v>48.287686840579909</v>
      </c>
      <c r="D4" s="546">
        <v>41.145729095725528</v>
      </c>
      <c r="E4" s="899">
        <f>D4-C4</f>
        <v>-7.1419577448543805</v>
      </c>
      <c r="H4" s="681" t="s">
        <v>1420</v>
      </c>
      <c r="I4" s="681">
        <v>48.287686840579909</v>
      </c>
      <c r="J4" s="681">
        <v>50.023099076664494</v>
      </c>
      <c r="K4" s="681">
        <f>J4-I4</f>
        <v>1.7354122360845849</v>
      </c>
    </row>
    <row r="5" spans="2:12">
      <c r="B5" s="651" t="s">
        <v>420</v>
      </c>
      <c r="C5" s="546">
        <v>955.03471439641305</v>
      </c>
      <c r="D5" s="546">
        <v>928.2215781393528</v>
      </c>
      <c r="E5" s="899">
        <f t="shared" ref="E5:E6" si="0">D5-C5</f>
        <v>-26.813136257060251</v>
      </c>
      <c r="H5" s="681" t="s">
        <v>420</v>
      </c>
      <c r="I5" s="681">
        <v>955.03471439641305</v>
      </c>
      <c r="J5" s="681">
        <v>957.05174953707126</v>
      </c>
      <c r="K5" s="681">
        <f t="shared" ref="K5:K6" si="1">J5-I5</f>
        <v>2.0170351406582085</v>
      </c>
    </row>
    <row r="6" spans="2:12" ht="15" thickBot="1">
      <c r="B6" s="886" t="s">
        <v>426</v>
      </c>
      <c r="C6" s="902">
        <v>0.57426495307388625</v>
      </c>
      <c r="D6" s="902">
        <v>0.58383081533229153</v>
      </c>
      <c r="E6" s="914">
        <f t="shared" si="0"/>
        <v>9.5658622584052777E-3</v>
      </c>
      <c r="H6" s="681" t="s">
        <v>426</v>
      </c>
      <c r="I6" s="807">
        <v>0.57426495307388625</v>
      </c>
      <c r="J6" s="690">
        <v>0.57318143798590548</v>
      </c>
      <c r="K6" s="690">
        <f t="shared" si="1"/>
        <v>-1.0835150879807687E-3</v>
      </c>
    </row>
    <row r="7" spans="2:12" ht="15" thickBot="1">
      <c r="B7" s="651"/>
      <c r="C7" s="546"/>
      <c r="D7" s="546"/>
      <c r="E7" s="899"/>
      <c r="H7" s="892" t="s">
        <v>1825</v>
      </c>
    </row>
    <row r="8" spans="2:12">
      <c r="B8" s="904" t="s">
        <v>1805</v>
      </c>
      <c r="C8" s="896" t="s">
        <v>1607</v>
      </c>
      <c r="D8" s="896" t="s">
        <v>1754</v>
      </c>
      <c r="E8" s="897" t="s">
        <v>1627</v>
      </c>
      <c r="H8" s="2538" t="s">
        <v>1788</v>
      </c>
      <c r="I8" s="2539"/>
      <c r="J8" s="848" t="s">
        <v>1781</v>
      </c>
      <c r="K8" s="848" t="s">
        <v>1780</v>
      </c>
      <c r="L8" s="848" t="s">
        <v>1786</v>
      </c>
    </row>
    <row r="9" spans="2:12">
      <c r="B9" s="898" t="s">
        <v>1803</v>
      </c>
      <c r="C9" s="546">
        <v>5385.72</v>
      </c>
      <c r="D9" s="546">
        <f>C9+E9</f>
        <v>6385.72</v>
      </c>
      <c r="E9" s="899">
        <v>1000</v>
      </c>
      <c r="H9" s="730" t="s">
        <v>1782</v>
      </c>
      <c r="I9" s="730" t="s">
        <v>1777</v>
      </c>
      <c r="J9" s="730">
        <v>48.287693586555406</v>
      </c>
      <c r="K9" s="730">
        <v>78.000000000015234</v>
      </c>
      <c r="L9" s="730">
        <f t="shared" ref="L9:L14" si="2">K9-J9</f>
        <v>29.712306413459828</v>
      </c>
    </row>
    <row r="10" spans="2:12">
      <c r="B10" s="898" t="s">
        <v>1188</v>
      </c>
      <c r="C10" s="546">
        <v>195.25</v>
      </c>
      <c r="D10" s="546">
        <v>195.88481157459751</v>
      </c>
      <c r="E10" s="899">
        <f t="shared" ref="E10:E11" si="3">D10-C10</f>
        <v>0.63481157459750648</v>
      </c>
      <c r="H10" s="730" t="s">
        <v>1782</v>
      </c>
      <c r="I10" s="730" t="s">
        <v>1778</v>
      </c>
      <c r="J10" s="730">
        <v>955.13265746697368</v>
      </c>
      <c r="K10" s="730">
        <v>1016.7565503793861</v>
      </c>
      <c r="L10" s="730">
        <f t="shared" si="2"/>
        <v>61.62389291241243</v>
      </c>
    </row>
    <row r="11" spans="2:12" ht="15" thickBot="1">
      <c r="B11" s="901" t="s">
        <v>1804</v>
      </c>
      <c r="C11" s="902">
        <v>7.6999999999999999E-2</v>
      </c>
      <c r="D11" s="902">
        <v>8.0371078545717622E-2</v>
      </c>
      <c r="E11" s="903">
        <f t="shared" si="3"/>
        <v>3.3710785457176234E-3</v>
      </c>
      <c r="H11" s="730" t="s">
        <v>1782</v>
      </c>
      <c r="I11" s="730" t="s">
        <v>1779</v>
      </c>
      <c r="J11" s="690">
        <v>0.57440752434557441</v>
      </c>
      <c r="K11" s="690">
        <v>0.56155671991130651</v>
      </c>
      <c r="L11" s="730">
        <f t="shared" si="2"/>
        <v>-1.2850804434267893E-2</v>
      </c>
    </row>
    <row r="12" spans="2:12" customFormat="1" ht="15" thickBot="1">
      <c r="B12" s="647"/>
      <c r="C12" s="7"/>
      <c r="D12" s="7"/>
      <c r="E12" s="570"/>
      <c r="H12" s="730" t="s">
        <v>1783</v>
      </c>
      <c r="I12" s="730" t="s">
        <v>1784</v>
      </c>
      <c r="J12" s="730">
        <v>5385.72</v>
      </c>
      <c r="K12" s="730">
        <v>4158.72</v>
      </c>
      <c r="L12" s="730">
        <f t="shared" si="2"/>
        <v>-1227</v>
      </c>
    </row>
    <row r="13" spans="2:12" customFormat="1">
      <c r="B13" s="904" t="s">
        <v>1806</v>
      </c>
      <c r="C13" s="896" t="s">
        <v>1607</v>
      </c>
      <c r="D13" s="896" t="s">
        <v>1754</v>
      </c>
      <c r="E13" s="897" t="s">
        <v>1627</v>
      </c>
      <c r="H13" s="730" t="s">
        <v>1783</v>
      </c>
      <c r="I13" s="730" t="s">
        <v>1785</v>
      </c>
      <c r="J13" s="730">
        <v>195.25</v>
      </c>
      <c r="K13" s="730">
        <v>195.92246311341435</v>
      </c>
      <c r="L13" s="730">
        <f t="shared" si="2"/>
        <v>0.67246311341435216</v>
      </c>
    </row>
    <row r="14" spans="2:12" customFormat="1">
      <c r="B14" s="898" t="s">
        <v>1803</v>
      </c>
      <c r="C14" s="546">
        <v>5385.72</v>
      </c>
      <c r="D14" s="546">
        <f>C14+E14</f>
        <v>6385.72</v>
      </c>
      <c r="E14" s="899">
        <v>1000</v>
      </c>
      <c r="H14" s="730" t="s">
        <v>1783</v>
      </c>
      <c r="I14" s="730" t="s">
        <v>1455</v>
      </c>
      <c r="J14" s="690">
        <v>7.6999999999999999E-2</v>
      </c>
      <c r="K14" s="690">
        <v>7.6999999999999999E-2</v>
      </c>
      <c r="L14" s="730">
        <f t="shared" si="2"/>
        <v>0</v>
      </c>
    </row>
    <row r="15" spans="2:12">
      <c r="B15" s="898" t="s">
        <v>1188</v>
      </c>
      <c r="C15" s="546">
        <v>195.25</v>
      </c>
      <c r="D15" s="546">
        <v>196.4674296475504</v>
      </c>
      <c r="E15" s="899">
        <f t="shared" ref="E15:E16" si="4">D15-C15</f>
        <v>1.2174296475504036</v>
      </c>
      <c r="H15" s="893" t="s">
        <v>1826</v>
      </c>
      <c r="I15" s="585"/>
      <c r="J15" s="585">
        <f>J12-1000</f>
        <v>4385.72</v>
      </c>
      <c r="K15" s="585"/>
      <c r="L15" s="585"/>
    </row>
    <row r="16" spans="2:12" ht="15" thickBot="1">
      <c r="B16" s="901" t="s">
        <v>1804</v>
      </c>
      <c r="C16" s="902">
        <v>7.6999999999999999E-2</v>
      </c>
      <c r="D16" s="902">
        <v>8.3455530519146712E-2</v>
      </c>
      <c r="E16" s="903">
        <f t="shared" si="4"/>
        <v>6.4555305191467127E-3</v>
      </c>
      <c r="H16" s="2538" t="s">
        <v>1788</v>
      </c>
      <c r="I16" s="2539"/>
      <c r="J16" s="848" t="s">
        <v>1781</v>
      </c>
      <c r="K16" s="848" t="s">
        <v>1255</v>
      </c>
      <c r="L16" s="848" t="s">
        <v>1627</v>
      </c>
    </row>
    <row r="17" spans="2:12" ht="15" thickBot="1">
      <c r="B17" s="651"/>
      <c r="C17" s="546"/>
      <c r="D17" s="546"/>
      <c r="E17" s="899"/>
      <c r="H17" s="730" t="s">
        <v>1782</v>
      </c>
      <c r="I17" s="730" t="s">
        <v>1464</v>
      </c>
      <c r="J17" s="730">
        <v>48.287693586555406</v>
      </c>
      <c r="K17" s="730">
        <v>1916.695982708502</v>
      </c>
      <c r="L17" s="730">
        <f>K17-J17</f>
        <v>1868.4082891219466</v>
      </c>
    </row>
    <row r="18" spans="2:12">
      <c r="B18" s="904" t="s">
        <v>1807</v>
      </c>
      <c r="C18" s="896" t="s">
        <v>1607</v>
      </c>
      <c r="D18" s="896" t="s">
        <v>1754</v>
      </c>
      <c r="E18" s="897" t="s">
        <v>1627</v>
      </c>
      <c r="H18" s="730" t="s">
        <v>1782</v>
      </c>
      <c r="I18" s="730" t="s">
        <v>1205</v>
      </c>
      <c r="J18" s="730">
        <v>955.13265746697368</v>
      </c>
      <c r="K18" s="730">
        <v>3412.7274157995394</v>
      </c>
      <c r="L18" s="730">
        <f>K18-J18</f>
        <v>2457.5947583325656</v>
      </c>
    </row>
    <row r="19" spans="2:12">
      <c r="B19" s="898" t="s">
        <v>1803</v>
      </c>
      <c r="C19" s="546">
        <v>5385.72</v>
      </c>
      <c r="D19" s="546">
        <f>C19+E19</f>
        <v>6385.72</v>
      </c>
      <c r="E19" s="899">
        <v>1000</v>
      </c>
      <c r="H19" s="730" t="s">
        <v>1782</v>
      </c>
      <c r="I19" s="730" t="s">
        <v>607</v>
      </c>
      <c r="J19" s="690">
        <v>0.57440752434557441</v>
      </c>
      <c r="K19" s="690">
        <v>0.57699997473143694</v>
      </c>
      <c r="L19" s="690">
        <f>K19-J19</f>
        <v>2.5924503858625325E-3</v>
      </c>
    </row>
    <row r="20" spans="2:12">
      <c r="B20" s="898" t="s">
        <v>1188</v>
      </c>
      <c r="C20" s="546">
        <v>195.25</v>
      </c>
      <c r="D20" s="546">
        <v>207.98787043977023</v>
      </c>
      <c r="E20" s="899">
        <f t="shared" ref="E20:E21" si="5">D20-C20</f>
        <v>12.737870439770234</v>
      </c>
      <c r="H20" s="730" t="s">
        <v>1782</v>
      </c>
      <c r="I20" s="860" t="s">
        <v>1793</v>
      </c>
      <c r="J20" s="862">
        <v>8148.4261807579069</v>
      </c>
      <c r="K20" s="862">
        <v>8555.8474897958022</v>
      </c>
      <c r="L20" s="861">
        <f>K20/J20-1</f>
        <v>5.0000000000000044E-2</v>
      </c>
    </row>
    <row r="21" spans="2:12" ht="15" thickBot="1">
      <c r="B21" s="901" t="s">
        <v>1804</v>
      </c>
      <c r="C21" s="902">
        <v>7.6999999999999999E-2</v>
      </c>
      <c r="D21" s="902">
        <v>0.15069401660467655</v>
      </c>
      <c r="E21" s="903">
        <f t="shared" si="5"/>
        <v>7.3694016604676546E-2</v>
      </c>
      <c r="H21" s="730" t="s">
        <v>1783</v>
      </c>
      <c r="I21" s="730" t="s">
        <v>376</v>
      </c>
      <c r="J21" s="730">
        <v>5385.72</v>
      </c>
      <c r="K21" s="730">
        <v>10505.476590490964</v>
      </c>
      <c r="L21" s="730">
        <f>K21-J21</f>
        <v>5119.7565904909634</v>
      </c>
    </row>
    <row r="22" spans="2:12" ht="15" thickBot="1">
      <c r="H22" s="730" t="s">
        <v>1783</v>
      </c>
      <c r="I22" s="730" t="s">
        <v>1188</v>
      </c>
      <c r="J22" s="730">
        <v>195.25</v>
      </c>
      <c r="K22" s="730">
        <v>256.71601367228538</v>
      </c>
      <c r="L22" s="730">
        <f>K22-J22</f>
        <v>61.466013672285385</v>
      </c>
    </row>
    <row r="23" spans="2:12">
      <c r="B23" s="906" t="s">
        <v>1809</v>
      </c>
      <c r="C23" s="896" t="s">
        <v>1607</v>
      </c>
      <c r="D23" s="896" t="s">
        <v>1754</v>
      </c>
      <c r="E23" s="897" t="s">
        <v>1627</v>
      </c>
      <c r="H23" s="730" t="s">
        <v>1783</v>
      </c>
      <c r="I23" s="730" t="s">
        <v>1455</v>
      </c>
      <c r="J23" s="690">
        <v>7.6999999999999999E-2</v>
      </c>
      <c r="K23" s="690">
        <v>7.6999999999999999E-2</v>
      </c>
      <c r="L23" s="690">
        <f>K23-J23</f>
        <v>0</v>
      </c>
    </row>
    <row r="24" spans="2:12">
      <c r="B24" s="898" t="s">
        <v>1746</v>
      </c>
      <c r="C24" s="369">
        <v>7.6999999999999999E-2</v>
      </c>
      <c r="D24" s="321">
        <f>C24+E24</f>
        <v>6.7000000000000004E-2</v>
      </c>
      <c r="E24" s="907">
        <v>-0.01</v>
      </c>
    </row>
    <row r="25" spans="2:12">
      <c r="B25" s="651" t="s">
        <v>1420</v>
      </c>
      <c r="C25" s="546">
        <v>48.287686840579909</v>
      </c>
      <c r="D25" s="546">
        <v>-10.188777492474628</v>
      </c>
      <c r="E25" s="899">
        <f>D25-C25</f>
        <v>-58.476464333054537</v>
      </c>
    </row>
    <row r="26" spans="2:12">
      <c r="B26" s="651" t="s">
        <v>420</v>
      </c>
      <c r="C26" s="546">
        <v>955.03471439641305</v>
      </c>
      <c r="D26" s="546">
        <v>875.49588815271352</v>
      </c>
      <c r="E26" s="899">
        <f t="shared" ref="E26:E27" si="6">D26-C26</f>
        <v>-79.538826243699532</v>
      </c>
    </row>
    <row r="27" spans="2:12" ht="15" thickBot="1">
      <c r="B27" s="886" t="s">
        <v>426</v>
      </c>
      <c r="C27" s="902">
        <v>0.57426495307388625</v>
      </c>
      <c r="D27" s="902">
        <v>0.57559172765833688</v>
      </c>
      <c r="E27" s="909">
        <f t="shared" si="6"/>
        <v>1.3267745844506296E-3</v>
      </c>
    </row>
    <row r="28" spans="2:12" ht="15" thickBot="1">
      <c r="B28" s="651"/>
      <c r="C28" s="546"/>
      <c r="D28" s="546"/>
      <c r="E28" s="899"/>
    </row>
    <row r="29" spans="2:12">
      <c r="B29" s="904" t="s">
        <v>1810</v>
      </c>
      <c r="C29" s="896" t="s">
        <v>1607</v>
      </c>
      <c r="D29" s="896" t="s">
        <v>1754</v>
      </c>
      <c r="E29" s="897" t="s">
        <v>1627</v>
      </c>
    </row>
    <row r="30" spans="2:12">
      <c r="B30" s="898" t="s">
        <v>1746</v>
      </c>
      <c r="C30" s="369">
        <v>7.6999999999999999E-2</v>
      </c>
      <c r="D30" s="321">
        <f>C30+E30</f>
        <v>6.7000000000000004E-2</v>
      </c>
      <c r="E30" s="907">
        <v>-0.01</v>
      </c>
    </row>
    <row r="31" spans="2:12">
      <c r="B31" s="898" t="s">
        <v>1188</v>
      </c>
      <c r="C31" s="546">
        <v>195.25</v>
      </c>
      <c r="D31" s="546">
        <v>197.15076174720383</v>
      </c>
      <c r="E31" s="899">
        <f t="shared" ref="E31:E32" si="7">D31-C31</f>
        <v>1.9007617472038305</v>
      </c>
    </row>
    <row r="32" spans="2:12" ht="15" thickBot="1">
      <c r="B32" s="901" t="s">
        <v>1803</v>
      </c>
      <c r="C32" s="908">
        <v>5385.72</v>
      </c>
      <c r="D32" s="908">
        <v>2419.3073625066022</v>
      </c>
      <c r="E32" s="905">
        <f t="shared" si="7"/>
        <v>-2966.4126374933981</v>
      </c>
    </row>
    <row r="33" spans="1:5" ht="15" thickBot="1">
      <c r="B33" s="647"/>
      <c r="C33" s="7"/>
      <c r="D33" s="7"/>
      <c r="E33" s="570"/>
    </row>
    <row r="34" spans="1:5">
      <c r="B34" s="904" t="s">
        <v>1818</v>
      </c>
      <c r="C34" s="896" t="s">
        <v>1607</v>
      </c>
      <c r="D34" s="896" t="s">
        <v>1754</v>
      </c>
      <c r="E34" s="897" t="s">
        <v>1627</v>
      </c>
    </row>
    <row r="35" spans="1:5">
      <c r="B35" s="898" t="s">
        <v>1746</v>
      </c>
      <c r="C35" s="369">
        <v>7.6999999999999999E-2</v>
      </c>
      <c r="D35" s="321">
        <f>C35+E35</f>
        <v>6.7000000000000004E-2</v>
      </c>
      <c r="E35" s="907">
        <v>-0.01</v>
      </c>
    </row>
    <row r="36" spans="1:5">
      <c r="B36" s="898" t="s">
        <v>1188</v>
      </c>
      <c r="C36" s="546">
        <v>195.25</v>
      </c>
      <c r="D36" s="546">
        <v>198.14998554820488</v>
      </c>
      <c r="E36" s="899">
        <f t="shared" ref="E36:E37" si="8">D36-C36</f>
        <v>2.8999855482048815</v>
      </c>
    </row>
    <row r="37" spans="1:5" ht="15" thickBot="1">
      <c r="B37" s="901" t="s">
        <v>1803</v>
      </c>
      <c r="C37" s="908">
        <v>5385.72</v>
      </c>
      <c r="D37" s="908" t="s">
        <v>1816</v>
      </c>
      <c r="E37" s="905" t="e">
        <f t="shared" si="8"/>
        <v>#VALUE!</v>
      </c>
    </row>
    <row r="38" spans="1:5" ht="15" thickBot="1">
      <c r="B38" s="651"/>
      <c r="C38" s="546"/>
      <c r="D38" s="546"/>
      <c r="E38" s="899"/>
    </row>
    <row r="39" spans="1:5">
      <c r="A39" s="891"/>
      <c r="B39" s="904" t="s">
        <v>1817</v>
      </c>
      <c r="C39" s="896" t="s">
        <v>1607</v>
      </c>
      <c r="D39" s="896" t="s">
        <v>1754</v>
      </c>
      <c r="E39" s="897" t="s">
        <v>1627</v>
      </c>
    </row>
    <row r="40" spans="1:5">
      <c r="B40" s="898" t="s">
        <v>1746</v>
      </c>
      <c r="C40" s="369">
        <v>7.6999999999999999E-2</v>
      </c>
      <c r="D40" s="321">
        <f>C40+E40</f>
        <v>6.7000000000000004E-2</v>
      </c>
      <c r="E40" s="907">
        <v>-0.01</v>
      </c>
    </row>
    <row r="41" spans="1:5">
      <c r="B41" s="898" t="s">
        <v>1188</v>
      </c>
      <c r="C41" s="546">
        <v>195.25</v>
      </c>
      <c r="D41" s="546">
        <v>196.99468040353193</v>
      </c>
      <c r="E41" s="899">
        <f t="shared" ref="E41:E42" si="9">D41-C41</f>
        <v>1.7446804035319303</v>
      </c>
    </row>
    <row r="42" spans="1:5" ht="15" thickBot="1">
      <c r="B42" s="901" t="s">
        <v>1803</v>
      </c>
      <c r="C42" s="908">
        <v>5385.72</v>
      </c>
      <c r="D42" s="908">
        <v>5250.023786333888</v>
      </c>
      <c r="E42" s="905">
        <f t="shared" si="9"/>
        <v>-135.69621366611227</v>
      </c>
    </row>
    <row r="43" spans="1:5" ht="15" thickBot="1"/>
    <row r="44" spans="1:5">
      <c r="B44" s="906" t="s">
        <v>1819</v>
      </c>
      <c r="C44" s="896" t="s">
        <v>1607</v>
      </c>
      <c r="D44" s="896" t="s">
        <v>1754</v>
      </c>
      <c r="E44" s="897" t="s">
        <v>1627</v>
      </c>
    </row>
    <row r="45" spans="1:5">
      <c r="B45" s="898" t="s">
        <v>1811</v>
      </c>
      <c r="C45" s="546">
        <v>195.25</v>
      </c>
      <c r="D45" s="546">
        <f>C45+E45</f>
        <v>194.25</v>
      </c>
      <c r="E45" s="899">
        <v>-1</v>
      </c>
    </row>
    <row r="46" spans="1:5">
      <c r="B46" s="651" t="s">
        <v>1420</v>
      </c>
      <c r="C46" s="546">
        <v>48.287686840579909</v>
      </c>
      <c r="D46" s="546">
        <v>17.279313629838612</v>
      </c>
      <c r="E46" s="899">
        <f>D46-C46</f>
        <v>-31.008373210741297</v>
      </c>
    </row>
    <row r="47" spans="1:5">
      <c r="B47" s="651" t="s">
        <v>420</v>
      </c>
      <c r="C47" s="546">
        <v>955.03471439641305</v>
      </c>
      <c r="D47" s="546">
        <v>912.79672734148687</v>
      </c>
      <c r="E47" s="899">
        <f t="shared" ref="E47:E48" si="10">D47-C47</f>
        <v>-42.23798705492618</v>
      </c>
    </row>
    <row r="48" spans="1:5" ht="15" thickBot="1">
      <c r="B48" s="886" t="s">
        <v>426</v>
      </c>
      <c r="C48" s="902">
        <v>0.57426495307388625</v>
      </c>
      <c r="D48" s="902">
        <v>0.57503231997658599</v>
      </c>
      <c r="E48" s="903">
        <f t="shared" si="10"/>
        <v>7.6736690269973984E-4</v>
      </c>
    </row>
    <row r="49" spans="2:5" ht="15" thickBot="1">
      <c r="B49" s="651"/>
      <c r="C49" s="546"/>
      <c r="D49" s="546"/>
      <c r="E49" s="899"/>
    </row>
    <row r="50" spans="2:5">
      <c r="B50" s="904" t="s">
        <v>1814</v>
      </c>
      <c r="C50" s="919" t="s">
        <v>1607</v>
      </c>
      <c r="D50" s="919" t="s">
        <v>1754</v>
      </c>
      <c r="E50" s="897" t="s">
        <v>1627</v>
      </c>
    </row>
    <row r="51" spans="2:5">
      <c r="B51" s="898" t="s">
        <v>1811</v>
      </c>
      <c r="C51" s="546">
        <v>195.25</v>
      </c>
      <c r="D51" s="546">
        <f>C51+E51</f>
        <v>194.25</v>
      </c>
      <c r="E51" s="899">
        <v>-1</v>
      </c>
    </row>
    <row r="52" spans="2:5">
      <c r="B52" s="898" t="s">
        <v>1812</v>
      </c>
      <c r="C52" s="369">
        <v>7.6999999999999999E-2</v>
      </c>
      <c r="D52" s="369">
        <v>8.2336679732343279E-2</v>
      </c>
      <c r="E52" s="900">
        <f t="shared" ref="E52:E53" si="11">D52-C52</f>
        <v>5.3366797323432802E-3</v>
      </c>
    </row>
    <row r="53" spans="2:5" ht="15" thickBot="1">
      <c r="B53" s="901" t="s">
        <v>1803</v>
      </c>
      <c r="C53" s="908">
        <v>5385.72</v>
      </c>
      <c r="D53" s="908">
        <v>3810.4478404872179</v>
      </c>
      <c r="E53" s="905">
        <f t="shared" si="11"/>
        <v>-1575.2721595127823</v>
      </c>
    </row>
    <row r="54" spans="2:5" ht="15" thickBot="1">
      <c r="B54" s="647"/>
      <c r="C54" s="7"/>
      <c r="D54" s="7"/>
      <c r="E54" s="570"/>
    </row>
    <row r="55" spans="2:5">
      <c r="B55" s="904" t="s">
        <v>1813</v>
      </c>
      <c r="C55" s="896" t="s">
        <v>1607</v>
      </c>
      <c r="D55" s="896" t="s">
        <v>1754</v>
      </c>
      <c r="E55" s="897" t="s">
        <v>1627</v>
      </c>
    </row>
    <row r="56" spans="2:5">
      <c r="B56" s="898" t="s">
        <v>1811</v>
      </c>
      <c r="C56" s="546">
        <v>195.25</v>
      </c>
      <c r="D56" s="546">
        <f>C56+E56</f>
        <v>194.25</v>
      </c>
      <c r="E56" s="899">
        <v>-1</v>
      </c>
    </row>
    <row r="57" spans="2:5">
      <c r="B57" s="898" t="s">
        <v>1812</v>
      </c>
      <c r="C57" s="369">
        <v>7.6999999999999999E-2</v>
      </c>
      <c r="D57" s="369">
        <v>8.7589804253273021E-2</v>
      </c>
      <c r="E57" s="900">
        <f t="shared" ref="E57:E58" si="12">D57-C57</f>
        <v>1.0589804253273022E-2</v>
      </c>
    </row>
    <row r="58" spans="2:5" ht="15" thickBot="1">
      <c r="B58" s="901" t="s">
        <v>1803</v>
      </c>
      <c r="C58" s="908">
        <v>5385.72</v>
      </c>
      <c r="D58" s="910" t="s">
        <v>1816</v>
      </c>
      <c r="E58" s="903" t="e">
        <f t="shared" si="12"/>
        <v>#VALUE!</v>
      </c>
    </row>
    <row r="59" spans="2:5" ht="15" thickBot="1">
      <c r="B59" s="651"/>
      <c r="C59" s="546"/>
      <c r="D59" s="546"/>
      <c r="E59" s="899"/>
    </row>
    <row r="60" spans="2:5">
      <c r="B60" s="904" t="s">
        <v>1815</v>
      </c>
      <c r="C60" s="896" t="s">
        <v>1607</v>
      </c>
      <c r="D60" s="896" t="s">
        <v>1754</v>
      </c>
      <c r="E60" s="897" t="s">
        <v>1627</v>
      </c>
    </row>
    <row r="61" spans="2:5">
      <c r="B61" s="898" t="s">
        <v>1811</v>
      </c>
      <c r="C61" s="546">
        <v>195.25</v>
      </c>
      <c r="D61" s="546">
        <f>C61+E61</f>
        <v>194.25</v>
      </c>
      <c r="E61" s="899">
        <v>-1</v>
      </c>
    </row>
    <row r="62" spans="2:5">
      <c r="B62" s="898" t="s">
        <v>1812</v>
      </c>
      <c r="C62" s="369">
        <v>7.6999999999999999E-2</v>
      </c>
      <c r="D62" s="369">
        <v>8.2816672887370657E-2</v>
      </c>
      <c r="E62" s="900">
        <f t="shared" ref="E62:E63" si="13">D62-C62</f>
        <v>5.816672887370658E-3</v>
      </c>
    </row>
    <row r="63" spans="2:5" ht="15" thickBot="1">
      <c r="B63" s="901" t="s">
        <v>1803</v>
      </c>
      <c r="C63" s="908">
        <v>5385.72</v>
      </c>
      <c r="D63" s="908">
        <v>5307.2139439871962</v>
      </c>
      <c r="E63" s="905">
        <f t="shared" si="13"/>
        <v>-78.506056012804038</v>
      </c>
    </row>
    <row r="64" spans="2:5" ht="15" thickBot="1"/>
    <row r="65" spans="2:5">
      <c r="B65" s="906" t="s">
        <v>1822</v>
      </c>
      <c r="C65" s="896" t="s">
        <v>1607</v>
      </c>
      <c r="D65" s="896" t="s">
        <v>1754</v>
      </c>
      <c r="E65" s="897" t="s">
        <v>1627</v>
      </c>
    </row>
    <row r="66" spans="2:5">
      <c r="B66" s="898" t="s">
        <v>1602</v>
      </c>
      <c r="C66" s="546">
        <v>418</v>
      </c>
      <c r="D66" s="546">
        <f>C66+E66</f>
        <v>318</v>
      </c>
      <c r="E66" s="899">
        <v>-100</v>
      </c>
    </row>
    <row r="67" spans="2:5">
      <c r="B67" s="651" t="s">
        <v>1420</v>
      </c>
      <c r="C67" s="546">
        <v>48.287686840579909</v>
      </c>
      <c r="D67" s="546">
        <v>54.521258290312858</v>
      </c>
      <c r="E67" s="899">
        <f>D67-C67</f>
        <v>6.2335714497329491</v>
      </c>
    </row>
    <row r="68" spans="2:5">
      <c r="B68" s="651" t="s">
        <v>420</v>
      </c>
      <c r="C68" s="546">
        <v>955.03471439641305</v>
      </c>
      <c r="D68" s="546">
        <v>960.20632391426477</v>
      </c>
      <c r="E68" s="899">
        <f t="shared" ref="E68:E69" si="14">D68-C68</f>
        <v>5.1716095178517207</v>
      </c>
    </row>
    <row r="69" spans="2:5" ht="15" thickBot="1">
      <c r="B69" s="886" t="s">
        <v>426</v>
      </c>
      <c r="C69" s="902">
        <v>0.57426495307388625</v>
      </c>
      <c r="D69" s="902">
        <v>0.57560711728757319</v>
      </c>
      <c r="E69" s="903">
        <f t="shared" si="14"/>
        <v>1.3421642136869361E-3</v>
      </c>
    </row>
    <row r="70" spans="2:5" ht="15" thickBot="1">
      <c r="B70" s="651"/>
      <c r="C70" s="546"/>
      <c r="D70" s="546"/>
      <c r="E70" s="899"/>
    </row>
    <row r="71" spans="2:5">
      <c r="B71" s="904" t="s">
        <v>1823</v>
      </c>
      <c r="C71" s="896" t="s">
        <v>1607</v>
      </c>
      <c r="D71" s="896" t="s">
        <v>1754</v>
      </c>
      <c r="E71" s="897" t="s">
        <v>1627</v>
      </c>
    </row>
    <row r="72" spans="2:5">
      <c r="B72" s="898" t="s">
        <v>1602</v>
      </c>
      <c r="C72" s="546">
        <v>418</v>
      </c>
      <c r="D72" s="546">
        <f>C72+E72</f>
        <v>318</v>
      </c>
      <c r="E72" s="899">
        <v>-100</v>
      </c>
    </row>
    <row r="73" spans="2:5">
      <c r="B73" s="898" t="s">
        <v>1811</v>
      </c>
      <c r="C73" s="546">
        <v>195.25</v>
      </c>
      <c r="D73" s="546">
        <v>196.03619593926788</v>
      </c>
      <c r="E73" s="899">
        <f t="shared" ref="E73:E74" si="15">D73-C73</f>
        <v>0.78619593926788411</v>
      </c>
    </row>
    <row r="74" spans="2:5" ht="15" thickBot="1">
      <c r="B74" s="901" t="s">
        <v>1812</v>
      </c>
      <c r="C74" s="902">
        <v>7.6999999999999999E-2</v>
      </c>
      <c r="D74" s="902">
        <v>8.1168961041004892E-2</v>
      </c>
      <c r="E74" s="903">
        <f t="shared" si="15"/>
        <v>4.1689610410048927E-3</v>
      </c>
    </row>
    <row r="75" spans="2:5" ht="15" thickBot="1">
      <c r="B75" s="651"/>
      <c r="C75" s="546"/>
      <c r="D75" s="546"/>
      <c r="E75" s="899"/>
    </row>
    <row r="76" spans="2:5">
      <c r="B76" s="904" t="s">
        <v>1824</v>
      </c>
      <c r="C76" s="896" t="s">
        <v>1607</v>
      </c>
      <c r="D76" s="896" t="s">
        <v>1754</v>
      </c>
      <c r="E76" s="897" t="s">
        <v>1627</v>
      </c>
    </row>
    <row r="77" spans="2:5">
      <c r="B77" s="898" t="s">
        <v>1602</v>
      </c>
      <c r="C77" s="546">
        <v>418</v>
      </c>
      <c r="D77" s="546">
        <f>C77+E77</f>
        <v>318</v>
      </c>
      <c r="E77" s="899">
        <v>-100</v>
      </c>
    </row>
    <row r="78" spans="2:5">
      <c r="B78" s="898" t="s">
        <v>1811</v>
      </c>
      <c r="C78" s="546">
        <v>195.25</v>
      </c>
      <c r="D78" s="546">
        <v>196.99490851785021</v>
      </c>
      <c r="E78" s="899">
        <f t="shared" ref="E78:E79" si="16">D78-C78</f>
        <v>1.744908517850206</v>
      </c>
    </row>
    <row r="79" spans="2:5" ht="15" thickBot="1">
      <c r="B79" s="901" t="s">
        <v>1812</v>
      </c>
      <c r="C79" s="902">
        <v>7.6999999999999999E-2</v>
      </c>
      <c r="D79" s="902">
        <v>8.7095040718202205E-2</v>
      </c>
      <c r="E79" s="903">
        <f t="shared" si="16"/>
        <v>1.0095040718202206E-2</v>
      </c>
    </row>
  </sheetData>
  <mergeCells count="2">
    <mergeCell ref="H8:I8"/>
    <mergeCell ref="H16:I16"/>
  </mergeCells>
  <phoneticPr fontId="20" type="noConversion"/>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6">
    <tabColor theme="8" tint="-0.249977111117893"/>
  </sheetPr>
  <dimension ref="A1"/>
  <sheetViews>
    <sheetView showGridLines="0" workbookViewId="0">
      <selection activeCell="K8" sqref="K8"/>
    </sheetView>
  </sheetViews>
  <sheetFormatPr defaultRowHeight="14.4"/>
  <sheetData/>
  <phoneticPr fontId="20" type="noConversion"/>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61">
    <tabColor rgb="FF7030A0"/>
    <pageSetUpPr fitToPage="1"/>
  </sheetPr>
  <dimension ref="A1:J9"/>
  <sheetViews>
    <sheetView showGridLines="0" zoomScaleNormal="100" workbookViewId="0">
      <pane xSplit="1" ySplit="3" topLeftCell="B4" activePane="bottomRight" state="frozen"/>
      <selection activeCell="G22" sqref="G22"/>
      <selection pane="topRight" activeCell="G22" sqref="G22"/>
      <selection pane="bottomLeft" activeCell="G22" sqref="G22"/>
      <selection pane="bottomRight" activeCell="F8" sqref="F8"/>
    </sheetView>
  </sheetViews>
  <sheetFormatPr defaultColWidth="9.109375" defaultRowHeight="14.4"/>
  <cols>
    <col min="1" max="1" width="25.6640625" style="122" bestFit="1" customWidth="1"/>
    <col min="2" max="10" width="13.77734375" style="122" customWidth="1"/>
    <col min="11" max="16384" width="9.109375" style="122"/>
  </cols>
  <sheetData>
    <row r="1" spans="1:10" s="121" customFormat="1" ht="15.6">
      <c r="A1" s="6" t="s">
        <v>684</v>
      </c>
      <c r="B1" s="5"/>
      <c r="C1" s="5"/>
      <c r="D1" s="5"/>
      <c r="E1" s="5"/>
      <c r="F1" s="5"/>
      <c r="G1" s="5"/>
      <c r="H1" s="5"/>
      <c r="I1" s="5"/>
      <c r="J1" s="5"/>
    </row>
    <row r="2" spans="1:10" ht="15.6">
      <c r="A2" s="11"/>
      <c r="B2" s="2495" t="s">
        <v>30</v>
      </c>
      <c r="C2" s="2495"/>
      <c r="D2" s="2495"/>
      <c r="E2" s="2495"/>
      <c r="F2" s="2496" t="s">
        <v>31</v>
      </c>
      <c r="G2" s="2496"/>
      <c r="H2" s="2496"/>
      <c r="I2" s="2496"/>
      <c r="J2" s="2496"/>
    </row>
    <row r="3" spans="1:10">
      <c r="A3" s="12" t="s">
        <v>332</v>
      </c>
      <c r="B3" s="222">
        <f>F3-4</f>
        <v>2014</v>
      </c>
      <c r="C3" s="222">
        <f>F3-3</f>
        <v>2015</v>
      </c>
      <c r="D3" s="222">
        <f>F3-2</f>
        <v>2016</v>
      </c>
      <c r="E3" s="222">
        <f>F3-1</f>
        <v>2017</v>
      </c>
      <c r="F3" s="223">
        <f>测算年份</f>
        <v>2018</v>
      </c>
      <c r="G3" s="223">
        <f>F3+1</f>
        <v>2019</v>
      </c>
      <c r="H3" s="223">
        <f>G3+1</f>
        <v>2020</v>
      </c>
      <c r="I3" s="223">
        <f>H3+1</f>
        <v>2021</v>
      </c>
      <c r="J3" s="223">
        <f>I3+1</f>
        <v>2022</v>
      </c>
    </row>
    <row r="4" spans="1:10" ht="19.95" customHeight="1">
      <c r="A4" s="219" t="s">
        <v>615</v>
      </c>
      <c r="B4" s="220">
        <v>0</v>
      </c>
      <c r="C4" s="220">
        <v>0</v>
      </c>
      <c r="D4" s="220">
        <v>0</v>
      </c>
      <c r="E4" s="220">
        <v>0</v>
      </c>
      <c r="F4" s="221">
        <v>25.707400165352741</v>
      </c>
      <c r="G4" s="221">
        <v>28.66071825489049</v>
      </c>
      <c r="H4" s="221">
        <v>33.93906384480907</v>
      </c>
      <c r="I4" s="221">
        <v>31.557913792456326</v>
      </c>
      <c r="J4" s="221">
        <v>31.557913792456326</v>
      </c>
    </row>
    <row r="5" spans="1:10" ht="19.95" customHeight="1">
      <c r="A5" s="219" t="s">
        <v>616</v>
      </c>
      <c r="B5" s="220">
        <v>0</v>
      </c>
      <c r="C5" s="220">
        <v>0</v>
      </c>
      <c r="D5" s="220">
        <v>0</v>
      </c>
      <c r="E5" s="220">
        <v>0</v>
      </c>
      <c r="F5" s="221">
        <v>135.066664</v>
      </c>
      <c r="G5" s="221">
        <v>148.49004985000002</v>
      </c>
      <c r="H5" s="221">
        <v>160.68972655000002</v>
      </c>
      <c r="I5" s="221">
        <v>170.49780812049258</v>
      </c>
      <c r="J5" s="221">
        <v>170.49780812049258</v>
      </c>
    </row>
    <row r="6" spans="1:10" ht="19.95" customHeight="1">
      <c r="A6" s="219" t="s">
        <v>617</v>
      </c>
      <c r="B6" s="220">
        <v>0</v>
      </c>
      <c r="C6" s="220">
        <v>0</v>
      </c>
      <c r="D6" s="220">
        <v>0</v>
      </c>
      <c r="E6" s="220">
        <v>0</v>
      </c>
      <c r="F6" s="221">
        <v>174.38353097314601</v>
      </c>
      <c r="G6" s="221">
        <v>186.58873232913831</v>
      </c>
      <c r="H6" s="221">
        <v>199.36057766838874</v>
      </c>
      <c r="I6" s="221">
        <v>195.17287328883199</v>
      </c>
      <c r="J6" s="221">
        <v>195.17287328883199</v>
      </c>
    </row>
    <row r="7" spans="1:10" ht="19.95" customHeight="1">
      <c r="A7" s="219" t="s">
        <v>618</v>
      </c>
      <c r="B7" s="220">
        <v>0</v>
      </c>
      <c r="C7" s="220">
        <v>0</v>
      </c>
      <c r="D7" s="220">
        <v>0</v>
      </c>
      <c r="E7" s="220">
        <v>0</v>
      </c>
      <c r="F7" s="221">
        <v>174.38353097314572</v>
      </c>
      <c r="G7" s="221">
        <v>186.58873232913831</v>
      </c>
      <c r="H7" s="221">
        <v>199.36057766838874</v>
      </c>
      <c r="I7" s="221">
        <v>195.17287328883199</v>
      </c>
      <c r="J7" s="221">
        <v>195.17287328883199</v>
      </c>
    </row>
    <row r="8" spans="1:10">
      <c r="C8" s="123"/>
      <c r="D8" s="123"/>
      <c r="E8" s="123"/>
    </row>
    <row r="9" spans="1:10">
      <c r="C9" s="123"/>
      <c r="D9" s="123"/>
      <c r="E9" s="123"/>
    </row>
  </sheetData>
  <mergeCells count="2">
    <mergeCell ref="B2:E2"/>
    <mergeCell ref="F2:J2"/>
  </mergeCells>
  <phoneticPr fontId="20" type="noConversion"/>
  <printOptions horizontalCentered="1"/>
  <pageMargins left="0.70866141732283472" right="0.70866141732283472" top="0.74803149606299213" bottom="0.74803149606299213" header="0.31496062992125984" footer="0.31496062992125984"/>
  <pageSetup paperSize="9" scale="89" fitToHeight="2" orientation="landscape"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6">
    <tabColor theme="7" tint="0.59999389629810485"/>
  </sheetPr>
  <dimension ref="A1:L53"/>
  <sheetViews>
    <sheetView showGridLines="0" zoomScale="80" zoomScaleNormal="80" workbookViewId="0">
      <selection activeCell="C25" sqref="C25:F28"/>
    </sheetView>
  </sheetViews>
  <sheetFormatPr defaultColWidth="9" defaultRowHeight="22.95" customHeight="1"/>
  <cols>
    <col min="1" max="1" width="38.77734375" style="469" customWidth="1"/>
    <col min="2" max="2" width="15.88671875" style="469" customWidth="1"/>
    <col min="3" max="3" width="17.88671875" style="469" customWidth="1"/>
    <col min="4" max="10" width="15.88671875" style="469" customWidth="1"/>
    <col min="11" max="11" width="38.44140625" style="470" customWidth="1"/>
    <col min="12" max="12" width="12.6640625" style="469" customWidth="1"/>
    <col min="13" max="261" width="9" style="469"/>
    <col min="262" max="262" width="51.88671875" style="469" customWidth="1"/>
    <col min="263" max="266" width="24.33203125" style="469" customWidth="1"/>
    <col min="267" max="267" width="53.77734375" style="469" customWidth="1"/>
    <col min="268" max="268" width="12.6640625" style="469" customWidth="1"/>
    <col min="269" max="517" width="9" style="469"/>
    <col min="518" max="518" width="51.88671875" style="469" customWidth="1"/>
    <col min="519" max="522" width="24.33203125" style="469" customWidth="1"/>
    <col min="523" max="523" width="53.77734375" style="469" customWidth="1"/>
    <col min="524" max="524" width="12.6640625" style="469" customWidth="1"/>
    <col min="525" max="773" width="9" style="469"/>
    <col min="774" max="774" width="51.88671875" style="469" customWidth="1"/>
    <col min="775" max="778" width="24.33203125" style="469" customWidth="1"/>
    <col min="779" max="779" width="53.77734375" style="469" customWidth="1"/>
    <col min="780" max="780" width="12.6640625" style="469" customWidth="1"/>
    <col min="781" max="1029" width="9" style="469"/>
    <col min="1030" max="1030" width="51.88671875" style="469" customWidth="1"/>
    <col min="1031" max="1034" width="24.33203125" style="469" customWidth="1"/>
    <col min="1035" max="1035" width="53.77734375" style="469" customWidth="1"/>
    <col min="1036" max="1036" width="12.6640625" style="469" customWidth="1"/>
    <col min="1037" max="1285" width="9" style="469"/>
    <col min="1286" max="1286" width="51.88671875" style="469" customWidth="1"/>
    <col min="1287" max="1290" width="24.33203125" style="469" customWidth="1"/>
    <col min="1291" max="1291" width="53.77734375" style="469" customWidth="1"/>
    <col min="1292" max="1292" width="12.6640625" style="469" customWidth="1"/>
    <col min="1293" max="1541" width="9" style="469"/>
    <col min="1542" max="1542" width="51.88671875" style="469" customWidth="1"/>
    <col min="1543" max="1546" width="24.33203125" style="469" customWidth="1"/>
    <col min="1547" max="1547" width="53.77734375" style="469" customWidth="1"/>
    <col min="1548" max="1548" width="12.6640625" style="469" customWidth="1"/>
    <col min="1549" max="1797" width="9" style="469"/>
    <col min="1798" max="1798" width="51.88671875" style="469" customWidth="1"/>
    <col min="1799" max="1802" width="24.33203125" style="469" customWidth="1"/>
    <col min="1803" max="1803" width="53.77734375" style="469" customWidth="1"/>
    <col min="1804" max="1804" width="12.6640625" style="469" customWidth="1"/>
    <col min="1805" max="2053" width="9" style="469"/>
    <col min="2054" max="2054" width="51.88671875" style="469" customWidth="1"/>
    <col min="2055" max="2058" width="24.33203125" style="469" customWidth="1"/>
    <col min="2059" max="2059" width="53.77734375" style="469" customWidth="1"/>
    <col min="2060" max="2060" width="12.6640625" style="469" customWidth="1"/>
    <col min="2061" max="2309" width="9" style="469"/>
    <col min="2310" max="2310" width="51.88671875" style="469" customWidth="1"/>
    <col min="2311" max="2314" width="24.33203125" style="469" customWidth="1"/>
    <col min="2315" max="2315" width="53.77734375" style="469" customWidth="1"/>
    <col min="2316" max="2316" width="12.6640625" style="469" customWidth="1"/>
    <col min="2317" max="2565" width="9" style="469"/>
    <col min="2566" max="2566" width="51.88671875" style="469" customWidth="1"/>
    <col min="2567" max="2570" width="24.33203125" style="469" customWidth="1"/>
    <col min="2571" max="2571" width="53.77734375" style="469" customWidth="1"/>
    <col min="2572" max="2572" width="12.6640625" style="469" customWidth="1"/>
    <col min="2573" max="2821" width="9" style="469"/>
    <col min="2822" max="2822" width="51.88671875" style="469" customWidth="1"/>
    <col min="2823" max="2826" width="24.33203125" style="469" customWidth="1"/>
    <col min="2827" max="2827" width="53.77734375" style="469" customWidth="1"/>
    <col min="2828" max="2828" width="12.6640625" style="469" customWidth="1"/>
    <col min="2829" max="3077" width="9" style="469"/>
    <col min="3078" max="3078" width="51.88671875" style="469" customWidth="1"/>
    <col min="3079" max="3082" width="24.33203125" style="469" customWidth="1"/>
    <col min="3083" max="3083" width="53.77734375" style="469" customWidth="1"/>
    <col min="3084" max="3084" width="12.6640625" style="469" customWidth="1"/>
    <col min="3085" max="3333" width="9" style="469"/>
    <col min="3334" max="3334" width="51.88671875" style="469" customWidth="1"/>
    <col min="3335" max="3338" width="24.33203125" style="469" customWidth="1"/>
    <col min="3339" max="3339" width="53.77734375" style="469" customWidth="1"/>
    <col min="3340" max="3340" width="12.6640625" style="469" customWidth="1"/>
    <col min="3341" max="3589" width="9" style="469"/>
    <col min="3590" max="3590" width="51.88671875" style="469" customWidth="1"/>
    <col min="3591" max="3594" width="24.33203125" style="469" customWidth="1"/>
    <col min="3595" max="3595" width="53.77734375" style="469" customWidth="1"/>
    <col min="3596" max="3596" width="12.6640625" style="469" customWidth="1"/>
    <col min="3597" max="3845" width="9" style="469"/>
    <col min="3846" max="3846" width="51.88671875" style="469" customWidth="1"/>
    <col min="3847" max="3850" width="24.33203125" style="469" customWidth="1"/>
    <col min="3851" max="3851" width="53.77734375" style="469" customWidth="1"/>
    <col min="3852" max="3852" width="12.6640625" style="469" customWidth="1"/>
    <col min="3853" max="4101" width="9" style="469"/>
    <col min="4102" max="4102" width="51.88671875" style="469" customWidth="1"/>
    <col min="4103" max="4106" width="24.33203125" style="469" customWidth="1"/>
    <col min="4107" max="4107" width="53.77734375" style="469" customWidth="1"/>
    <col min="4108" max="4108" width="12.6640625" style="469" customWidth="1"/>
    <col min="4109" max="4357" width="9" style="469"/>
    <col min="4358" max="4358" width="51.88671875" style="469" customWidth="1"/>
    <col min="4359" max="4362" width="24.33203125" style="469" customWidth="1"/>
    <col min="4363" max="4363" width="53.77734375" style="469" customWidth="1"/>
    <col min="4364" max="4364" width="12.6640625" style="469" customWidth="1"/>
    <col min="4365" max="4613" width="9" style="469"/>
    <col min="4614" max="4614" width="51.88671875" style="469" customWidth="1"/>
    <col min="4615" max="4618" width="24.33203125" style="469" customWidth="1"/>
    <col min="4619" max="4619" width="53.77734375" style="469" customWidth="1"/>
    <col min="4620" max="4620" width="12.6640625" style="469" customWidth="1"/>
    <col min="4621" max="4869" width="9" style="469"/>
    <col min="4870" max="4870" width="51.88671875" style="469" customWidth="1"/>
    <col min="4871" max="4874" width="24.33203125" style="469" customWidth="1"/>
    <col min="4875" max="4875" width="53.77734375" style="469" customWidth="1"/>
    <col min="4876" max="4876" width="12.6640625" style="469" customWidth="1"/>
    <col min="4877" max="5125" width="9" style="469"/>
    <col min="5126" max="5126" width="51.88671875" style="469" customWidth="1"/>
    <col min="5127" max="5130" width="24.33203125" style="469" customWidth="1"/>
    <col min="5131" max="5131" width="53.77734375" style="469" customWidth="1"/>
    <col min="5132" max="5132" width="12.6640625" style="469" customWidth="1"/>
    <col min="5133" max="5381" width="9" style="469"/>
    <col min="5382" max="5382" width="51.88671875" style="469" customWidth="1"/>
    <col min="5383" max="5386" width="24.33203125" style="469" customWidth="1"/>
    <col min="5387" max="5387" width="53.77734375" style="469" customWidth="1"/>
    <col min="5388" max="5388" width="12.6640625" style="469" customWidth="1"/>
    <col min="5389" max="5637" width="9" style="469"/>
    <col min="5638" max="5638" width="51.88671875" style="469" customWidth="1"/>
    <col min="5639" max="5642" width="24.33203125" style="469" customWidth="1"/>
    <col min="5643" max="5643" width="53.77734375" style="469" customWidth="1"/>
    <col min="5644" max="5644" width="12.6640625" style="469" customWidth="1"/>
    <col min="5645" max="5893" width="9" style="469"/>
    <col min="5894" max="5894" width="51.88671875" style="469" customWidth="1"/>
    <col min="5895" max="5898" width="24.33203125" style="469" customWidth="1"/>
    <col min="5899" max="5899" width="53.77734375" style="469" customWidth="1"/>
    <col min="5900" max="5900" width="12.6640625" style="469" customWidth="1"/>
    <col min="5901" max="6149" width="9" style="469"/>
    <col min="6150" max="6150" width="51.88671875" style="469" customWidth="1"/>
    <col min="6151" max="6154" width="24.33203125" style="469" customWidth="1"/>
    <col min="6155" max="6155" width="53.77734375" style="469" customWidth="1"/>
    <col min="6156" max="6156" width="12.6640625" style="469" customWidth="1"/>
    <col min="6157" max="6405" width="9" style="469"/>
    <col min="6406" max="6406" width="51.88671875" style="469" customWidth="1"/>
    <col min="6407" max="6410" width="24.33203125" style="469" customWidth="1"/>
    <col min="6411" max="6411" width="53.77734375" style="469" customWidth="1"/>
    <col min="6412" max="6412" width="12.6640625" style="469" customWidth="1"/>
    <col min="6413" max="6661" width="9" style="469"/>
    <col min="6662" max="6662" width="51.88671875" style="469" customWidth="1"/>
    <col min="6663" max="6666" width="24.33203125" style="469" customWidth="1"/>
    <col min="6667" max="6667" width="53.77734375" style="469" customWidth="1"/>
    <col min="6668" max="6668" width="12.6640625" style="469" customWidth="1"/>
    <col min="6669" max="6917" width="9" style="469"/>
    <col min="6918" max="6918" width="51.88671875" style="469" customWidth="1"/>
    <col min="6919" max="6922" width="24.33203125" style="469" customWidth="1"/>
    <col min="6923" max="6923" width="53.77734375" style="469" customWidth="1"/>
    <col min="6924" max="6924" width="12.6640625" style="469" customWidth="1"/>
    <col min="6925" max="7173" width="9" style="469"/>
    <col min="7174" max="7174" width="51.88671875" style="469" customWidth="1"/>
    <col min="7175" max="7178" width="24.33203125" style="469" customWidth="1"/>
    <col min="7179" max="7179" width="53.77734375" style="469" customWidth="1"/>
    <col min="7180" max="7180" width="12.6640625" style="469" customWidth="1"/>
    <col min="7181" max="7429" width="9" style="469"/>
    <col min="7430" max="7430" width="51.88671875" style="469" customWidth="1"/>
    <col min="7431" max="7434" width="24.33203125" style="469" customWidth="1"/>
    <col min="7435" max="7435" width="53.77734375" style="469" customWidth="1"/>
    <col min="7436" max="7436" width="12.6640625" style="469" customWidth="1"/>
    <col min="7437" max="7685" width="9" style="469"/>
    <col min="7686" max="7686" width="51.88671875" style="469" customWidth="1"/>
    <col min="7687" max="7690" width="24.33203125" style="469" customWidth="1"/>
    <col min="7691" max="7691" width="53.77734375" style="469" customWidth="1"/>
    <col min="7692" max="7692" width="12.6640625" style="469" customWidth="1"/>
    <col min="7693" max="7941" width="9" style="469"/>
    <col min="7942" max="7942" width="51.88671875" style="469" customWidth="1"/>
    <col min="7943" max="7946" width="24.33203125" style="469" customWidth="1"/>
    <col min="7947" max="7947" width="53.77734375" style="469" customWidth="1"/>
    <col min="7948" max="7948" width="12.6640625" style="469" customWidth="1"/>
    <col min="7949" max="8197" width="9" style="469"/>
    <col min="8198" max="8198" width="51.88671875" style="469" customWidth="1"/>
    <col min="8199" max="8202" width="24.33203125" style="469" customWidth="1"/>
    <col min="8203" max="8203" width="53.77734375" style="469" customWidth="1"/>
    <col min="8204" max="8204" width="12.6640625" style="469" customWidth="1"/>
    <col min="8205" max="8453" width="9" style="469"/>
    <col min="8454" max="8454" width="51.88671875" style="469" customWidth="1"/>
    <col min="8455" max="8458" width="24.33203125" style="469" customWidth="1"/>
    <col min="8459" max="8459" width="53.77734375" style="469" customWidth="1"/>
    <col min="8460" max="8460" width="12.6640625" style="469" customWidth="1"/>
    <col min="8461" max="8709" width="9" style="469"/>
    <col min="8710" max="8710" width="51.88671875" style="469" customWidth="1"/>
    <col min="8711" max="8714" width="24.33203125" style="469" customWidth="1"/>
    <col min="8715" max="8715" width="53.77734375" style="469" customWidth="1"/>
    <col min="8716" max="8716" width="12.6640625" style="469" customWidth="1"/>
    <col min="8717" max="8965" width="9" style="469"/>
    <col min="8966" max="8966" width="51.88671875" style="469" customWidth="1"/>
    <col min="8967" max="8970" width="24.33203125" style="469" customWidth="1"/>
    <col min="8971" max="8971" width="53.77734375" style="469" customWidth="1"/>
    <col min="8972" max="8972" width="12.6640625" style="469" customWidth="1"/>
    <col min="8973" max="9221" width="9" style="469"/>
    <col min="9222" max="9222" width="51.88671875" style="469" customWidth="1"/>
    <col min="9223" max="9226" width="24.33203125" style="469" customWidth="1"/>
    <col min="9227" max="9227" width="53.77734375" style="469" customWidth="1"/>
    <col min="9228" max="9228" width="12.6640625" style="469" customWidth="1"/>
    <col min="9229" max="9477" width="9" style="469"/>
    <col min="9478" max="9478" width="51.88671875" style="469" customWidth="1"/>
    <col min="9479" max="9482" width="24.33203125" style="469" customWidth="1"/>
    <col min="9483" max="9483" width="53.77734375" style="469" customWidth="1"/>
    <col min="9484" max="9484" width="12.6640625" style="469" customWidth="1"/>
    <col min="9485" max="9733" width="9" style="469"/>
    <col min="9734" max="9734" width="51.88671875" style="469" customWidth="1"/>
    <col min="9735" max="9738" width="24.33203125" style="469" customWidth="1"/>
    <col min="9739" max="9739" width="53.77734375" style="469" customWidth="1"/>
    <col min="9740" max="9740" width="12.6640625" style="469" customWidth="1"/>
    <col min="9741" max="9989" width="9" style="469"/>
    <col min="9990" max="9990" width="51.88671875" style="469" customWidth="1"/>
    <col min="9991" max="9994" width="24.33203125" style="469" customWidth="1"/>
    <col min="9995" max="9995" width="53.77734375" style="469" customWidth="1"/>
    <col min="9996" max="9996" width="12.6640625" style="469" customWidth="1"/>
    <col min="9997" max="10245" width="9" style="469"/>
    <col min="10246" max="10246" width="51.88671875" style="469" customWidth="1"/>
    <col min="10247" max="10250" width="24.33203125" style="469" customWidth="1"/>
    <col min="10251" max="10251" width="53.77734375" style="469" customWidth="1"/>
    <col min="10252" max="10252" width="12.6640625" style="469" customWidth="1"/>
    <col min="10253" max="10501" width="9" style="469"/>
    <col min="10502" max="10502" width="51.88671875" style="469" customWidth="1"/>
    <col min="10503" max="10506" width="24.33203125" style="469" customWidth="1"/>
    <col min="10507" max="10507" width="53.77734375" style="469" customWidth="1"/>
    <col min="10508" max="10508" width="12.6640625" style="469" customWidth="1"/>
    <col min="10509" max="10757" width="9" style="469"/>
    <col min="10758" max="10758" width="51.88671875" style="469" customWidth="1"/>
    <col min="10759" max="10762" width="24.33203125" style="469" customWidth="1"/>
    <col min="10763" max="10763" width="53.77734375" style="469" customWidth="1"/>
    <col min="10764" max="10764" width="12.6640625" style="469" customWidth="1"/>
    <col min="10765" max="11013" width="9" style="469"/>
    <col min="11014" max="11014" width="51.88671875" style="469" customWidth="1"/>
    <col min="11015" max="11018" width="24.33203125" style="469" customWidth="1"/>
    <col min="11019" max="11019" width="53.77734375" style="469" customWidth="1"/>
    <col min="11020" max="11020" width="12.6640625" style="469" customWidth="1"/>
    <col min="11021" max="11269" width="9" style="469"/>
    <col min="11270" max="11270" width="51.88671875" style="469" customWidth="1"/>
    <col min="11271" max="11274" width="24.33203125" style="469" customWidth="1"/>
    <col min="11275" max="11275" width="53.77734375" style="469" customWidth="1"/>
    <col min="11276" max="11276" width="12.6640625" style="469" customWidth="1"/>
    <col min="11277" max="11525" width="9" style="469"/>
    <col min="11526" max="11526" width="51.88671875" style="469" customWidth="1"/>
    <col min="11527" max="11530" width="24.33203125" style="469" customWidth="1"/>
    <col min="11531" max="11531" width="53.77734375" style="469" customWidth="1"/>
    <col min="11532" max="11532" width="12.6640625" style="469" customWidth="1"/>
    <col min="11533" max="11781" width="9" style="469"/>
    <col min="11782" max="11782" width="51.88671875" style="469" customWidth="1"/>
    <col min="11783" max="11786" width="24.33203125" style="469" customWidth="1"/>
    <col min="11787" max="11787" width="53.77734375" style="469" customWidth="1"/>
    <col min="11788" max="11788" width="12.6640625" style="469" customWidth="1"/>
    <col min="11789" max="12037" width="9" style="469"/>
    <col min="12038" max="12038" width="51.88671875" style="469" customWidth="1"/>
    <col min="12039" max="12042" width="24.33203125" style="469" customWidth="1"/>
    <col min="12043" max="12043" width="53.77734375" style="469" customWidth="1"/>
    <col min="12044" max="12044" width="12.6640625" style="469" customWidth="1"/>
    <col min="12045" max="12293" width="9" style="469"/>
    <col min="12294" max="12294" width="51.88671875" style="469" customWidth="1"/>
    <col min="12295" max="12298" width="24.33203125" style="469" customWidth="1"/>
    <col min="12299" max="12299" width="53.77734375" style="469" customWidth="1"/>
    <col min="12300" max="12300" width="12.6640625" style="469" customWidth="1"/>
    <col min="12301" max="12549" width="9" style="469"/>
    <col min="12550" max="12550" width="51.88671875" style="469" customWidth="1"/>
    <col min="12551" max="12554" width="24.33203125" style="469" customWidth="1"/>
    <col min="12555" max="12555" width="53.77734375" style="469" customWidth="1"/>
    <col min="12556" max="12556" width="12.6640625" style="469" customWidth="1"/>
    <col min="12557" max="12805" width="9" style="469"/>
    <col min="12806" max="12806" width="51.88671875" style="469" customWidth="1"/>
    <col min="12807" max="12810" width="24.33203125" style="469" customWidth="1"/>
    <col min="12811" max="12811" width="53.77734375" style="469" customWidth="1"/>
    <col min="12812" max="12812" width="12.6640625" style="469" customWidth="1"/>
    <col min="12813" max="13061" width="9" style="469"/>
    <col min="13062" max="13062" width="51.88671875" style="469" customWidth="1"/>
    <col min="13063" max="13066" width="24.33203125" style="469" customWidth="1"/>
    <col min="13067" max="13067" width="53.77734375" style="469" customWidth="1"/>
    <col min="13068" max="13068" width="12.6640625" style="469" customWidth="1"/>
    <col min="13069" max="13317" width="9" style="469"/>
    <col min="13318" max="13318" width="51.88671875" style="469" customWidth="1"/>
    <col min="13319" max="13322" width="24.33203125" style="469" customWidth="1"/>
    <col min="13323" max="13323" width="53.77734375" style="469" customWidth="1"/>
    <col min="13324" max="13324" width="12.6640625" style="469" customWidth="1"/>
    <col min="13325" max="13573" width="9" style="469"/>
    <col min="13574" max="13574" width="51.88671875" style="469" customWidth="1"/>
    <col min="13575" max="13578" width="24.33203125" style="469" customWidth="1"/>
    <col min="13579" max="13579" width="53.77734375" style="469" customWidth="1"/>
    <col min="13580" max="13580" width="12.6640625" style="469" customWidth="1"/>
    <col min="13581" max="13829" width="9" style="469"/>
    <col min="13830" max="13830" width="51.88671875" style="469" customWidth="1"/>
    <col min="13831" max="13834" width="24.33203125" style="469" customWidth="1"/>
    <col min="13835" max="13835" width="53.77734375" style="469" customWidth="1"/>
    <col min="13836" max="13836" width="12.6640625" style="469" customWidth="1"/>
    <col min="13837" max="14085" width="9" style="469"/>
    <col min="14086" max="14086" width="51.88671875" style="469" customWidth="1"/>
    <col min="14087" max="14090" width="24.33203125" style="469" customWidth="1"/>
    <col min="14091" max="14091" width="53.77734375" style="469" customWidth="1"/>
    <col min="14092" max="14092" width="12.6640625" style="469" customWidth="1"/>
    <col min="14093" max="14341" width="9" style="469"/>
    <col min="14342" max="14342" width="51.88671875" style="469" customWidth="1"/>
    <col min="14343" max="14346" width="24.33203125" style="469" customWidth="1"/>
    <col min="14347" max="14347" width="53.77734375" style="469" customWidth="1"/>
    <col min="14348" max="14348" width="12.6640625" style="469" customWidth="1"/>
    <col min="14349" max="14597" width="9" style="469"/>
    <col min="14598" max="14598" width="51.88671875" style="469" customWidth="1"/>
    <col min="14599" max="14602" width="24.33203125" style="469" customWidth="1"/>
    <col min="14603" max="14603" width="53.77734375" style="469" customWidth="1"/>
    <col min="14604" max="14604" width="12.6640625" style="469" customWidth="1"/>
    <col min="14605" max="14853" width="9" style="469"/>
    <col min="14854" max="14854" width="51.88671875" style="469" customWidth="1"/>
    <col min="14855" max="14858" width="24.33203125" style="469" customWidth="1"/>
    <col min="14859" max="14859" width="53.77734375" style="469" customWidth="1"/>
    <col min="14860" max="14860" width="12.6640625" style="469" customWidth="1"/>
    <col min="14861" max="15109" width="9" style="469"/>
    <col min="15110" max="15110" width="51.88671875" style="469" customWidth="1"/>
    <col min="15111" max="15114" width="24.33203125" style="469" customWidth="1"/>
    <col min="15115" max="15115" width="53.77734375" style="469" customWidth="1"/>
    <col min="15116" max="15116" width="12.6640625" style="469" customWidth="1"/>
    <col min="15117" max="15365" width="9" style="469"/>
    <col min="15366" max="15366" width="51.88671875" style="469" customWidth="1"/>
    <col min="15367" max="15370" width="24.33203125" style="469" customWidth="1"/>
    <col min="15371" max="15371" width="53.77734375" style="469" customWidth="1"/>
    <col min="15372" max="15372" width="12.6640625" style="469" customWidth="1"/>
    <col min="15373" max="15621" width="9" style="469"/>
    <col min="15622" max="15622" width="51.88671875" style="469" customWidth="1"/>
    <col min="15623" max="15626" width="24.33203125" style="469" customWidth="1"/>
    <col min="15627" max="15627" width="53.77734375" style="469" customWidth="1"/>
    <col min="15628" max="15628" width="12.6640625" style="469" customWidth="1"/>
    <col min="15629" max="15877" width="9" style="469"/>
    <col min="15878" max="15878" width="51.88671875" style="469" customWidth="1"/>
    <col min="15879" max="15882" width="24.33203125" style="469" customWidth="1"/>
    <col min="15883" max="15883" width="53.77734375" style="469" customWidth="1"/>
    <col min="15884" max="15884" width="12.6640625" style="469" customWidth="1"/>
    <col min="15885" max="16133" width="9" style="469"/>
    <col min="16134" max="16134" width="51.88671875" style="469" customWidth="1"/>
    <col min="16135" max="16138" width="24.33203125" style="469" customWidth="1"/>
    <col min="16139" max="16139" width="53.77734375" style="469" customWidth="1"/>
    <col min="16140" max="16140" width="12.6640625" style="469" customWidth="1"/>
    <col min="16141" max="16384" width="9" style="469"/>
  </cols>
  <sheetData>
    <row r="1" spans="1:11" ht="24.6" customHeight="1">
      <c r="A1" s="610" t="s">
        <v>1554</v>
      </c>
    </row>
    <row r="2" spans="1:11" ht="15.6">
      <c r="A2" s="2523" t="s">
        <v>1366</v>
      </c>
      <c r="B2" s="2523"/>
      <c r="C2" s="2523"/>
      <c r="D2" s="2523"/>
      <c r="E2" s="2523"/>
      <c r="F2" s="2523"/>
      <c r="G2" s="2523"/>
      <c r="H2" s="2523"/>
      <c r="I2" s="2523"/>
      <c r="J2" s="2523"/>
      <c r="K2" s="2523"/>
    </row>
    <row r="3" spans="1:11" ht="22.95" customHeight="1" thickBot="1">
      <c r="A3" s="590"/>
      <c r="B3" s="590"/>
      <c r="C3" s="590"/>
      <c r="D3" s="590"/>
      <c r="E3" s="590"/>
      <c r="F3" s="590"/>
      <c r="G3" s="590"/>
      <c r="H3" s="590"/>
      <c r="I3" s="590"/>
      <c r="J3" s="590"/>
      <c r="K3" s="590"/>
    </row>
    <row r="4" spans="1:11" ht="22.95" customHeight="1" thickBot="1">
      <c r="A4" s="505"/>
      <c r="B4" s="506"/>
      <c r="C4" s="506"/>
      <c r="D4" s="2524" t="s">
        <v>1367</v>
      </c>
      <c r="E4" s="2525"/>
      <c r="F4" s="2526"/>
      <c r="G4" s="591"/>
      <c r="H4" s="2524" t="s">
        <v>1368</v>
      </c>
      <c r="I4" s="2525"/>
      <c r="J4" s="2526"/>
      <c r="K4" s="507"/>
    </row>
    <row r="5" spans="1:11" s="937" customFormat="1" ht="22.95" customHeight="1">
      <c r="A5" s="934" t="s">
        <v>1291</v>
      </c>
      <c r="B5" s="934">
        <f>C5-1</f>
        <v>2015</v>
      </c>
      <c r="C5" s="934">
        <f>D5-1</f>
        <v>2016</v>
      </c>
      <c r="D5" s="934">
        <f>E5-1</f>
        <v>2017</v>
      </c>
      <c r="E5" s="934">
        <f>测算年份</f>
        <v>2018</v>
      </c>
      <c r="F5" s="934">
        <f>E5+1</f>
        <v>2019</v>
      </c>
      <c r="G5" s="935" t="s">
        <v>1369</v>
      </c>
      <c r="H5" s="934">
        <f>F5+1</f>
        <v>2020</v>
      </c>
      <c r="I5" s="934">
        <f>H5+1</f>
        <v>2021</v>
      </c>
      <c r="J5" s="934">
        <f>I5+1</f>
        <v>2022</v>
      </c>
      <c r="K5" s="936" t="s">
        <v>1293</v>
      </c>
    </row>
    <row r="6" spans="1:11" ht="22.95" customHeight="1">
      <c r="A6" s="508" t="s">
        <v>1370</v>
      </c>
      <c r="B6" s="594">
        <f t="shared" ref="B6:F6" si="0">B7+B17</f>
        <v>2344179</v>
      </c>
      <c r="C6" s="509">
        <f>C7+C17</f>
        <v>4773206.9822447598</v>
      </c>
      <c r="D6" s="509">
        <f t="shared" si="0"/>
        <v>4654110.65326689</v>
      </c>
      <c r="E6" s="509">
        <f t="shared" si="0"/>
        <v>5446892.2043317668</v>
      </c>
      <c r="F6" s="509">
        <f t="shared" si="0"/>
        <v>7250655.6415473912</v>
      </c>
      <c r="G6" s="509">
        <f>G7+G17</f>
        <v>5383597.7999566766</v>
      </c>
      <c r="H6" s="509">
        <f t="shared" ref="H6:J6" si="1">H7+H17</f>
        <v>5506400.3640592415</v>
      </c>
      <c r="I6" s="509">
        <f t="shared" si="1"/>
        <v>5629202.9281618055</v>
      </c>
      <c r="J6" s="509">
        <f t="shared" si="1"/>
        <v>5752005.4922643695</v>
      </c>
      <c r="K6" s="592"/>
    </row>
    <row r="7" spans="1:11" ht="22.95" customHeight="1">
      <c r="A7" s="508" t="s">
        <v>1371</v>
      </c>
      <c r="B7" s="594">
        <f>B8+B14</f>
        <v>2344179</v>
      </c>
      <c r="C7" s="509">
        <f>C8+C14</f>
        <v>2344179</v>
      </c>
      <c r="D7" s="509">
        <f>D8+D14</f>
        <v>4773206.9822447598</v>
      </c>
      <c r="E7" s="509">
        <f>E8+E14</f>
        <v>4654110.65326689</v>
      </c>
      <c r="F7" s="509">
        <f>F8+F14</f>
        <v>5446892.2043317677</v>
      </c>
      <c r="G7" s="509">
        <f t="shared" ref="G7:H7" si="2">G8+G14</f>
        <v>5036050.5968281478</v>
      </c>
      <c r="H7" s="509">
        <f t="shared" si="2"/>
        <v>5383597.7999566775</v>
      </c>
      <c r="I7" s="509">
        <f>H6</f>
        <v>5506400.3640592415</v>
      </c>
      <c r="J7" s="509">
        <f>I6</f>
        <v>5629202.9281618055</v>
      </c>
      <c r="K7" s="592"/>
    </row>
    <row r="8" spans="1:11" ht="22.95" customHeight="1">
      <c r="A8" s="510" t="s">
        <v>1372</v>
      </c>
      <c r="B8" s="594">
        <f t="shared" ref="B8:F8" si="3">SUM(B9:B12)</f>
        <v>1105937</v>
      </c>
      <c r="C8" s="509">
        <f t="shared" si="3"/>
        <v>1105937</v>
      </c>
      <c r="D8" s="509">
        <f t="shared" si="3"/>
        <v>3461066.8623729646</v>
      </c>
      <c r="E8" s="509">
        <f t="shared" si="3"/>
        <v>3316674.2801899672</v>
      </c>
      <c r="F8" s="509">
        <f t="shared" si="3"/>
        <v>4071863.1517676651</v>
      </c>
      <c r="G8" s="509">
        <f>SUM(G9:G12)</f>
        <v>3616534.7647768655</v>
      </c>
      <c r="H8" s="509">
        <f t="shared" ref="H8:J8" si="4">SUM(H9:H12)</f>
        <v>3919595.1884182151</v>
      </c>
      <c r="I8" s="509">
        <f t="shared" si="4"/>
        <v>3956833.6499566766</v>
      </c>
      <c r="J8" s="509">
        <f t="shared" si="4"/>
        <v>3994072.1114951381</v>
      </c>
      <c r="K8" s="592"/>
    </row>
    <row r="9" spans="1:11" ht="22.95" customHeight="1">
      <c r="A9" s="511" t="s">
        <v>1295</v>
      </c>
      <c r="B9" s="595">
        <f>输配电价测算参数!C6</f>
        <v>149036</v>
      </c>
      <c r="C9" s="509">
        <f>输配电价测算参数!C6</f>
        <v>149036</v>
      </c>
      <c r="D9" s="509">
        <f>C9+C25</f>
        <v>935368.42302379862</v>
      </c>
      <c r="E9" s="509">
        <f t="shared" ref="D9:F12" si="5">D9+D25</f>
        <v>788315.34462919948</v>
      </c>
      <c r="F9" s="509">
        <f t="shared" si="5"/>
        <v>1217762.8031803565</v>
      </c>
      <c r="G9" s="509">
        <f t="shared" ref="G9:G13" si="6">AVERAGE(D9:F9)</f>
        <v>980482.19027778495</v>
      </c>
      <c r="H9" s="509">
        <f>G9+G25</f>
        <v>1162318.4444625946</v>
      </c>
      <c r="I9" s="509">
        <f t="shared" ref="I9:J12" si="7">H9+H25</f>
        <v>1170995.3675395176</v>
      </c>
      <c r="J9" s="509">
        <f t="shared" si="7"/>
        <v>1179672.2906164406</v>
      </c>
      <c r="K9" s="592"/>
    </row>
    <row r="10" spans="1:11" ht="22.95" customHeight="1">
      <c r="A10" s="511" t="s">
        <v>1297</v>
      </c>
      <c r="B10" s="595">
        <f>输配电价测算参数!C7</f>
        <v>127038</v>
      </c>
      <c r="C10" s="509">
        <f>输配电价测算参数!C7</f>
        <v>127038</v>
      </c>
      <c r="D10" s="509">
        <f t="shared" si="5"/>
        <v>651259.61534919916</v>
      </c>
      <c r="E10" s="509">
        <f t="shared" si="5"/>
        <v>553224.22975279973</v>
      </c>
      <c r="F10" s="509">
        <f t="shared" si="5"/>
        <v>839522.53545357112</v>
      </c>
      <c r="G10" s="509">
        <f t="shared" si="6"/>
        <v>681335.46018519008</v>
      </c>
      <c r="H10" s="509">
        <f t="shared" ref="H10:H12" si="8">G10+G26</f>
        <v>802559.62964172987</v>
      </c>
      <c r="I10" s="509">
        <f t="shared" si="7"/>
        <v>808826.2963083965</v>
      </c>
      <c r="J10" s="509">
        <f t="shared" si="7"/>
        <v>815092.96297506313</v>
      </c>
      <c r="K10" s="592"/>
    </row>
    <row r="11" spans="1:11" ht="22.95" customHeight="1">
      <c r="A11" s="511" t="s">
        <v>1298</v>
      </c>
      <c r="B11" s="595">
        <f>输配电价测算参数!C8</f>
        <v>454248</v>
      </c>
      <c r="C11" s="509">
        <f>输配电价测算参数!C8</f>
        <v>454248</v>
      </c>
      <c r="D11" s="509">
        <f t="shared" si="5"/>
        <v>581415.63742099376</v>
      </c>
      <c r="E11" s="509">
        <f t="shared" si="5"/>
        <v>1492424.7702429988</v>
      </c>
      <c r="F11" s="509">
        <f t="shared" si="5"/>
        <v>2070431.6742593346</v>
      </c>
      <c r="G11" s="509">
        <f t="shared" si="6"/>
        <v>1381424.0273077758</v>
      </c>
      <c r="H11" s="509">
        <f t="shared" si="8"/>
        <v>1381424.0273077758</v>
      </c>
      <c r="I11" s="509">
        <f t="shared" si="7"/>
        <v>1381424.0273077758</v>
      </c>
      <c r="J11" s="509">
        <f t="shared" si="7"/>
        <v>1381424.0273077758</v>
      </c>
      <c r="K11" s="592"/>
    </row>
    <row r="12" spans="1:11" ht="22.95" customHeight="1">
      <c r="A12" s="511" t="s">
        <v>1299</v>
      </c>
      <c r="B12" s="595">
        <f>输配电价测算参数!C9</f>
        <v>375615</v>
      </c>
      <c r="C12" s="509">
        <f>输配电价测算参数!C9</f>
        <v>375615</v>
      </c>
      <c r="D12" s="509">
        <f t="shared" si="5"/>
        <v>1293023.1865789732</v>
      </c>
      <c r="E12" s="509">
        <f t="shared" si="5"/>
        <v>482709.9355649692</v>
      </c>
      <c r="F12" s="509">
        <f t="shared" si="5"/>
        <v>-55853.861125597265</v>
      </c>
      <c r="G12" s="509">
        <f t="shared" si="6"/>
        <v>573293.08700611501</v>
      </c>
      <c r="H12" s="509">
        <f t="shared" si="8"/>
        <v>573293.08700611501</v>
      </c>
      <c r="I12" s="509">
        <f t="shared" si="7"/>
        <v>595587.95880098676</v>
      </c>
      <c r="J12" s="509">
        <f t="shared" si="7"/>
        <v>617882.83059585851</v>
      </c>
      <c r="K12" s="592"/>
    </row>
    <row r="13" spans="1:11" ht="22.95" customHeight="1">
      <c r="A13" s="511" t="s">
        <v>1373</v>
      </c>
      <c r="B13" s="595">
        <f>输配电价测算参数!C10</f>
        <v>5000</v>
      </c>
      <c r="C13" s="509">
        <f>输配电价测算参数!C10</f>
        <v>5000</v>
      </c>
      <c r="D13" s="512">
        <f>C13</f>
        <v>5000</v>
      </c>
      <c r="E13" s="512">
        <f>D13</f>
        <v>5000</v>
      </c>
      <c r="F13" s="512">
        <f>E13</f>
        <v>5000</v>
      </c>
      <c r="G13" s="509">
        <f t="shared" si="6"/>
        <v>5000</v>
      </c>
      <c r="H13" s="512">
        <f>G13</f>
        <v>5000</v>
      </c>
      <c r="I13" s="512">
        <f>H13</f>
        <v>5000</v>
      </c>
      <c r="J13" s="512">
        <f>I13</f>
        <v>5000</v>
      </c>
      <c r="K13" s="592" t="s">
        <v>1374</v>
      </c>
    </row>
    <row r="14" spans="1:11" ht="22.95" customHeight="1">
      <c r="A14" s="510" t="s">
        <v>1375</v>
      </c>
      <c r="B14" s="594">
        <f>B15+B16</f>
        <v>1238242</v>
      </c>
      <c r="C14" s="509">
        <f>C15+C16</f>
        <v>1238242</v>
      </c>
      <c r="D14" s="509">
        <f t="shared" ref="D14:H15" si="9">C14+C18</f>
        <v>1312140.1198717949</v>
      </c>
      <c r="E14" s="509">
        <f t="shared" si="9"/>
        <v>1337436.3730769232</v>
      </c>
      <c r="F14" s="509">
        <f t="shared" si="9"/>
        <v>1375029.0525641027</v>
      </c>
      <c r="G14" s="509">
        <f t="shared" si="9"/>
        <v>1419515.8320512823</v>
      </c>
      <c r="H14" s="509">
        <f t="shared" si="9"/>
        <v>1464002.6115384619</v>
      </c>
      <c r="I14" s="509">
        <f>H14+H18</f>
        <v>1549566.7141025644</v>
      </c>
      <c r="J14" s="509">
        <f>I14+I18</f>
        <v>1635130.8166666669</v>
      </c>
      <c r="K14" s="2527" t="s">
        <v>1376</v>
      </c>
    </row>
    <row r="15" spans="1:11" ht="22.95" customHeight="1">
      <c r="A15" s="511" t="s">
        <v>1377</v>
      </c>
      <c r="B15" s="595">
        <f>输配电价测算参数!C14</f>
        <v>1238242</v>
      </c>
      <c r="C15" s="509">
        <f>输配电价测算参数!C14</f>
        <v>1238242</v>
      </c>
      <c r="D15" s="509">
        <f t="shared" si="9"/>
        <v>1312140.1198717949</v>
      </c>
      <c r="E15" s="509">
        <f t="shared" si="9"/>
        <v>1337436.3730769232</v>
      </c>
      <c r="F15" s="509">
        <f t="shared" si="9"/>
        <v>1375029.0525641027</v>
      </c>
      <c r="G15" s="509">
        <f>F15</f>
        <v>1375029.0525641027</v>
      </c>
      <c r="H15" s="509">
        <f>G15+G19</f>
        <v>1419515.8320512823</v>
      </c>
      <c r="I15" s="509">
        <f>H15+H19</f>
        <v>1505079.9346153848</v>
      </c>
      <c r="J15" s="509">
        <f>I15+I19</f>
        <v>1590644.0371794873</v>
      </c>
      <c r="K15" s="2527"/>
    </row>
    <row r="16" spans="1:11" ht="22.95" customHeight="1">
      <c r="A16" s="511" t="s">
        <v>1378</v>
      </c>
      <c r="B16" s="595">
        <f>输配电价测算参数!C15</f>
        <v>0</v>
      </c>
      <c r="C16" s="509">
        <f>输配电价测算参数!C15</f>
        <v>0</v>
      </c>
      <c r="D16" s="509">
        <f>C16+C21</f>
        <v>0</v>
      </c>
      <c r="E16" s="509">
        <f>D16+D21</f>
        <v>0</v>
      </c>
      <c r="F16" s="509">
        <f>E16+E21</f>
        <v>0</v>
      </c>
      <c r="G16" s="509">
        <f>F16</f>
        <v>0</v>
      </c>
      <c r="H16" s="509">
        <f>G16+G21</f>
        <v>0</v>
      </c>
      <c r="I16" s="509">
        <f>H16+H21</f>
        <v>0</v>
      </c>
      <c r="J16" s="509">
        <f>I16+I21</f>
        <v>0</v>
      </c>
      <c r="K16" s="2527"/>
    </row>
    <row r="17" spans="1:11" ht="22.95" customHeight="1">
      <c r="A17" s="508" t="s">
        <v>1379</v>
      </c>
      <c r="B17" s="594"/>
      <c r="C17" s="509">
        <f>C18+C24</f>
        <v>2429027.9822447593</v>
      </c>
      <c r="D17" s="509">
        <f>D18+D24</f>
        <v>-119096.32897786939</v>
      </c>
      <c r="E17" s="509">
        <f>E18+E24</f>
        <v>792781.55106487731</v>
      </c>
      <c r="F17" s="509">
        <f>F18+F24</f>
        <v>1803763.4372156239</v>
      </c>
      <c r="G17" s="509">
        <f t="shared" ref="G17:J17" si="10">G18+G24</f>
        <v>347547.20312852878</v>
      </c>
      <c r="H17" s="509">
        <f t="shared" si="10"/>
        <v>122802.56410256411</v>
      </c>
      <c r="I17" s="509">
        <f t="shared" si="10"/>
        <v>122802.56410256411</v>
      </c>
      <c r="J17" s="509">
        <f t="shared" si="10"/>
        <v>122802.56410256411</v>
      </c>
      <c r="K17" s="592"/>
    </row>
    <row r="18" spans="1:11" ht="22.95" customHeight="1">
      <c r="A18" s="510" t="s">
        <v>1380</v>
      </c>
      <c r="B18" s="594"/>
      <c r="C18" s="509">
        <f>C19+C21</f>
        <v>73898.119871794872</v>
      </c>
      <c r="D18" s="509">
        <f t="shared" ref="D18:G18" si="11">D19+D21</f>
        <v>25296.253205128211</v>
      </c>
      <c r="E18" s="509">
        <f t="shared" si="11"/>
        <v>37592.679487179499</v>
      </c>
      <c r="F18" s="509">
        <f t="shared" si="11"/>
        <v>44486.779487179505</v>
      </c>
      <c r="G18" s="509">
        <f t="shared" si="11"/>
        <v>44486.779487179505</v>
      </c>
      <c r="H18" s="509">
        <f>H19+H21</f>
        <v>85564.102564102563</v>
      </c>
      <c r="I18" s="509">
        <f t="shared" ref="I18:J18" si="12">I19+I21</f>
        <v>85564.102564102563</v>
      </c>
      <c r="J18" s="509">
        <f t="shared" si="12"/>
        <v>85564.102564102563</v>
      </c>
      <c r="K18" s="592"/>
    </row>
    <row r="19" spans="1:11" ht="22.95" customHeight="1">
      <c r="A19" s="511" t="s">
        <v>1377</v>
      </c>
      <c r="B19" s="594"/>
      <c r="C19" s="509">
        <f>C20*C23</f>
        <v>73898.119871794872</v>
      </c>
      <c r="D19" s="509">
        <f t="shared" ref="D19:F19" si="13">D20*D23</f>
        <v>25296.253205128211</v>
      </c>
      <c r="E19" s="509">
        <f t="shared" si="13"/>
        <v>37592.679487179499</v>
      </c>
      <c r="F19" s="509">
        <f t="shared" si="13"/>
        <v>44486.779487179505</v>
      </c>
      <c r="G19" s="509">
        <f>F19</f>
        <v>44486.779487179505</v>
      </c>
      <c r="H19" s="509">
        <f>H20*H23</f>
        <v>85564.102564102563</v>
      </c>
      <c r="I19" s="509">
        <f>I20*I23</f>
        <v>85564.102564102563</v>
      </c>
      <c r="J19" s="509">
        <f t="shared" ref="J19" si="14">J20*J23</f>
        <v>85564.102564102563</v>
      </c>
      <c r="K19" s="592"/>
    </row>
    <row r="20" spans="1:11" ht="22.95" customHeight="1">
      <c r="A20" s="511" t="s">
        <v>1381</v>
      </c>
      <c r="B20" s="595"/>
      <c r="C20" s="602">
        <f>核价与实际情况对比分析!I3*输配电价测算参数!C60/1.17-输配电价测算参数!C56</f>
        <v>1040818.5897435897</v>
      </c>
      <c r="D20" s="602">
        <f>核价与实际情况对比分析!J3*输配电价测算参数!D60/1.17-输配电价测算参数!D56</f>
        <v>356285.25641025649</v>
      </c>
      <c r="E20" s="602">
        <f>核价与实际情况对比分析!K3*输配电价测算参数!E60/1.17-输配电价测算参数!E56</f>
        <v>529474.35897435923</v>
      </c>
      <c r="F20" s="602">
        <f>核价与实际情况对比分析!L3*输配电价测算参数!F60/1.17-输配电价测算参数!F56</f>
        <v>626574.35897435923</v>
      </c>
      <c r="G20" s="509">
        <f>F20</f>
        <v>626574.35897435923</v>
      </c>
      <c r="H20" s="509">
        <f>输配电价测算参数!G55*输配电价测算参数!G60/1.17-输配电价测算参数!G56</f>
        <v>1205128.2051282052</v>
      </c>
      <c r="I20" s="509">
        <f>输配电价测算参数!H55*输配电价测算参数!H60/1.17-输配电价测算参数!H56</f>
        <v>1205128.2051282052</v>
      </c>
      <c r="J20" s="509">
        <f>输配电价测算参数!I55*输配电价测算参数!I60/1.17-输配电价测算参数!I56</f>
        <v>1205128.2051282052</v>
      </c>
      <c r="K20" s="592" t="s">
        <v>1547</v>
      </c>
    </row>
    <row r="21" spans="1:11" ht="22.95" customHeight="1">
      <c r="A21" s="511" t="s">
        <v>1378</v>
      </c>
      <c r="B21" s="594"/>
      <c r="C21" s="509">
        <f>C22*C23</f>
        <v>0</v>
      </c>
      <c r="D21" s="509">
        <f t="shared" ref="D21:F21" si="15">D22*D23</f>
        <v>0</v>
      </c>
      <c r="E21" s="509">
        <f t="shared" si="15"/>
        <v>0</v>
      </c>
      <c r="F21" s="509">
        <f t="shared" si="15"/>
        <v>0</v>
      </c>
      <c r="G21" s="509">
        <f>F21</f>
        <v>0</v>
      </c>
      <c r="H21" s="509">
        <f t="shared" ref="H21:J21" si="16">H22*H23</f>
        <v>0</v>
      </c>
      <c r="I21" s="509">
        <f t="shared" si="16"/>
        <v>0</v>
      </c>
      <c r="J21" s="509">
        <f t="shared" si="16"/>
        <v>0</v>
      </c>
      <c r="K21" s="592"/>
    </row>
    <row r="22" spans="1:11" ht="22.95" customHeight="1">
      <c r="A22" s="511" t="s">
        <v>1383</v>
      </c>
      <c r="B22" s="595"/>
      <c r="C22" s="509">
        <f>输配电价测算参数!C59*输配电价测算参数!C60/1.17</f>
        <v>0</v>
      </c>
      <c r="D22" s="509">
        <f>输配电价测算参数!D59*输配电价测算参数!D60/1.17</f>
        <v>0</v>
      </c>
      <c r="E22" s="509">
        <f>输配电价测算参数!E59*输配电价测算参数!E60/1.17</f>
        <v>0</v>
      </c>
      <c r="F22" s="509">
        <f>输配电价测算参数!F59*输配电价测算参数!F60/1.17</f>
        <v>0</v>
      </c>
      <c r="G22" s="509">
        <f>F22</f>
        <v>0</v>
      </c>
      <c r="H22" s="509">
        <f>输配电价测算参数!G59*输配电价测算参数!G60/1.17</f>
        <v>0</v>
      </c>
      <c r="I22" s="509">
        <f>输配电价测算参数!H59*输配电价测算参数!H60/1.17</f>
        <v>0</v>
      </c>
      <c r="J22" s="509">
        <f>输配电价测算参数!I59*输配电价测算参数!I60/1.17</f>
        <v>0</v>
      </c>
      <c r="K22" s="592" t="s">
        <v>1382</v>
      </c>
    </row>
    <row r="23" spans="1:11" ht="22.95" customHeight="1">
      <c r="A23" s="511" t="s">
        <v>1384</v>
      </c>
      <c r="B23" s="595"/>
      <c r="C23" s="603">
        <f>核价与实际情况对比分析!I4</f>
        <v>7.0999999999999994E-2</v>
      </c>
      <c r="D23" s="603">
        <f>核价与实际情况对比分析!J4</f>
        <v>7.0999999999999994E-2</v>
      </c>
      <c r="E23" s="603">
        <f>核价与实际情况对比分析!K4</f>
        <v>7.0999999999999994E-2</v>
      </c>
      <c r="F23" s="603">
        <f>核价与实际情况对比分析!L4</f>
        <v>7.0999999999999994E-2</v>
      </c>
      <c r="G23" s="513">
        <f t="shared" ref="G23:J23" si="17">F23</f>
        <v>7.0999999999999994E-2</v>
      </c>
      <c r="H23" s="513">
        <f t="shared" si="17"/>
        <v>7.0999999999999994E-2</v>
      </c>
      <c r="I23" s="513">
        <f t="shared" si="17"/>
        <v>7.0999999999999994E-2</v>
      </c>
      <c r="J23" s="513">
        <f t="shared" si="17"/>
        <v>7.0999999999999994E-2</v>
      </c>
      <c r="K23" s="592" t="s">
        <v>1548</v>
      </c>
    </row>
    <row r="24" spans="1:11" ht="22.95" customHeight="1">
      <c r="A24" s="510" t="s">
        <v>1386</v>
      </c>
      <c r="B24" s="594"/>
      <c r="C24" s="509">
        <f t="shared" ref="C24:F24" si="18">SUM(C25:C28)</f>
        <v>2355129.8623729646</v>
      </c>
      <c r="D24" s="509">
        <f t="shared" si="18"/>
        <v>-144392.5821829976</v>
      </c>
      <c r="E24" s="509">
        <f t="shared" si="18"/>
        <v>755188.87157769781</v>
      </c>
      <c r="F24" s="509">
        <f t="shared" si="18"/>
        <v>1759276.6577284443</v>
      </c>
      <c r="G24" s="509">
        <f>SUM(G25:G28)</f>
        <v>303060.42364134931</v>
      </c>
      <c r="H24" s="509">
        <f t="shared" ref="H24:J24" si="19">SUM(H25:H28)</f>
        <v>37238.461538461546</v>
      </c>
      <c r="I24" s="509">
        <f t="shared" si="19"/>
        <v>37238.461538461546</v>
      </c>
      <c r="J24" s="509">
        <f t="shared" si="19"/>
        <v>37238.461538461546</v>
      </c>
      <c r="K24" s="592"/>
    </row>
    <row r="25" spans="1:11" ht="22.95" customHeight="1">
      <c r="A25" s="511" t="s">
        <v>1387</v>
      </c>
      <c r="B25" s="595"/>
      <c r="C25" s="602">
        <f>核价与实际情况对比分析!I6+核价与实际情况对比分析!I15</f>
        <v>786332.42302379862</v>
      </c>
      <c r="D25" s="602">
        <f>核价与实际情况对比分析!J6+核价与实际情况对比分析!J15</f>
        <v>-147053.0783945992</v>
      </c>
      <c r="E25" s="602">
        <f>核价与实际情况对比分析!K6+核价与实际情况对比分析!K15</f>
        <v>429447.45855115703</v>
      </c>
      <c r="F25" s="602">
        <f>核价与实际情况对比分析!L6+核价与实际情况对比分析!L15</f>
        <v>263114.38239787094</v>
      </c>
      <c r="G25" s="509">
        <f t="shared" ref="G25:G26" si="20">AVERAGE(D25:F25)</f>
        <v>181836.2541848096</v>
      </c>
      <c r="H25" s="509">
        <f>(H20+H22)*输配电价测算参数!$C$46+输配电价测算参数!G58*输配电价测算参数!$C$46</f>
        <v>8676.923076923078</v>
      </c>
      <c r="I25" s="509">
        <f>(I20+I22)*输配电价测算参数!$C$46+输配电价测算参数!H58*输配电价测算参数!$C$46</f>
        <v>8676.923076923078</v>
      </c>
      <c r="J25" s="509">
        <f>(J20+J22)*输配电价测算参数!$C$46+输配电价测算参数!I58*输配电价测算参数!$C$46</f>
        <v>8676.923076923078</v>
      </c>
      <c r="K25" s="609" t="s">
        <v>1549</v>
      </c>
    </row>
    <row r="26" spans="1:11" ht="22.95" customHeight="1">
      <c r="A26" s="511" t="s">
        <v>1389</v>
      </c>
      <c r="B26" s="595"/>
      <c r="C26" s="602">
        <f>核价与实际情况对比分析!I7+核价与实际情况对比分析!I16</f>
        <v>524221.6153491991</v>
      </c>
      <c r="D26" s="602">
        <f>核价与实际情况对比分析!J7+核价与实际情况对比分析!J16</f>
        <v>-98035.385596399472</v>
      </c>
      <c r="E26" s="602">
        <f>核价与实际情况对比分析!K7+核价与实际情况对比分析!K16</f>
        <v>286298.30570077139</v>
      </c>
      <c r="F26" s="602">
        <f>核价与实际情况对比分析!L7+核价与实际情况对比分析!L16</f>
        <v>175409.58826524729</v>
      </c>
      <c r="G26" s="509">
        <f t="shared" si="20"/>
        <v>121224.16945653973</v>
      </c>
      <c r="H26" s="509">
        <f>(H20+H22)*输配电价测算参数!$C$47+输配电价测算参数!G58*输配电价测算参数!$C$47</f>
        <v>6266.666666666667</v>
      </c>
      <c r="I26" s="509">
        <f>(I20+I22)*输配电价测算参数!$C$47+输配电价测算参数!H58*输配电价测算参数!$C$47</f>
        <v>6266.666666666667</v>
      </c>
      <c r="J26" s="509">
        <f>(J20+J22)*输配电价测算参数!$C$47+输配电价测算参数!I58*输配电价测算参数!$C$47</f>
        <v>6266.666666666667</v>
      </c>
      <c r="K26" s="609" t="s">
        <v>1549</v>
      </c>
    </row>
    <row r="27" spans="1:11" ht="22.95" customHeight="1">
      <c r="A27" s="514" t="s">
        <v>1298</v>
      </c>
      <c r="B27" s="596"/>
      <c r="C27" s="602">
        <f>核价与实际情况对比分析!I8+核价与实际情况对比分析!I17</f>
        <v>127167.63742099373</v>
      </c>
      <c r="D27" s="602">
        <f>核价与实际情况对比分析!J8+核价与实际情况对比分析!J17</f>
        <v>911009.13282200508</v>
      </c>
      <c r="E27" s="602">
        <f>核价与实际情况对比分析!K8+核价与实际情况对比分析!K17</f>
        <v>578006.90401633573</v>
      </c>
      <c r="F27" s="602">
        <f>核价与实际情况对比分析!L8+核价与实际情况对比分析!L17</f>
        <v>598278.92347145057</v>
      </c>
      <c r="G27" s="509">
        <v>0</v>
      </c>
      <c r="H27" s="509"/>
      <c r="I27" s="509"/>
      <c r="J27" s="509"/>
      <c r="K27" s="609" t="s">
        <v>1549</v>
      </c>
    </row>
    <row r="28" spans="1:11" ht="22.95" customHeight="1">
      <c r="A28" s="514" t="s">
        <v>1299</v>
      </c>
      <c r="B28" s="596"/>
      <c r="C28" s="602">
        <f>核价与实际情况对比分析!I9+核价与实际情况对比分析!I18</f>
        <v>917408.18657897308</v>
      </c>
      <c r="D28" s="602">
        <f>核价与实际情况对比分析!J9+核价与实际情况对比分析!J18</f>
        <v>-810313.251014004</v>
      </c>
      <c r="E28" s="602">
        <f>核价与实际情况对比分析!K9+核价与实际情况对比分析!K18</f>
        <v>-538563.79669056647</v>
      </c>
      <c r="F28" s="602">
        <f>核价与实际情况对比分析!L9+核价与实际情况对比分析!L18</f>
        <v>722473.76359387545</v>
      </c>
      <c r="G28" s="509"/>
      <c r="H28" s="512">
        <f>(H20+H22)*输配电价测算参数!$C$48</f>
        <v>22294.871794871797</v>
      </c>
      <c r="I28" s="512">
        <f>(I20+I22)*输配电价测算参数!$C$48</f>
        <v>22294.871794871797</v>
      </c>
      <c r="J28" s="512">
        <f>(J20+J22)*输配电价测算参数!$C$48</f>
        <v>22294.871794871797</v>
      </c>
      <c r="K28" s="609" t="s">
        <v>1549</v>
      </c>
    </row>
    <row r="29" spans="1:11" ht="22.95" customHeight="1">
      <c r="A29" s="508" t="s">
        <v>1392</v>
      </c>
      <c r="B29" s="594">
        <f>B30+B35</f>
        <v>247335.0173455</v>
      </c>
      <c r="C29" s="509">
        <f>C30+C35</f>
        <v>247335.0173455</v>
      </c>
      <c r="D29" s="509">
        <f>D30+D35</f>
        <v>241550.64059456124</v>
      </c>
      <c r="E29" s="509">
        <f>E30+E35</f>
        <v>220907.04619381955</v>
      </c>
      <c r="F29" s="509">
        <f>F30+F35</f>
        <v>203101.95951555864</v>
      </c>
      <c r="G29" s="509"/>
      <c r="H29" s="509">
        <f>H30+H35</f>
        <v>186398.25168890291</v>
      </c>
      <c r="I29" s="509">
        <f>I30+I35</f>
        <v>180014.54465968304</v>
      </c>
      <c r="J29" s="509">
        <f>J30+J35</f>
        <v>171839.68148943756</v>
      </c>
      <c r="K29" s="592"/>
    </row>
    <row r="30" spans="1:11" ht="22.95" customHeight="1">
      <c r="A30" s="508" t="s">
        <v>1393</v>
      </c>
      <c r="B30" s="594">
        <f>(B31+B32+B33)*B34</f>
        <v>247335.0173455</v>
      </c>
      <c r="C30" s="509">
        <f>(C31+C32+C33)*C34</f>
        <v>247335.0173455</v>
      </c>
      <c r="D30" s="509">
        <f>(D31+D32+D33)*D34</f>
        <v>241550.64059456124</v>
      </c>
      <c r="E30" s="509">
        <f>(E31+E32+E33)*E34</f>
        <v>220907.04619381955</v>
      </c>
      <c r="F30" s="509">
        <f>(F31+F32+F33)*F34</f>
        <v>203101.95951555864</v>
      </c>
      <c r="G30" s="509"/>
      <c r="H30" s="509">
        <f>(H31+H32+H33)*H34</f>
        <v>186398.25168890291</v>
      </c>
      <c r="I30" s="509">
        <f>(I31+I32+I33)*I34</f>
        <v>180014.54465968304</v>
      </c>
      <c r="J30" s="509">
        <f>(J31+J32+J33)*J34</f>
        <v>171839.68148943756</v>
      </c>
      <c r="K30" s="592" t="s">
        <v>1394</v>
      </c>
    </row>
    <row r="31" spans="1:11" ht="22.95" customHeight="1">
      <c r="A31" s="511" t="s">
        <v>24</v>
      </c>
      <c r="B31" s="595">
        <f>输配电价测算参数!C18</f>
        <v>10978000</v>
      </c>
      <c r="C31" s="509">
        <f>输配电价测算参数!C18</f>
        <v>10978000</v>
      </c>
      <c r="D31" s="509">
        <f>C31+C20-C19-C15</f>
        <v>10706678.469871795</v>
      </c>
      <c r="E31" s="509">
        <f>D31+D20-D19-D15</f>
        <v>9725527.3532051276</v>
      </c>
      <c r="F31" s="509">
        <f>E31+E20-E19-E15</f>
        <v>8879972.6596153844</v>
      </c>
      <c r="G31" s="509"/>
      <c r="H31" s="509">
        <f>F31+F20-F19-F15</f>
        <v>8087031.1865384616</v>
      </c>
      <c r="I31" s="509">
        <f>H31+H20-H19-H15</f>
        <v>7787079.4570512827</v>
      </c>
      <c r="J31" s="509">
        <f>I31+I20-I19-I15</f>
        <v>7401563.6250000019</v>
      </c>
      <c r="K31" s="592"/>
    </row>
    <row r="32" spans="1:11" ht="22.95" customHeight="1">
      <c r="A32" s="511" t="s">
        <v>1395</v>
      </c>
      <c r="B32" s="595">
        <f>输配电价测算参数!C19</f>
        <v>26500</v>
      </c>
      <c r="C32" s="509">
        <f>输配电价测算参数!C19</f>
        <v>26500</v>
      </c>
      <c r="D32" s="509">
        <f>C32-C13+输配电价测算参数!D67</f>
        <v>21500</v>
      </c>
      <c r="E32" s="509">
        <f>D32-D13+输配电价测算参数!E67</f>
        <v>16500</v>
      </c>
      <c r="F32" s="509">
        <f>E32-E13+输配电价测算参数!F67</f>
        <v>11500</v>
      </c>
      <c r="G32" s="509"/>
      <c r="H32" s="509">
        <f>F32-F13+输配电价测算参数!G67</f>
        <v>6500</v>
      </c>
      <c r="I32" s="509">
        <f>H32-H13+输配电价测算参数!H67</f>
        <v>1500</v>
      </c>
      <c r="J32" s="509">
        <f>I32-I13+输配电价测算参数!I67</f>
        <v>-3500</v>
      </c>
      <c r="K32" s="592"/>
    </row>
    <row r="33" spans="1:12" ht="22.95" customHeight="1">
      <c r="A33" s="511" t="s">
        <v>1396</v>
      </c>
      <c r="B33" s="595">
        <f>输配电价测算参数!C31</f>
        <v>810773</v>
      </c>
      <c r="C33" s="509">
        <f>输配电价测算参数!C31</f>
        <v>810773</v>
      </c>
      <c r="D33" s="509">
        <f t="shared" ref="D33:F34" si="21">C33</f>
        <v>810773</v>
      </c>
      <c r="E33" s="509">
        <f t="shared" si="21"/>
        <v>810773</v>
      </c>
      <c r="F33" s="509">
        <f t="shared" si="21"/>
        <v>810773</v>
      </c>
      <c r="G33" s="863">
        <f>F33</f>
        <v>810773</v>
      </c>
      <c r="H33" s="509">
        <f t="shared" ref="H33:H34" si="22">G33</f>
        <v>810773</v>
      </c>
      <c r="I33" s="509">
        <f>H33</f>
        <v>810773</v>
      </c>
      <c r="J33" s="509">
        <f>I33</f>
        <v>810773</v>
      </c>
      <c r="K33" s="592"/>
    </row>
    <row r="34" spans="1:12" ht="22.95" customHeight="1">
      <c r="A34" s="511" t="s">
        <v>1328</v>
      </c>
      <c r="B34" s="595">
        <f>C34</f>
        <v>2.0933500000000001E-2</v>
      </c>
      <c r="C34" s="516">
        <f>输配电价测算参数!C36</f>
        <v>2.0933500000000001E-2</v>
      </c>
      <c r="D34" s="516">
        <f t="shared" si="21"/>
        <v>2.0933500000000001E-2</v>
      </c>
      <c r="E34" s="516">
        <f t="shared" si="21"/>
        <v>2.0933500000000001E-2</v>
      </c>
      <c r="F34" s="516">
        <f t="shared" si="21"/>
        <v>2.0933500000000001E-2</v>
      </c>
      <c r="G34" s="516">
        <f>F34</f>
        <v>2.0933500000000001E-2</v>
      </c>
      <c r="H34" s="516">
        <f t="shared" si="22"/>
        <v>2.0933500000000001E-2</v>
      </c>
      <c r="I34" s="516">
        <f>H34</f>
        <v>2.0933500000000001E-2</v>
      </c>
      <c r="J34" s="516">
        <f>I34</f>
        <v>2.0933500000000001E-2</v>
      </c>
      <c r="K34" s="592"/>
    </row>
    <row r="35" spans="1:12" ht="22.95" customHeight="1">
      <c r="A35" s="508" t="s">
        <v>1397</v>
      </c>
      <c r="B35" s="594">
        <f>B36*B37</f>
        <v>0</v>
      </c>
      <c r="C35" s="509">
        <f>C36*C37</f>
        <v>0</v>
      </c>
      <c r="D35" s="509">
        <f>D36*D37</f>
        <v>0</v>
      </c>
      <c r="E35" s="509">
        <f>E36*E37</f>
        <v>0</v>
      </c>
      <c r="F35" s="509">
        <f>F36*F37</f>
        <v>0</v>
      </c>
      <c r="G35" s="509"/>
      <c r="H35" s="509">
        <f>H36*H37</f>
        <v>0</v>
      </c>
      <c r="I35" s="509">
        <f>I36*I37</f>
        <v>0</v>
      </c>
      <c r="J35" s="509">
        <f>J36*J37</f>
        <v>0</v>
      </c>
      <c r="K35" s="592"/>
    </row>
    <row r="36" spans="1:12" ht="22.95" customHeight="1">
      <c r="A36" s="511" t="s">
        <v>1398</v>
      </c>
      <c r="B36" s="595">
        <f>输配电价测算参数!C20</f>
        <v>0</v>
      </c>
      <c r="C36" s="509">
        <f>输配电价测算参数!C20</f>
        <v>0</v>
      </c>
      <c r="D36" s="509">
        <f>C36+C22-C16-C21</f>
        <v>0</v>
      </c>
      <c r="E36" s="509">
        <f>D36+D22-D16-D21</f>
        <v>0</v>
      </c>
      <c r="F36" s="509">
        <f>E36+E22-E16-E21</f>
        <v>0</v>
      </c>
      <c r="G36" s="509"/>
      <c r="H36" s="509">
        <f>F36+F22-F16-F21</f>
        <v>0</v>
      </c>
      <c r="I36" s="509">
        <f>H36+H22-H16-H21</f>
        <v>0</v>
      </c>
      <c r="J36" s="509">
        <f>I36+I22-I16-I21</f>
        <v>0</v>
      </c>
      <c r="K36" s="592"/>
    </row>
    <row r="37" spans="1:12" ht="22.95" customHeight="1">
      <c r="A37" s="511" t="s">
        <v>1328</v>
      </c>
      <c r="B37" s="595">
        <f>B34</f>
        <v>2.0933500000000001E-2</v>
      </c>
      <c r="C37" s="516">
        <f>C34</f>
        <v>2.0933500000000001E-2</v>
      </c>
      <c r="D37" s="516">
        <f>C37</f>
        <v>2.0933500000000001E-2</v>
      </c>
      <c r="E37" s="516">
        <f>D37</f>
        <v>2.0933500000000001E-2</v>
      </c>
      <c r="F37" s="516">
        <f>E37</f>
        <v>2.0933500000000001E-2</v>
      </c>
      <c r="G37" s="516">
        <f t="shared" ref="G37:J37" si="23">F37</f>
        <v>2.0933500000000001E-2</v>
      </c>
      <c r="H37" s="850">
        <f t="shared" si="23"/>
        <v>2.0933500000000001E-2</v>
      </c>
      <c r="I37" s="516">
        <f t="shared" si="23"/>
        <v>2.0933500000000001E-2</v>
      </c>
      <c r="J37" s="516">
        <f t="shared" si="23"/>
        <v>2.0933500000000001E-2</v>
      </c>
      <c r="K37" s="592"/>
    </row>
    <row r="38" spans="1:12" ht="22.95" customHeight="1">
      <c r="A38" s="508" t="s">
        <v>1399</v>
      </c>
      <c r="B38" s="595">
        <f>B39+B40</f>
        <v>99136.7626653888</v>
      </c>
      <c r="C38" s="517">
        <f>C39+C40</f>
        <v>131419.11423016063</v>
      </c>
      <c r="D38" s="517">
        <f>D39+D40</f>
        <v>133256.51240271973</v>
      </c>
      <c r="E38" s="517">
        <f>E39+E40</f>
        <v>135916.06897789665</v>
      </c>
      <c r="F38" s="517">
        <f>F39+F40</f>
        <v>162086.55633163027</v>
      </c>
      <c r="G38" s="509"/>
      <c r="H38" s="517">
        <f>H39+H40</f>
        <v>127154.03377277151</v>
      </c>
      <c r="I38" s="517">
        <f>I39+I40</f>
        <v>127283.64163442256</v>
      </c>
      <c r="J38" s="517">
        <f>J39+J40</f>
        <v>126789.23160827885</v>
      </c>
      <c r="K38" s="592"/>
    </row>
    <row r="39" spans="1:12" ht="22.95" customHeight="1">
      <c r="A39" s="518" t="s">
        <v>1400</v>
      </c>
      <c r="B39" s="595">
        <f>(B31+B32+B33+B36)*(1-输配电价测算参数!$C$43)*输配电价测算参数!$C$38/(1-输配电价测算参数!$C$44)*输配电价测算参数!$C$44</f>
        <v>79365.157953166665</v>
      </c>
      <c r="C39" s="517">
        <f>(C31+C32+C33+C36)*(1-输配电价测算参数!$C$43)*输配电价测算参数!$C$38/(1-输配电价测算参数!$C$44)*输配电价测算参数!$C$44</f>
        <v>79365.157953166665</v>
      </c>
      <c r="D39" s="517">
        <f>(D31+D32+D33+D36)*(1-输配电价测算参数!$C$43)*输配电价测算参数!$C$38/(1-输配电价测算参数!$C$44)*输配电价测算参数!$C$44</f>
        <v>77509.060181707158</v>
      </c>
      <c r="E39" s="517">
        <f>(E31+E32+E33+E36)*(1-输配电价测算参数!$C$43)*输配电价测算参数!$C$38/(1-输配电价测算参数!$C$44)*输配电价测算参数!$C$44</f>
        <v>70884.918772537712</v>
      </c>
      <c r="F39" s="517">
        <f>(F31+F32+F33+F36)*(1-输配电价测算参数!$C$43)*输配电价测算参数!$C$38/(1-输配电价测算参数!$C$44)*输配电价测算参数!$C$44</f>
        <v>65171.601136579811</v>
      </c>
      <c r="G39" s="509"/>
      <c r="H39" s="517">
        <f>(H31+H32+H33+H36)*(1-输配电价测算参数!$C$43)*输配电价测算参数!$C$38/(1-输配电价测算参数!$C$44)*输配电价测算参数!$C$44</f>
        <v>59811.695271676603</v>
      </c>
      <c r="I39" s="517">
        <f>(I31+I32+I33+I36)*(1-输配电价测算参数!$C$43)*输配电价测算参数!$C$38/(1-输配电价测算参数!$C$44)*输配电价测算参数!$C$44</f>
        <v>57763.283679422973</v>
      </c>
      <c r="J39" s="517">
        <f>(J31+J32+J33+J36)*(1-输配电价测算参数!$C$43)*输配电价测算参数!$C$38/(1-输配电价测算参数!$C$44)*输配电价测算参数!$C$44</f>
        <v>55140.12374956251</v>
      </c>
      <c r="K39" s="592"/>
    </row>
    <row r="40" spans="1:12" ht="22.95" customHeight="1">
      <c r="A40" s="518" t="s">
        <v>1401</v>
      </c>
      <c r="B40" s="595">
        <f>((B6+B29+B39)*17%-(B9+B25)*17%-(B10+B26)*3%-(输配电价测算参数!C55*输配电价测算参数!C60+输配电价测算参数!C59*输配电价测算参数!C60)/1.17*17%)*12%/(1-17%*12%)</f>
        <v>19771.604712222139</v>
      </c>
      <c r="C40" s="517">
        <f>((C6+C29+C39)*17%-(C9+C25)*17%-(C10+C26)*3%-(输配电价测算参数!C55*输配电价测算参数!C60+输配电价测算参数!C59*输配电价测算参数!C60)/1.17*17%)*12%/(1-17%*12%)</f>
        <v>52053.956276993973</v>
      </c>
      <c r="D40" s="517">
        <f>((D6+D29+D39)*17%-(D9+D25)*17%-(D10+D26)*3%-(输配电价测算参数!D55*输配电价测算参数!D60+输配电价测算参数!D59*输配电价测算参数!D60)/1.17*17%)*12%/(1-17%*12%)</f>
        <v>55747.45222101258</v>
      </c>
      <c r="E40" s="517">
        <f>((E6+E29+E39)*17%-(E9+E25)*17%-(E10+E26)*3%-(输配电价测算参数!E55*输配电价测算参数!E60+输配电价测算参数!E59*输配电价测算参数!E60)/1.17*17%)*12%/(1-17%*12%)</f>
        <v>65031.150205358921</v>
      </c>
      <c r="F40" s="517">
        <f>((F6+F29+F39)*17%-(F9+F25)*17%-(F10+F26)*3%-(输配电价测算参数!F55*输配电价测算参数!F60+输配电价测算参数!F59*输配电价测算参数!F60)/1.17*17%)*12%/(1-17%*12%)</f>
        <v>96914.955195050468</v>
      </c>
      <c r="G40" s="509"/>
      <c r="H40" s="517">
        <f>((H6+H29+H39)*17%-(H9+H25)*17%-(H10+H26)*3%-(输配电价测算参数!G55*输配电价测算参数!G60+输配电价测算参数!G59*输配电价测算参数!G60)/1.17*17%)*12%/(1-17%*12%)</f>
        <v>67342.338501094913</v>
      </c>
      <c r="I40" s="517">
        <f>((I6+I29+I39)*17%-(I9+I25)*17%-(I10+I26)*3%-(输配电价测算参数!H55*输配电价测算参数!H60+输配电价测算参数!H59*输配电价测算参数!H60)/1.17*17%)*12%/(1-17%*12%)</f>
        <v>69520.357954999592</v>
      </c>
      <c r="J40" s="517">
        <f>((J6+J29+J39)*17%-(J9+J25)*17%-(J10+J26)*3%-(输配电价测算参数!I55*输配电价测算参数!I60+输配电价测算参数!I59*输配电价测算参数!I60)/1.17*17%)*12%/(1-17%*12%)</f>
        <v>71649.107858716336</v>
      </c>
      <c r="K40" s="592" t="s">
        <v>1402</v>
      </c>
    </row>
    <row r="41" spans="1:12" ht="22.95" customHeight="1">
      <c r="A41" s="508" t="s">
        <v>1403</v>
      </c>
      <c r="B41" s="595">
        <f>B38+B29+B6</f>
        <v>2690650.7800108888</v>
      </c>
      <c r="C41" s="517">
        <f>C38+C29+C6</f>
        <v>5151961.1138204206</v>
      </c>
      <c r="D41" s="517">
        <f>D38+D29+D6</f>
        <v>5028917.8062641714</v>
      </c>
      <c r="E41" s="517">
        <f>E38+E29+E6</f>
        <v>5803715.3195034834</v>
      </c>
      <c r="F41" s="517">
        <f>F38+F29+F6</f>
        <v>7615844.1573945805</v>
      </c>
      <c r="G41" s="509"/>
      <c r="H41" s="517">
        <f>H38+H29+H6</f>
        <v>5819952.6495209159</v>
      </c>
      <c r="I41" s="517">
        <f>I38+I29+I6</f>
        <v>5936501.1144559113</v>
      </c>
      <c r="J41" s="517">
        <f>J38+J29+J6</f>
        <v>6050634.4053620864</v>
      </c>
      <c r="K41" s="592"/>
    </row>
    <row r="42" spans="1:12" ht="22.95" customHeight="1">
      <c r="A42" s="508" t="s">
        <v>1404</v>
      </c>
      <c r="B42" s="594">
        <f>输配电价测算参数!C21</f>
        <v>73400</v>
      </c>
      <c r="C42" s="509">
        <f>输配电价测算参数!C21</f>
        <v>73400</v>
      </c>
      <c r="D42" s="509">
        <f>C42</f>
        <v>73400</v>
      </c>
      <c r="E42" s="509">
        <f>D42</f>
        <v>73400</v>
      </c>
      <c r="F42" s="509">
        <f>E42</f>
        <v>73400</v>
      </c>
      <c r="G42" s="509">
        <f t="shared" ref="G42:J42" si="24">F42</f>
        <v>73400</v>
      </c>
      <c r="H42" s="509">
        <f t="shared" si="24"/>
        <v>73400</v>
      </c>
      <c r="I42" s="509">
        <f t="shared" si="24"/>
        <v>73400</v>
      </c>
      <c r="J42" s="509">
        <f t="shared" si="24"/>
        <v>73400</v>
      </c>
      <c r="K42" s="592"/>
    </row>
    <row r="43" spans="1:12" ht="22.95" customHeight="1">
      <c r="A43" s="508" t="s">
        <v>1545</v>
      </c>
      <c r="B43" s="595">
        <f>B41-B42</f>
        <v>2617250.7800108888</v>
      </c>
      <c r="C43" s="517">
        <f>C41-C42</f>
        <v>5078561.1138204206</v>
      </c>
      <c r="D43" s="517">
        <f>D41-D42</f>
        <v>4955517.8062641714</v>
      </c>
      <c r="E43" s="517">
        <f>E41-E42</f>
        <v>5730315.3195034834</v>
      </c>
      <c r="F43" s="517">
        <f>F41-F42</f>
        <v>7542444.1573945805</v>
      </c>
      <c r="G43" s="509"/>
      <c r="H43" s="517">
        <f>H41-H42</f>
        <v>5746552.6495209159</v>
      </c>
      <c r="I43" s="517">
        <f>I41-I42</f>
        <v>5863101.1144559113</v>
      </c>
      <c r="J43" s="517">
        <f>J41-J42</f>
        <v>5977234.4053620864</v>
      </c>
      <c r="K43" s="592"/>
    </row>
    <row r="44" spans="1:12" ht="22.95" customHeight="1">
      <c r="A44" s="508" t="s">
        <v>1546</v>
      </c>
      <c r="B44" s="608">
        <f>输配电价测算参数!C70</f>
        <v>0</v>
      </c>
      <c r="C44" s="608">
        <f>输配电价测算参数!D70</f>
        <v>12350000</v>
      </c>
      <c r="D44" s="608">
        <f>输配电价测算参数!E70</f>
        <v>12535249.999999998</v>
      </c>
      <c r="E44" s="608">
        <f>输配电价测算参数!F70</f>
        <v>12723278.749999996</v>
      </c>
      <c r="F44" s="608">
        <f>输配电价测算参数!G70</f>
        <v>12914127.931249995</v>
      </c>
      <c r="G44" s="509"/>
      <c r="H44" s="512">
        <f>输配电价测算参数!H70</f>
        <v>13559834.327812495</v>
      </c>
      <c r="I44" s="512">
        <f>输配电价测算参数!I70</f>
        <v>14237826.044203119</v>
      </c>
      <c r="J44" s="512">
        <f>输配电价测算参数!J70</f>
        <v>14949717.346413275</v>
      </c>
      <c r="K44" s="592" t="s">
        <v>1405</v>
      </c>
    </row>
    <row r="45" spans="1:12" ht="22.95" customHeight="1">
      <c r="A45" s="508" t="s">
        <v>1406</v>
      </c>
      <c r="B45" s="605" t="e">
        <f>B43*1.17/B44*1000</f>
        <v>#DIV/0!</v>
      </c>
      <c r="C45" s="605">
        <f t="shared" ref="C45:F45" si="25">C43*1.17/C44*1000</f>
        <v>481.12684236193456</v>
      </c>
      <c r="D45" s="605">
        <f t="shared" si="25"/>
        <v>462.53212607080684</v>
      </c>
      <c r="E45" s="605">
        <f t="shared" si="25"/>
        <v>526.94506310482882</v>
      </c>
      <c r="F45" s="605">
        <f t="shared" si="25"/>
        <v>683.33376524770847</v>
      </c>
      <c r="G45" s="825"/>
      <c r="H45" s="606">
        <f>H43*1.17/H44*1000</f>
        <v>495.83692819528108</v>
      </c>
      <c r="I45" s="606">
        <f t="shared" ref="I45:J45" si="26">I43*1.17/I44*1000</f>
        <v>481.80307039966755</v>
      </c>
      <c r="J45" s="606">
        <f t="shared" si="26"/>
        <v>467.79240652007934</v>
      </c>
      <c r="K45" s="519"/>
      <c r="L45" s="520"/>
    </row>
    <row r="46" spans="1:12" ht="22.95" customHeight="1">
      <c r="A46" s="508" t="s">
        <v>1407</v>
      </c>
      <c r="B46" s="607" t="e">
        <f>B43/B44*1000</f>
        <v>#DIV/0!</v>
      </c>
      <c r="C46" s="607">
        <f t="shared" ref="C46:F46" si="27">C43/C44*1000</f>
        <v>411.21952338626886</v>
      </c>
      <c r="D46" s="607">
        <f t="shared" si="27"/>
        <v>395.3266034793221</v>
      </c>
      <c r="E46" s="607">
        <f t="shared" si="27"/>
        <v>450.38039581609303</v>
      </c>
      <c r="F46" s="607">
        <f t="shared" si="27"/>
        <v>584.04595320316969</v>
      </c>
      <c r="G46" s="826"/>
      <c r="H46" s="607">
        <f t="shared" ref="H46:J46" si="28">H43/H44*1000</f>
        <v>423.79224632075307</v>
      </c>
      <c r="I46" s="607">
        <f t="shared" si="28"/>
        <v>411.79749606809196</v>
      </c>
      <c r="J46" s="607">
        <f t="shared" si="28"/>
        <v>399.8225696752815</v>
      </c>
      <c r="K46" s="521"/>
    </row>
    <row r="47" spans="1:12" ht="22.95" customHeight="1">
      <c r="A47" s="510" t="s">
        <v>1408</v>
      </c>
      <c r="B47" s="597"/>
      <c r="C47" s="522">
        <f>AVERAGE(D45:F45)</f>
        <v>557.60365147444804</v>
      </c>
      <c r="D47" s="2522" t="s">
        <v>1409</v>
      </c>
      <c r="E47" s="2522"/>
      <c r="F47" s="2522"/>
      <c r="G47" s="523">
        <f>AVERAGE(H45:J45)</f>
        <v>481.81080170500928</v>
      </c>
      <c r="H47" s="520"/>
      <c r="I47" s="520"/>
      <c r="J47" s="520"/>
    </row>
    <row r="48" spans="1:12" ht="22.95" customHeight="1">
      <c r="A48" s="510" t="s">
        <v>1411</v>
      </c>
      <c r="B48" s="594"/>
      <c r="C48" s="524">
        <f>C47/1.17</f>
        <v>476.58431749952825</v>
      </c>
      <c r="D48" s="2522" t="s">
        <v>1412</v>
      </c>
      <c r="E48" s="2522"/>
      <c r="F48" s="2522"/>
      <c r="G48" s="528">
        <f>G47/1.17</f>
        <v>411.80410402137551</v>
      </c>
    </row>
    <row r="49" spans="1:11" ht="22.95" customHeight="1">
      <c r="A49" s="510" t="s">
        <v>1410</v>
      </c>
      <c r="B49" s="594"/>
      <c r="C49" s="526">
        <f>C48-C47</f>
        <v>-81.019333974919789</v>
      </c>
      <c r="D49" s="520"/>
    </row>
    <row r="50" spans="1:11" ht="22.95" customHeight="1">
      <c r="K50" s="469"/>
    </row>
    <row r="51" spans="1:11" ht="22.95" customHeight="1">
      <c r="C51" s="527"/>
      <c r="G51" s="525"/>
      <c r="H51" s="525"/>
      <c r="I51" s="525"/>
      <c r="J51" s="525"/>
    </row>
    <row r="52" spans="1:11" ht="22.95" customHeight="1">
      <c r="G52" s="525"/>
      <c r="H52" s="525"/>
      <c r="I52" s="525"/>
      <c r="J52" s="525"/>
    </row>
    <row r="53" spans="1:11" ht="22.95" customHeight="1">
      <c r="I53" s="525"/>
      <c r="J53" s="525"/>
    </row>
  </sheetData>
  <mergeCells count="6">
    <mergeCell ref="D48:F48"/>
    <mergeCell ref="A2:K2"/>
    <mergeCell ref="D4:F4"/>
    <mergeCell ref="H4:J4"/>
    <mergeCell ref="K14:K16"/>
    <mergeCell ref="D47:F47"/>
  </mergeCells>
  <phoneticPr fontId="20" type="noConversion"/>
  <pageMargins left="0.7" right="0.7" top="0.75" bottom="0.75" header="0.3" footer="0.3"/>
  <legacy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20">
    <pageSetUpPr fitToPage="1"/>
  </sheetPr>
  <dimension ref="A1:P33"/>
  <sheetViews>
    <sheetView showGridLines="0" zoomScaleNormal="100" zoomScalePageLayoutView="85" workbookViewId="0">
      <pane xSplit="2" ySplit="3" topLeftCell="C4" activePane="bottomRight" state="frozen"/>
      <selection activeCell="G22" sqref="G22"/>
      <selection pane="topRight" activeCell="G22" sqref="G22"/>
      <selection pane="bottomLeft" activeCell="G22" sqref="G22"/>
      <selection pane="bottomRight" activeCell="A3" sqref="A3:XFD3"/>
    </sheetView>
  </sheetViews>
  <sheetFormatPr defaultColWidth="8.77734375" defaultRowHeight="14.4"/>
  <cols>
    <col min="1" max="1" width="3.77734375" style="7" customWidth="1"/>
    <col min="2" max="2" width="65.6640625" style="7" bestFit="1" customWidth="1"/>
    <col min="3" max="16" width="13.77734375" style="7" customWidth="1"/>
    <col min="17" max="17" width="21.88671875" style="7" customWidth="1"/>
    <col min="18" max="16384" width="8.77734375" style="7"/>
  </cols>
  <sheetData>
    <row r="1" spans="1:16" ht="15.6">
      <c r="A1" s="5"/>
      <c r="B1" s="6" t="s">
        <v>1153</v>
      </c>
      <c r="C1" s="66"/>
      <c r="D1" s="5"/>
      <c r="E1" s="5"/>
      <c r="F1" s="5"/>
      <c r="G1" s="5"/>
      <c r="H1" s="5"/>
      <c r="I1" s="5"/>
      <c r="J1" s="5"/>
      <c r="K1" s="5"/>
      <c r="L1" s="5"/>
      <c r="M1" s="5"/>
      <c r="N1" s="5"/>
      <c r="O1" s="5"/>
      <c r="P1" s="5"/>
    </row>
    <row r="2" spans="1:16" ht="15.6">
      <c r="A2" s="10"/>
      <c r="B2" s="11"/>
      <c r="C2" s="371"/>
      <c r="D2" s="371" t="s">
        <v>1182</v>
      </c>
      <c r="E2" s="371" t="s">
        <v>1182</v>
      </c>
      <c r="F2" s="371" t="s">
        <v>1182</v>
      </c>
      <c r="G2" s="371" t="s">
        <v>1182</v>
      </c>
      <c r="H2" s="371" t="s">
        <v>1181</v>
      </c>
      <c r="I2" s="371"/>
      <c r="J2" s="371"/>
      <c r="K2" s="371"/>
      <c r="L2" s="371"/>
      <c r="M2" s="371"/>
      <c r="N2" s="371"/>
      <c r="O2" s="371"/>
      <c r="P2" s="371"/>
    </row>
    <row r="3" spans="1:16" s="926" customFormat="1">
      <c r="A3" s="921"/>
      <c r="B3" s="922" t="s">
        <v>1152</v>
      </c>
      <c r="C3" s="925">
        <v>2012</v>
      </c>
      <c r="D3" s="925">
        <v>2013</v>
      </c>
      <c r="E3" s="925">
        <v>2014</v>
      </c>
      <c r="F3" s="925">
        <v>2015</v>
      </c>
      <c r="G3" s="925">
        <v>2016</v>
      </c>
      <c r="H3" s="925">
        <v>2017</v>
      </c>
      <c r="I3" s="925">
        <v>2018</v>
      </c>
      <c r="J3" s="925">
        <v>2019</v>
      </c>
      <c r="K3" s="925">
        <v>2020</v>
      </c>
      <c r="L3" s="925">
        <v>2021</v>
      </c>
      <c r="M3" s="925">
        <v>2022</v>
      </c>
      <c r="N3" s="925">
        <v>2023</v>
      </c>
      <c r="O3" s="925">
        <v>2024</v>
      </c>
      <c r="P3" s="925">
        <v>2025</v>
      </c>
    </row>
    <row r="4" spans="1:16">
      <c r="B4" s="7" t="s">
        <v>1151</v>
      </c>
      <c r="C4" s="217"/>
      <c r="D4" s="217">
        <v>35226.564990000006</v>
      </c>
      <c r="E4" s="217">
        <v>34694.069451260002</v>
      </c>
      <c r="F4" s="217">
        <v>34506</v>
      </c>
      <c r="G4" s="217">
        <v>36051</v>
      </c>
      <c r="H4" s="217">
        <v>38745</v>
      </c>
      <c r="I4" s="217">
        <v>40700</v>
      </c>
      <c r="J4" s="217">
        <v>43040</v>
      </c>
      <c r="K4" s="217">
        <v>45535</v>
      </c>
    </row>
    <row r="5" spans="1:16">
      <c r="B5" s="7" t="s">
        <v>1154</v>
      </c>
      <c r="C5" s="217"/>
      <c r="D5" s="321">
        <f>D4/D6</f>
        <v>0.93545811248325428</v>
      </c>
      <c r="E5" s="321">
        <f t="shared" ref="E5:I5" si="0">E4/E6</f>
        <v>0.9386880042436595</v>
      </c>
      <c r="F5" s="321">
        <f t="shared" si="0"/>
        <v>0.93977290683918557</v>
      </c>
      <c r="G5" s="321">
        <f t="shared" si="0"/>
        <v>0.9325383481207481</v>
      </c>
      <c r="H5" s="321">
        <f t="shared" si="0"/>
        <v>0.94144524619447845</v>
      </c>
      <c r="I5" s="321">
        <f t="shared" si="0"/>
        <v>0.94409649733240553</v>
      </c>
      <c r="J5" s="217"/>
      <c r="K5" s="217"/>
    </row>
    <row r="6" spans="1:16">
      <c r="B6" s="7" t="s">
        <v>1155</v>
      </c>
      <c r="D6" s="217">
        <v>37657.020148650001</v>
      </c>
      <c r="E6" s="217">
        <v>36960.171318280001</v>
      </c>
      <c r="F6" s="217">
        <v>36717.381134189993</v>
      </c>
      <c r="G6" s="217">
        <v>38659</v>
      </c>
      <c r="H6" s="217">
        <v>41154.809752999994</v>
      </c>
      <c r="I6" s="217">
        <v>43110</v>
      </c>
      <c r="J6" s="217"/>
      <c r="K6" s="217"/>
    </row>
    <row r="7" spans="1:16">
      <c r="B7" s="32" t="s">
        <v>1156</v>
      </c>
      <c r="D7" s="217"/>
      <c r="E7" s="217"/>
      <c r="F7" s="217"/>
      <c r="G7" s="217"/>
      <c r="H7" s="217">
        <v>350.31799999999998</v>
      </c>
      <c r="I7" s="217"/>
      <c r="J7" s="217"/>
      <c r="K7" s="217"/>
    </row>
    <row r="8" spans="1:16">
      <c r="B8" s="32"/>
      <c r="D8" s="34"/>
      <c r="E8" s="34"/>
      <c r="F8" s="34"/>
      <c r="G8" s="34"/>
    </row>
    <row r="9" spans="1:16">
      <c r="B9" s="32"/>
      <c r="G9" s="321"/>
    </row>
    <row r="10" spans="1:16">
      <c r="B10" s="7" t="s">
        <v>1016</v>
      </c>
      <c r="D10" s="373">
        <v>551.56700511457973</v>
      </c>
      <c r="E10" s="373">
        <v>563.48004647357425</v>
      </c>
      <c r="F10" s="373">
        <v>574.6</v>
      </c>
      <c r="G10" s="374">
        <v>542.02228082474812</v>
      </c>
      <c r="H10" s="374">
        <v>531.80999999999995</v>
      </c>
      <c r="I10" s="374"/>
      <c r="J10" s="374"/>
      <c r="K10" s="374"/>
    </row>
    <row r="11" spans="1:16">
      <c r="B11" s="7" t="s">
        <v>1017</v>
      </c>
      <c r="D11" s="374">
        <v>347.03132701309056</v>
      </c>
      <c r="E11" s="374">
        <v>341.1990355796587</v>
      </c>
      <c r="F11" s="374">
        <v>346.8</v>
      </c>
      <c r="G11" s="374">
        <v>307.18</v>
      </c>
      <c r="H11" s="375">
        <v>308.10000000000002</v>
      </c>
      <c r="I11" s="374"/>
      <c r="J11" s="374"/>
      <c r="K11" s="374"/>
    </row>
    <row r="12" spans="1:16">
      <c r="B12" s="7" t="s">
        <v>1018</v>
      </c>
      <c r="D12" s="374"/>
      <c r="E12" s="374"/>
      <c r="F12" s="374"/>
      <c r="G12" s="374"/>
      <c r="H12" s="375">
        <v>200.44</v>
      </c>
      <c r="I12" s="374"/>
      <c r="J12" s="374"/>
      <c r="K12" s="374"/>
    </row>
    <row r="13" spans="1:16">
      <c r="D13" s="374"/>
      <c r="E13" s="374"/>
      <c r="F13" s="374"/>
      <c r="G13" s="374"/>
      <c r="H13" s="374"/>
      <c r="I13" s="374"/>
      <c r="J13" s="374"/>
      <c r="K13" s="374"/>
    </row>
    <row r="14" spans="1:16">
      <c r="D14" s="34"/>
      <c r="E14" s="34"/>
      <c r="F14" s="34"/>
      <c r="G14" s="34"/>
    </row>
    <row r="15" spans="1:16">
      <c r="D15" s="34"/>
      <c r="E15" s="34"/>
      <c r="F15" s="34"/>
      <c r="G15" s="34"/>
    </row>
    <row r="16" spans="1:16">
      <c r="D16" s="34"/>
      <c r="E16" s="34"/>
      <c r="F16" s="34"/>
      <c r="G16" s="34"/>
      <c r="H16" s="372"/>
      <c r="I16" s="217"/>
    </row>
    <row r="17" spans="4:8">
      <c r="D17" s="34"/>
      <c r="E17" s="34"/>
      <c r="F17" s="34"/>
      <c r="G17" s="321"/>
      <c r="H17" s="372"/>
    </row>
    <row r="18" spans="4:8">
      <c r="D18" s="34"/>
      <c r="E18" s="34"/>
      <c r="F18" s="34"/>
      <c r="G18" s="34"/>
      <c r="H18" s="372"/>
    </row>
    <row r="19" spans="4:8">
      <c r="D19" s="34"/>
      <c r="E19" s="34"/>
      <c r="F19" s="34"/>
      <c r="G19" s="34"/>
      <c r="H19" s="372"/>
    </row>
    <row r="20" spans="4:8">
      <c r="D20" s="34"/>
      <c r="E20" s="34"/>
      <c r="F20" s="34"/>
      <c r="G20" s="34"/>
      <c r="H20" s="372"/>
    </row>
    <row r="21" spans="4:8">
      <c r="D21" s="34"/>
      <c r="E21" s="34"/>
      <c r="F21" s="34"/>
      <c r="G21" s="34"/>
      <c r="H21" s="372"/>
    </row>
    <row r="22" spans="4:8">
      <c r="D22" s="34"/>
      <c r="E22" s="34"/>
      <c r="F22" s="34"/>
      <c r="G22" s="34"/>
      <c r="H22" s="372"/>
    </row>
    <row r="23" spans="4:8">
      <c r="D23" s="34"/>
      <c r="E23" s="34"/>
      <c r="F23" s="34"/>
      <c r="G23" s="34"/>
      <c r="H23" s="372"/>
    </row>
    <row r="24" spans="4:8">
      <c r="H24" s="372"/>
    </row>
    <row r="25" spans="4:8">
      <c r="H25" s="372"/>
    </row>
    <row r="26" spans="4:8">
      <c r="H26" s="372"/>
    </row>
    <row r="27" spans="4:8">
      <c r="H27" s="372"/>
    </row>
    <row r="28" spans="4:8">
      <c r="H28" s="372"/>
    </row>
    <row r="29" spans="4:8">
      <c r="H29" s="372"/>
    </row>
    <row r="30" spans="4:8">
      <c r="H30" s="372"/>
    </row>
    <row r="31" spans="4:8">
      <c r="H31" s="372"/>
    </row>
    <row r="33" spans="8:8">
      <c r="H33" s="372"/>
    </row>
  </sheetData>
  <phoneticPr fontId="20" type="noConversion"/>
  <pageMargins left="0.70866141732283472" right="0.70866141732283472" top="0.74803149606299213" bottom="0.74803149606299213" header="0.31496062992125984" footer="0.31496062992125984"/>
  <pageSetup paperSize="9" scale="91"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7">
    <tabColor theme="7" tint="0.39997558519241921"/>
    <pageSetUpPr fitToPage="1"/>
  </sheetPr>
  <dimension ref="A1:AG45"/>
  <sheetViews>
    <sheetView showGridLines="0" zoomScale="115" zoomScaleNormal="115" zoomScaleSheetLayoutView="70" zoomScalePageLayoutView="70" workbookViewId="0">
      <pane xSplit="2" ySplit="3" topLeftCell="G4" activePane="bottomRight" state="frozen"/>
      <selection activeCell="G35" sqref="G35"/>
      <selection pane="topRight" activeCell="G35" sqref="G35"/>
      <selection pane="bottomLeft" activeCell="G35" sqref="G35"/>
      <selection pane="bottomRight" activeCell="G7" sqref="G7"/>
    </sheetView>
  </sheetViews>
  <sheetFormatPr defaultColWidth="8.77734375" defaultRowHeight="14.4" outlineLevelRow="1" outlineLevelCol="1"/>
  <cols>
    <col min="1" max="1" width="2.109375" style="7" customWidth="1"/>
    <col min="2" max="2" width="62.44140625" style="7" customWidth="1"/>
    <col min="3" max="11" width="13.77734375" style="7" customWidth="1"/>
    <col min="12" max="12" width="43.109375" style="7" hidden="1" customWidth="1" outlineLevel="1"/>
    <col min="13" max="13" width="11" style="7" bestFit="1" customWidth="1" collapsed="1"/>
    <col min="14" max="18" width="11.88671875" style="7" customWidth="1"/>
    <col min="19" max="19" width="36.44140625" style="7" customWidth="1"/>
    <col min="20" max="20" width="8.77734375" style="7"/>
    <col min="21" max="25" width="11.88671875" style="7" customWidth="1"/>
    <col min="26" max="26" width="30.6640625" style="7" customWidth="1"/>
    <col min="27" max="27" width="8.77734375" style="7"/>
    <col min="28" max="32" width="11.77734375" style="7" customWidth="1"/>
    <col min="33" max="33" width="32.33203125" style="7" bestFit="1" customWidth="1"/>
    <col min="34" max="16384" width="8.77734375" style="7"/>
  </cols>
  <sheetData>
    <row r="1" spans="1:33" ht="15.6">
      <c r="A1" s="13"/>
      <c r="B1" s="14" t="s">
        <v>685</v>
      </c>
      <c r="C1" s="13"/>
      <c r="D1" s="67"/>
      <c r="E1" s="13"/>
      <c r="F1" s="13"/>
      <c r="G1" s="990" t="str">
        <f>"当前模式："&amp;测算模式</f>
        <v>当前模式：1.实际收入+实际成本</v>
      </c>
      <c r="H1" s="990"/>
      <c r="I1" s="990"/>
      <c r="J1" s="990"/>
      <c r="K1" s="990"/>
      <c r="L1" s="15"/>
      <c r="M1"/>
      <c r="N1" s="13"/>
      <c r="O1" s="13"/>
      <c r="P1" s="13"/>
      <c r="Q1" s="13"/>
      <c r="R1" s="13"/>
      <c r="S1" s="15"/>
      <c r="U1" s="13"/>
      <c r="V1" s="13"/>
      <c r="W1" s="13"/>
      <c r="X1" s="13"/>
      <c r="Y1" s="13"/>
      <c r="Z1" s="15"/>
      <c r="AB1" s="13"/>
      <c r="AC1" s="13"/>
      <c r="AD1" s="13"/>
      <c r="AE1" s="13"/>
      <c r="AF1" s="13"/>
      <c r="AG1" s="15"/>
    </row>
    <row r="2" spans="1:33" ht="15.6">
      <c r="A2" s="136"/>
      <c r="B2" s="11"/>
      <c r="C2" s="2495" t="s">
        <v>35</v>
      </c>
      <c r="D2" s="2495"/>
      <c r="E2" s="2495"/>
      <c r="F2" s="2495"/>
      <c r="G2" s="978" t="s">
        <v>31</v>
      </c>
      <c r="H2" s="978"/>
      <c r="I2" s="978"/>
      <c r="J2" s="978"/>
      <c r="K2" s="978"/>
      <c r="L2" s="68"/>
      <c r="M2"/>
      <c r="N2" s="2496" t="s">
        <v>162</v>
      </c>
      <c r="O2" s="2496"/>
      <c r="P2" s="2496"/>
      <c r="Q2" s="2496"/>
      <c r="R2" s="2496"/>
      <c r="S2" s="21"/>
      <c r="U2" s="2496" t="s">
        <v>435</v>
      </c>
      <c r="V2" s="2496"/>
      <c r="W2" s="2496"/>
      <c r="X2" s="2496"/>
      <c r="Y2" s="2496"/>
      <c r="Z2" s="21"/>
      <c r="AB2" s="2496" t="s">
        <v>436</v>
      </c>
      <c r="AC2" s="2496"/>
      <c r="AD2" s="2496"/>
      <c r="AE2" s="2496"/>
      <c r="AF2" s="2496"/>
      <c r="AG2" s="21"/>
    </row>
    <row r="3" spans="1:33" s="2139" customFormat="1">
      <c r="A3" s="2136"/>
      <c r="B3" s="2136" t="s">
        <v>380</v>
      </c>
      <c r="C3" s="2127">
        <f>G3-4</f>
        <v>2014</v>
      </c>
      <c r="D3" s="2127">
        <f>G3-3</f>
        <v>2015</v>
      </c>
      <c r="E3" s="2127">
        <f>G3-2</f>
        <v>2016</v>
      </c>
      <c r="F3" s="2127">
        <f>G3-1</f>
        <v>2017</v>
      </c>
      <c r="G3" s="2128">
        <f>测算年份</f>
        <v>2018</v>
      </c>
      <c r="H3" s="2128">
        <f>假设!H3</f>
        <v>2019</v>
      </c>
      <c r="I3" s="2128">
        <f>假设!I3</f>
        <v>2020</v>
      </c>
      <c r="J3" s="2128">
        <f>假设!J3</f>
        <v>2021</v>
      </c>
      <c r="K3" s="2128">
        <f>假设!K3</f>
        <v>2022</v>
      </c>
      <c r="L3" s="2137" t="s">
        <v>163</v>
      </c>
      <c r="M3" s="2138"/>
      <c r="N3" s="2128">
        <f>测算年份</f>
        <v>2018</v>
      </c>
      <c r="O3" s="2128">
        <f>假设!H3</f>
        <v>2019</v>
      </c>
      <c r="P3" s="2128">
        <f>假设!I3</f>
        <v>2020</v>
      </c>
      <c r="Q3" s="2128">
        <f>假设!J3</f>
        <v>2021</v>
      </c>
      <c r="R3" s="2128">
        <f>假设!K3</f>
        <v>2022</v>
      </c>
      <c r="S3" s="2137" t="s">
        <v>163</v>
      </c>
      <c r="U3" s="2128">
        <f>测算年份</f>
        <v>2018</v>
      </c>
      <c r="V3" s="2128">
        <f>假设!H3</f>
        <v>2019</v>
      </c>
      <c r="W3" s="2128">
        <f>假设!I3</f>
        <v>2020</v>
      </c>
      <c r="X3" s="2128">
        <f>假设!J3</f>
        <v>2021</v>
      </c>
      <c r="Y3" s="2128">
        <f>假设!K3</f>
        <v>2022</v>
      </c>
      <c r="Z3" s="2137" t="s">
        <v>163</v>
      </c>
      <c r="AB3" s="2128">
        <f>测算年份</f>
        <v>2018</v>
      </c>
      <c r="AC3" s="2128">
        <f>假设!H3</f>
        <v>2019</v>
      </c>
      <c r="AD3" s="2128">
        <f>假设!I3</f>
        <v>2020</v>
      </c>
      <c r="AE3" s="2128">
        <f>假设!J3</f>
        <v>2021</v>
      </c>
      <c r="AF3" s="2128">
        <f>假设!K3</f>
        <v>2022</v>
      </c>
      <c r="AG3" s="2137" t="s">
        <v>163</v>
      </c>
    </row>
    <row r="4" spans="1:33" outlineLevel="1">
      <c r="A4" s="12"/>
      <c r="B4" s="318" t="s">
        <v>1012</v>
      </c>
      <c r="C4" s="319">
        <f>VLOOKUP("一、营业收入净额",历史利润表!$B$3:$Q$101,C$3-2010,FALSE)</f>
        <v>796.60442812539998</v>
      </c>
      <c r="D4" s="319">
        <f>VLOOKUP("一、营业收入净额",历史利润表!$B$3:$Q$101,D$3-2010,FALSE)</f>
        <v>810.2762171503</v>
      </c>
      <c r="E4" s="319">
        <f>VLOOKUP("一、营业收入净额",历史利润表!$B$3:$Q$101,E$3-2010,FALSE)</f>
        <v>852.73232172429994</v>
      </c>
      <c r="F4" s="319">
        <f>VLOOKUP("一、营业收入净额",历史利润表!$B$3:$Q$101,F$3-2010,FALSE)</f>
        <v>882.71881000960002</v>
      </c>
      <c r="G4" s="124"/>
      <c r="H4" s="124"/>
      <c r="I4" s="124"/>
      <c r="J4" s="124"/>
      <c r="K4" s="124"/>
      <c r="L4" s="9"/>
      <c r="M4"/>
      <c r="N4" s="81"/>
      <c r="O4" s="81"/>
      <c r="P4" s="81"/>
      <c r="Q4" s="81"/>
      <c r="R4" s="81"/>
      <c r="S4" s="9"/>
      <c r="T4" s="32"/>
      <c r="U4" s="81"/>
      <c r="V4" s="81"/>
      <c r="W4" s="81"/>
      <c r="X4" s="81"/>
      <c r="Y4" s="81"/>
      <c r="Z4" s="9"/>
      <c r="AA4" s="32"/>
      <c r="AB4" s="81"/>
      <c r="AC4" s="81"/>
      <c r="AD4" s="81"/>
      <c r="AE4" s="81"/>
      <c r="AF4" s="81"/>
      <c r="AG4" s="9"/>
    </row>
    <row r="5" spans="1:33">
      <c r="A5" s="26"/>
      <c r="B5" s="27" t="s">
        <v>383</v>
      </c>
      <c r="C5" s="154">
        <f>C6</f>
        <v>773.99013850559993</v>
      </c>
      <c r="D5" s="154">
        <f t="shared" ref="D5:F5" si="0">D6</f>
        <v>789.55322507050005</v>
      </c>
      <c r="E5" s="154">
        <f t="shared" si="0"/>
        <v>816.92419375030011</v>
      </c>
      <c r="F5" s="154">
        <f t="shared" si="0"/>
        <v>847.14605800589982</v>
      </c>
      <c r="G5" s="141">
        <f>CHOOSE(LEFT(测算模式,1),N5,U5,AB5)</f>
        <v>890.25524394621448</v>
      </c>
      <c r="H5" s="141">
        <f>CHOOSE(LEFT(测算模式,1),O5,V5,AC5)</f>
        <v>915.74650518460101</v>
      </c>
      <c r="I5" s="141">
        <f>CHOOSE(LEFT(测算模式,1),P5,W5,AD5)</f>
        <v>937.6265044142159</v>
      </c>
      <c r="J5" s="141">
        <f>CHOOSE(LEFT(测算模式,1),Q5,X5,AE5)</f>
        <v>957.36226371932889</v>
      </c>
      <c r="K5" s="141">
        <f>CHOOSE(LEFT(测算模式,1),R5,Y5,AF5)</f>
        <v>977.53220972915415</v>
      </c>
      <c r="L5" s="71" t="s">
        <v>728</v>
      </c>
      <c r="M5" s="370"/>
      <c r="N5" s="315">
        <f>G6</f>
        <v>890.25524394621448</v>
      </c>
      <c r="O5" s="315">
        <f t="shared" ref="O5:R5" si="1">H6</f>
        <v>915.74650518460101</v>
      </c>
      <c r="P5" s="315">
        <f t="shared" si="1"/>
        <v>937.6265044142159</v>
      </c>
      <c r="Q5" s="315">
        <f t="shared" si="1"/>
        <v>957.36226371932889</v>
      </c>
      <c r="R5" s="315">
        <f t="shared" si="1"/>
        <v>977.53220972915415</v>
      </c>
      <c r="S5" s="72" t="s">
        <v>722</v>
      </c>
      <c r="T5" s="32"/>
      <c r="U5" s="316">
        <f>G19+准许收入假设!F4</f>
        <v>573.59794585116992</v>
      </c>
      <c r="V5" s="316">
        <f>H19+准许收入假设!G4</f>
        <v>592.98798031128217</v>
      </c>
      <c r="W5" s="316">
        <f>I19+准许收入假设!H4</f>
        <v>612.37450745261049</v>
      </c>
      <c r="X5" s="316">
        <f>J19+准许收入假设!I4</f>
        <v>622.71893715962938</v>
      </c>
      <c r="Y5" s="316">
        <f>K19+准许收入假设!J4</f>
        <v>635.72447967370726</v>
      </c>
      <c r="Z5" s="264" t="s">
        <v>723</v>
      </c>
      <c r="AA5" s="32"/>
      <c r="AB5" s="317">
        <f>G19+准许收入假设!F4</f>
        <v>573.59794585116992</v>
      </c>
      <c r="AC5" s="1949">
        <f>假设!H3</f>
        <v>2019</v>
      </c>
      <c r="AD5" s="1949">
        <f>假设!I3</f>
        <v>2020</v>
      </c>
      <c r="AE5" s="1949">
        <f>假设!J3</f>
        <v>2021</v>
      </c>
      <c r="AF5" s="1949">
        <f>假设!K3</f>
        <v>2022</v>
      </c>
      <c r="AG5" s="264" t="s">
        <v>724</v>
      </c>
    </row>
    <row r="6" spans="1:33">
      <c r="A6" s="26"/>
      <c r="B6" s="120" t="s">
        <v>428</v>
      </c>
      <c r="C6" s="147">
        <f>VLOOKUP($B6,关键参数底稿!$B$3:$Q$62,实际收入!C$3-2010,FALSE)</f>
        <v>773.99013850559993</v>
      </c>
      <c r="D6" s="147">
        <f>VLOOKUP($B6,关键参数底稿!$B$3:$Q$62,实际收入!D$3-2010,FALSE)</f>
        <v>789.55322507050005</v>
      </c>
      <c r="E6" s="147">
        <f>VLOOKUP($B6,关键参数底稿!$B$3:$Q$62,实际收入!E$3-2010,FALSE)</f>
        <v>816.92419375030011</v>
      </c>
      <c r="F6" s="147">
        <f>VLOOKUP($B6,关键参数底稿!$B$3:$Q$62,实际收入!F$3-2010,FALSE)</f>
        <v>847.14605800589982</v>
      </c>
      <c r="G6" s="249">
        <f>SUM(G7:G12)</f>
        <v>890.25524394621448</v>
      </c>
      <c r="H6" s="249">
        <f t="shared" ref="H6:K6" si="2">SUM(H7:H12)</f>
        <v>915.74650518460101</v>
      </c>
      <c r="I6" s="249">
        <f t="shared" si="2"/>
        <v>937.6265044142159</v>
      </c>
      <c r="J6" s="249">
        <f t="shared" si="2"/>
        <v>957.36226371932889</v>
      </c>
      <c r="K6" s="249">
        <f t="shared" si="2"/>
        <v>977.53220972915415</v>
      </c>
      <c r="M6" s="370"/>
      <c r="N6" s="180"/>
      <c r="O6" s="180"/>
      <c r="P6" s="180"/>
      <c r="Q6" s="180"/>
      <c r="R6" s="180"/>
      <c r="U6" s="84"/>
      <c r="V6" s="84"/>
      <c r="W6" s="84"/>
      <c r="X6" s="84"/>
      <c r="Y6" s="84"/>
      <c r="AB6" s="217"/>
      <c r="AC6" s="217"/>
      <c r="AD6" s="217"/>
      <c r="AE6" s="217"/>
      <c r="AF6" s="217"/>
    </row>
    <row r="7" spans="1:33">
      <c r="A7" s="26"/>
      <c r="B7" s="28" t="s">
        <v>902</v>
      </c>
      <c r="C7" s="147">
        <f>VLOOKUP($B7,关键参数底稿!$B$3:$Q$62,实际收入!C$3-2010,FALSE)</f>
        <v>766.86859983339991</v>
      </c>
      <c r="D7" s="147">
        <f>VLOOKUP($B7,关键参数底稿!$B$3:$Q$62,实际收入!D$3-2010,FALSE)</f>
        <v>783.77298358380006</v>
      </c>
      <c r="E7" s="147">
        <f>VLOOKUP($B7,关键参数底稿!$B$3:$Q$62,实际收入!E$3-2010,FALSE)</f>
        <v>809.27550274780003</v>
      </c>
      <c r="F7" s="147">
        <f>VLOOKUP($B7,关键参数底稿!$B$3:$Q$62,实际收入!F$3-2010,FALSE)</f>
        <v>837.91702431259989</v>
      </c>
      <c r="G7" s="249">
        <f>G14*假设!G14/1000</f>
        <v>833.43975594621452</v>
      </c>
      <c r="H7" s="249">
        <f>H14*假设!H14/1000</f>
        <v>858.44294862460106</v>
      </c>
      <c r="I7" s="249">
        <f>I14*假设!I14/1000</f>
        <v>879.90402234021599</v>
      </c>
      <c r="J7" s="249">
        <f>J14*假设!J14/1000</f>
        <v>899.2619108317009</v>
      </c>
      <c r="K7" s="249">
        <f>K14*假设!K14/1000</f>
        <v>919.04567286999838</v>
      </c>
      <c r="L7" s="7" t="s">
        <v>1015</v>
      </c>
      <c r="M7" s="370"/>
      <c r="N7" s="209" t="s">
        <v>1147</v>
      </c>
      <c r="O7" s="209"/>
      <c r="P7" s="209"/>
      <c r="Q7" s="209"/>
      <c r="R7" s="209"/>
      <c r="U7" s="84"/>
      <c r="V7" s="84"/>
      <c r="W7" s="84"/>
      <c r="X7" s="84"/>
      <c r="Y7" s="84"/>
      <c r="AB7" s="217"/>
      <c r="AC7" s="217"/>
      <c r="AD7" s="217"/>
      <c r="AE7" s="217"/>
      <c r="AF7" s="217"/>
    </row>
    <row r="8" spans="1:33">
      <c r="A8" s="26"/>
      <c r="B8" s="28" t="s">
        <v>631</v>
      </c>
      <c r="C8" s="187">
        <f>假设!C23*假设!C28/1000</f>
        <v>0</v>
      </c>
      <c r="D8" s="187">
        <f>假设!D23*假设!D28/1000</f>
        <v>0</v>
      </c>
      <c r="E8" s="187">
        <f>假设!E23*假设!E28/1000</f>
        <v>0</v>
      </c>
      <c r="F8" s="187">
        <f>假设!F23*假设!F28/1000</f>
        <v>0</v>
      </c>
      <c r="G8" s="142">
        <f>假设!G27*假设!G28/1000</f>
        <v>16.268952000000002</v>
      </c>
      <c r="H8" s="142">
        <f>假设!H27*假设!H28/1000</f>
        <v>16.757020560000001</v>
      </c>
      <c r="I8" s="142">
        <f>假设!I27*假设!I28/1000</f>
        <v>17.175946073999999</v>
      </c>
      <c r="J8" s="142">
        <f>假设!J27*假设!J28/1000</f>
        <v>17.553816887627999</v>
      </c>
      <c r="K8" s="142">
        <f>假设!K27*假设!K28/1000</f>
        <v>17.94000085915582</v>
      </c>
      <c r="L8" s="7" t="s">
        <v>803</v>
      </c>
      <c r="M8" s="370"/>
      <c r="N8" s="208"/>
      <c r="O8" s="208"/>
      <c r="P8" s="208"/>
      <c r="Q8" s="208"/>
      <c r="R8" s="208"/>
      <c r="U8" s="84"/>
      <c r="V8" s="84"/>
      <c r="W8" s="84"/>
      <c r="X8" s="84"/>
      <c r="Y8" s="84"/>
      <c r="AB8" s="217"/>
      <c r="AC8" s="217"/>
      <c r="AD8" s="217"/>
      <c r="AE8" s="217"/>
      <c r="AF8" s="217"/>
    </row>
    <row r="9" spans="1:33">
      <c r="A9" s="26"/>
      <c r="B9" s="28" t="s">
        <v>84</v>
      </c>
      <c r="C9" s="147">
        <f>VLOOKUP($B9,关键参数底稿!$B$3:$Q$62,实际收入!C$3-2010,FALSE)</f>
        <v>2.7890999999999999</v>
      </c>
      <c r="D9" s="147">
        <f>VLOOKUP($B9,关键参数底稿!$B$3:$Q$62,实际收入!D$3-2010,FALSE)</f>
        <v>2.4489999999999998</v>
      </c>
      <c r="E9" s="147">
        <f>VLOOKUP($B9,关键参数底稿!$B$3:$Q$62,实际收入!E$3-2010,FALSE)</f>
        <v>3.056954588</v>
      </c>
      <c r="F9" s="147">
        <f>VLOOKUP($B9,关键参数底稿!$B$3:$Q$62,实际收入!F$3-2010,FALSE)</f>
        <v>3.8143012479</v>
      </c>
      <c r="G9" s="142">
        <f>SUM(假设!G29:G35)</f>
        <v>9.1078139999999994</v>
      </c>
      <c r="H9" s="142">
        <f>SUM(假设!H29:H35)</f>
        <v>9.1078139999999994</v>
      </c>
      <c r="I9" s="142">
        <f>SUM(假设!I29:I35)</f>
        <v>9.1078139999999994</v>
      </c>
      <c r="J9" s="142">
        <f>SUM(假设!J29:J35)</f>
        <v>9.1078139999999994</v>
      </c>
      <c r="K9" s="142">
        <f>SUM(假设!K29:K35)</f>
        <v>9.1078139999999994</v>
      </c>
      <c r="L9" s="7" t="s">
        <v>732</v>
      </c>
      <c r="M9" s="370"/>
      <c r="N9" s="208"/>
      <c r="O9" s="208"/>
      <c r="P9" s="208"/>
      <c r="Q9" s="208"/>
      <c r="R9" s="208"/>
      <c r="U9" s="84"/>
      <c r="V9" s="84"/>
      <c r="W9" s="84"/>
      <c r="X9" s="84"/>
      <c r="Y9" s="84"/>
      <c r="AB9" s="217"/>
      <c r="AC9" s="217"/>
      <c r="AD9" s="217"/>
      <c r="AE9" s="217"/>
      <c r="AF9" s="217"/>
    </row>
    <row r="10" spans="1:33">
      <c r="A10" s="26"/>
      <c r="B10" s="28" t="s">
        <v>2203</v>
      </c>
      <c r="C10" s="187"/>
      <c r="D10" s="187"/>
      <c r="E10" s="187"/>
      <c r="F10" s="187"/>
      <c r="G10" s="142">
        <f>假设!G36</f>
        <v>25.582100000000001</v>
      </c>
      <c r="H10" s="142">
        <f>假设!H36</f>
        <v>25.582100000000001</v>
      </c>
      <c r="I10" s="142">
        <f>假设!I36</f>
        <v>25.582100000000001</v>
      </c>
      <c r="J10" s="142">
        <f>假设!J36</f>
        <v>25.582100000000001</v>
      </c>
      <c r="K10" s="142">
        <f>假设!K36</f>
        <v>25.582100000000001</v>
      </c>
      <c r="M10" s="370"/>
      <c r="N10" s="208"/>
      <c r="O10" s="208"/>
      <c r="P10" s="208"/>
      <c r="Q10" s="208"/>
      <c r="R10" s="208"/>
      <c r="U10" s="84"/>
      <c r="V10" s="84"/>
      <c r="W10" s="84"/>
      <c r="X10" s="84"/>
      <c r="Y10" s="84"/>
      <c r="AB10" s="217"/>
      <c r="AC10" s="217"/>
      <c r="AD10" s="217"/>
      <c r="AE10" s="217"/>
      <c r="AF10" s="217"/>
    </row>
    <row r="11" spans="1:33">
      <c r="A11" s="26"/>
      <c r="B11" s="28" t="s">
        <v>53</v>
      </c>
      <c r="C11" s="147">
        <f>VLOOKUP($B11,关键参数底稿!$B$3:$Q$62,实际收入!C$3-2010,FALSE)</f>
        <v>4.3324386722000003</v>
      </c>
      <c r="D11" s="147">
        <f>VLOOKUP($B11,关键参数底稿!$B$3:$Q$62,实际收入!D$3-2010,FALSE)</f>
        <v>3.3312414867000002</v>
      </c>
      <c r="E11" s="147">
        <f>VLOOKUP($B11,关键参数底稿!$B$3:$Q$62,实际收入!E$3-2010,FALSE)</f>
        <v>4.5917364144999997</v>
      </c>
      <c r="F11" s="147">
        <f>VLOOKUP($B11,关键参数底稿!$B$3:$Q$62,实际收入!F$3-2010,FALSE)</f>
        <v>5.4147324453999994</v>
      </c>
      <c r="G11" s="142">
        <f>假设!G37</f>
        <v>5.8566219999999998</v>
      </c>
      <c r="H11" s="142">
        <f>假设!H37</f>
        <v>5.8566219999999998</v>
      </c>
      <c r="I11" s="142">
        <f>假设!I37</f>
        <v>5.8566219999999998</v>
      </c>
      <c r="J11" s="142">
        <f>假设!J37</f>
        <v>5.8566219999999998</v>
      </c>
      <c r="K11" s="142">
        <f>假设!K37</f>
        <v>5.8566219999999998</v>
      </c>
      <c r="L11" s="32" t="s">
        <v>696</v>
      </c>
      <c r="M11" s="370"/>
      <c r="N11" s="208"/>
      <c r="O11" s="208"/>
      <c r="P11" s="208"/>
      <c r="Q11" s="208"/>
      <c r="R11" s="208"/>
      <c r="U11" s="84"/>
      <c r="V11" s="84"/>
      <c r="W11" s="84"/>
      <c r="X11" s="84"/>
      <c r="Y11" s="84"/>
    </row>
    <row r="12" spans="1:33">
      <c r="A12" s="26"/>
      <c r="B12" s="28"/>
      <c r="C12" s="180"/>
      <c r="D12" s="180"/>
      <c r="E12" s="180"/>
      <c r="F12" s="147"/>
      <c r="G12" s="142"/>
      <c r="H12" s="142"/>
      <c r="I12" s="142"/>
      <c r="J12" s="142"/>
      <c r="K12" s="142"/>
      <c r="L12" s="32"/>
      <c r="N12" s="208"/>
      <c r="O12" s="208"/>
      <c r="P12" s="208"/>
      <c r="Q12" s="208"/>
      <c r="R12" s="208"/>
      <c r="U12" s="84"/>
      <c r="V12" s="84"/>
      <c r="W12" s="84"/>
      <c r="X12" s="84"/>
      <c r="Y12" s="84"/>
      <c r="AB12" s="217"/>
      <c r="AC12" s="217"/>
      <c r="AD12" s="217"/>
      <c r="AE12" s="217"/>
      <c r="AF12" s="217"/>
    </row>
    <row r="13" spans="1:33" outlineLevel="1">
      <c r="A13" s="26"/>
      <c r="B13" s="75" t="s">
        <v>1007</v>
      </c>
      <c r="C13" s="153"/>
      <c r="D13" s="153"/>
      <c r="E13" s="153"/>
      <c r="F13" s="153"/>
      <c r="G13" s="145"/>
      <c r="H13" s="145"/>
      <c r="I13" s="145"/>
      <c r="J13" s="145"/>
      <c r="K13" s="145"/>
      <c r="L13" s="32"/>
      <c r="N13" s="208"/>
      <c r="O13" s="208"/>
      <c r="P13" s="208"/>
      <c r="Q13" s="208"/>
      <c r="R13" s="208"/>
      <c r="U13" s="84"/>
      <c r="V13" s="84"/>
      <c r="W13" s="84"/>
      <c r="X13" s="84"/>
      <c r="Y13" s="84"/>
      <c r="AB13" s="217"/>
      <c r="AC13" s="217"/>
      <c r="AD13" s="217"/>
      <c r="AE13" s="217"/>
      <c r="AF13" s="217"/>
    </row>
    <row r="14" spans="1:33" outlineLevel="1">
      <c r="A14" s="26"/>
      <c r="B14" s="314" t="s">
        <v>1252</v>
      </c>
      <c r="C14" s="398">
        <f>假设!C6</f>
        <v>925.41143520999981</v>
      </c>
      <c r="D14" s="398">
        <f>假设!D6</f>
        <v>1155.8841338400002</v>
      </c>
      <c r="E14" s="398">
        <f>假设!E6</f>
        <v>1238.45732843</v>
      </c>
      <c r="F14" s="398">
        <f>假设!F6</f>
        <v>1276.51654693</v>
      </c>
      <c r="G14" s="399">
        <f>F14*(1+假设!G7+售电量变动)</f>
        <v>1302.6880030127613</v>
      </c>
      <c r="H14" s="399">
        <f>G14*(1+假设!H7+售电量变动)</f>
        <v>1341.7686431031443</v>
      </c>
      <c r="I14" s="399">
        <f>H14*(1+假设!I7+售电量变动)</f>
        <v>1375.3128591807229</v>
      </c>
      <c r="J14" s="399">
        <f>I14*(1+假设!J7+售电量变动)</f>
        <v>1405.5697420826989</v>
      </c>
      <c r="K14" s="399">
        <f>J14*(1+假设!K7+售电量变动)</f>
        <v>1436.4922764085184</v>
      </c>
      <c r="L14" s="32"/>
      <c r="N14" s="208"/>
      <c r="O14" s="208"/>
      <c r="P14" s="208"/>
      <c r="Q14" s="208"/>
      <c r="R14" s="208"/>
      <c r="U14" s="84"/>
      <c r="V14" s="84"/>
      <c r="W14" s="84"/>
      <c r="X14" s="84"/>
      <c r="Y14" s="84"/>
      <c r="AB14" s="217"/>
      <c r="AC14" s="217"/>
      <c r="AD14" s="217"/>
      <c r="AE14" s="217"/>
      <c r="AF14" s="217"/>
    </row>
    <row r="15" spans="1:33" outlineLevel="1">
      <c r="A15" s="26"/>
      <c r="B15" s="26"/>
      <c r="C15" s="143"/>
      <c r="D15" s="143"/>
      <c r="E15" s="143"/>
      <c r="F15" s="143"/>
      <c r="G15" s="144"/>
      <c r="H15" s="144"/>
      <c r="I15" s="144"/>
      <c r="J15" s="144"/>
      <c r="K15" s="144"/>
      <c r="L15" s="32"/>
      <c r="N15" s="208"/>
      <c r="O15" s="208"/>
      <c r="P15" s="208"/>
      <c r="Q15" s="208"/>
      <c r="R15" s="208"/>
      <c r="U15" s="84"/>
      <c r="V15" s="84"/>
      <c r="W15" s="84"/>
      <c r="X15" s="84"/>
      <c r="Y15" s="84"/>
      <c r="AB15" s="217"/>
      <c r="AC15" s="217"/>
      <c r="AD15" s="217"/>
      <c r="AE15" s="217"/>
      <c r="AF15" s="217"/>
    </row>
    <row r="16" spans="1:33">
      <c r="A16" s="26"/>
      <c r="B16" s="27" t="s">
        <v>172</v>
      </c>
      <c r="C16" s="154">
        <f t="shared" ref="C16:E16" si="3">C18</f>
        <v>874.12150654830009</v>
      </c>
      <c r="D16" s="154">
        <f t="shared" si="3"/>
        <v>756.94944997849984</v>
      </c>
      <c r="E16" s="154">
        <f t="shared" si="3"/>
        <v>770.49305814950003</v>
      </c>
      <c r="F16" s="154">
        <f>F18</f>
        <v>809.38873977319986</v>
      </c>
      <c r="G16" s="141">
        <f ca="1">CHOOSE(LEFT(测算模式,1),N16,U16,AB16)</f>
        <v>852.13186448465535</v>
      </c>
      <c r="H16" s="141">
        <f ca="1">CHOOSE(LEFT(测算模式,1),O16,V16,AC16)</f>
        <v>877.35623711419544</v>
      </c>
      <c r="I16" s="141">
        <f ca="1">CHOOSE(LEFT(测算模式,1),P16,W16,AD16)</f>
        <v>898.15880450746499</v>
      </c>
      <c r="J16" s="141">
        <f ca="1">CHOOSE(LEFT(测算模式,1),Q16,X16,AE16)</f>
        <v>916.88316920539148</v>
      </c>
      <c r="K16" s="141">
        <f ca="1">CHOOSE(LEFT(测算模式,1),R16,Y16,AF16)</f>
        <v>935.37478005812545</v>
      </c>
      <c r="L16" s="72" t="s">
        <v>729</v>
      </c>
      <c r="M16" s="370"/>
      <c r="N16" s="247">
        <f ca="1">G18</f>
        <v>852.13186448465535</v>
      </c>
      <c r="O16" s="247">
        <f t="shared" ref="O16:R16" ca="1" si="4">H18</f>
        <v>877.35623711419544</v>
      </c>
      <c r="P16" s="247">
        <f t="shared" ca="1" si="4"/>
        <v>898.15880450746499</v>
      </c>
      <c r="Q16" s="247">
        <f t="shared" ca="1" si="4"/>
        <v>916.88316920539148</v>
      </c>
      <c r="R16" s="247">
        <f t="shared" ca="1" si="4"/>
        <v>935.37478005812545</v>
      </c>
      <c r="S16" s="248" t="s">
        <v>725</v>
      </c>
      <c r="T16" s="217"/>
      <c r="U16" s="246">
        <f ca="1">G18</f>
        <v>852.13186448465535</v>
      </c>
      <c r="V16" s="246">
        <f t="shared" ref="V16:Y16" ca="1" si="5">H18</f>
        <v>877.35623711419544</v>
      </c>
      <c r="W16" s="246">
        <f t="shared" ca="1" si="5"/>
        <v>898.15880450746499</v>
      </c>
      <c r="X16" s="246">
        <f t="shared" ca="1" si="5"/>
        <v>916.88316920539148</v>
      </c>
      <c r="Y16" s="246">
        <f t="shared" ca="1" si="5"/>
        <v>935.37478005812545</v>
      </c>
      <c r="Z16" s="248" t="s">
        <v>725</v>
      </c>
      <c r="AA16" s="217"/>
      <c r="AB16" s="246">
        <f>准许收入假设!F5+G19</f>
        <v>682.95720968581713</v>
      </c>
      <c r="AC16" s="246">
        <f>准许收入假设!G5+H19</f>
        <v>712.81731190639164</v>
      </c>
      <c r="AD16" s="246">
        <f>准许收入假设!H5+I19</f>
        <v>739.12517015780145</v>
      </c>
      <c r="AE16" s="246">
        <f>准许收入假设!I5+J19</f>
        <v>761.65883148766557</v>
      </c>
      <c r="AF16" s="246">
        <f>准许收入假设!J5+K19</f>
        <v>774.66437400174345</v>
      </c>
      <c r="AG16" s="241" t="s">
        <v>726</v>
      </c>
    </row>
    <row r="17" spans="1:32">
      <c r="A17" s="26"/>
      <c r="B17" s="29"/>
      <c r="C17" s="146"/>
      <c r="D17" s="146"/>
      <c r="E17" s="146"/>
      <c r="F17" s="143"/>
      <c r="G17" s="144"/>
      <c r="H17" s="144"/>
      <c r="I17" s="144"/>
      <c r="J17" s="144"/>
      <c r="K17" s="144"/>
      <c r="L17" s="32"/>
      <c r="M17" s="370"/>
      <c r="N17" s="180"/>
      <c r="O17" s="180"/>
      <c r="P17" s="180"/>
      <c r="Q17" s="180"/>
      <c r="R17" s="180"/>
      <c r="S17" s="217"/>
      <c r="T17" s="217"/>
      <c r="U17" s="217"/>
      <c r="V17" s="217"/>
      <c r="W17" s="217"/>
      <c r="X17" s="217"/>
      <c r="Y17" s="217"/>
      <c r="Z17" s="217"/>
      <c r="AA17" s="217"/>
      <c r="AB17" s="217"/>
      <c r="AC17" s="217"/>
      <c r="AD17" s="217"/>
      <c r="AE17" s="217"/>
      <c r="AF17" s="217"/>
    </row>
    <row r="18" spans="1:32">
      <c r="A18" s="26"/>
      <c r="B18" s="120" t="s">
        <v>706</v>
      </c>
      <c r="C18" s="180">
        <f>C19+C20+C21+C22+C33+C35+C34</f>
        <v>874.12150654830009</v>
      </c>
      <c r="D18" s="180">
        <f>D19+D20+D21+D22+D33+D35+D34</f>
        <v>756.94944997849984</v>
      </c>
      <c r="E18" s="180">
        <f>E19+E20+E21+E22+E33+E35+E34</f>
        <v>770.49305814950003</v>
      </c>
      <c r="F18" s="180">
        <f>F19+F20+F21+F22+F33+F35+F34</f>
        <v>809.38873977319986</v>
      </c>
      <c r="G18" s="148">
        <f ca="1">G19+G20+G21+G22+G33+G35+G34+G36+G37</f>
        <v>852.13186448465535</v>
      </c>
      <c r="H18" s="148">
        <f ca="1">H19+H20+H21+H22+H33+H35+H34+H36+H37</f>
        <v>877.35623711419544</v>
      </c>
      <c r="I18" s="148">
        <f ca="1">I19+I20+I21+I22+I33+I35+I34+I36+I37</f>
        <v>898.15880450746499</v>
      </c>
      <c r="J18" s="148">
        <f ca="1">J19+J20+J21+J22+J33+J35+J34+J36+J37</f>
        <v>916.88316920539148</v>
      </c>
      <c r="K18" s="148">
        <f ca="1">K19+K20+K21+K22+K33+K35+K34+K36+K37</f>
        <v>935.37478005812545</v>
      </c>
      <c r="M18" s="370"/>
      <c r="N18" s="180"/>
      <c r="O18" s="180"/>
      <c r="P18" s="180"/>
      <c r="Q18" s="180"/>
      <c r="R18" s="180"/>
      <c r="S18" s="217"/>
      <c r="T18" s="217"/>
      <c r="U18" s="180"/>
      <c r="V18" s="180"/>
      <c r="W18" s="180"/>
      <c r="X18" s="180"/>
      <c r="Y18" s="180"/>
      <c r="Z18" s="217"/>
      <c r="AA18" s="217"/>
      <c r="AB18" s="180"/>
      <c r="AC18" s="180"/>
      <c r="AD18" s="180"/>
      <c r="AE18" s="180"/>
      <c r="AF18" s="180"/>
    </row>
    <row r="19" spans="1:32">
      <c r="A19" s="26"/>
      <c r="B19" s="140" t="s">
        <v>562</v>
      </c>
      <c r="C19" s="180">
        <f>VLOOKUP($B19,关键参数底稿!$B$3:$Q$62,实际收入!C$3-2010,FALSE)</f>
        <v>0</v>
      </c>
      <c r="D19" s="180">
        <f>VLOOKUP($B19,关键参数底稿!$B$3:$Q$62,实际收入!D$3-2010,FALSE)</f>
        <v>520.23226242509998</v>
      </c>
      <c r="E19" s="180">
        <f>VLOOKUP($B19,关键参数底稿!$B$3:$Q$62,实际收入!E$3-2010,FALSE)</f>
        <v>526.3986235054</v>
      </c>
      <c r="F19" s="180">
        <f>VLOOKUP($B19,关键参数底稿!$B$3:$Q$62,实际收入!F$3-2010,FALSE)</f>
        <v>543.44229990040003</v>
      </c>
      <c r="G19" s="148">
        <f>假设!G11*假设!G17/1000</f>
        <v>547.89054568581719</v>
      </c>
      <c r="H19" s="148">
        <f>假设!H11*假设!H17/1000</f>
        <v>564.32726205639165</v>
      </c>
      <c r="I19" s="148">
        <f>假设!I11*假设!I17/1000</f>
        <v>578.4354436078014</v>
      </c>
      <c r="J19" s="148">
        <f>假设!J11*假设!J17/1000</f>
        <v>591.16102336717302</v>
      </c>
      <c r="K19" s="148">
        <f>假设!K11*假设!K17/1000</f>
        <v>604.1665658812509</v>
      </c>
      <c r="L19" s="32" t="s">
        <v>731</v>
      </c>
      <c r="M19" s="370"/>
      <c r="N19" s="180"/>
      <c r="O19" s="180"/>
      <c r="P19" s="180"/>
      <c r="Q19" s="180"/>
      <c r="R19" s="180"/>
      <c r="S19" s="217"/>
      <c r="T19" s="217"/>
      <c r="U19" s="217"/>
      <c r="V19" s="217"/>
      <c r="W19" s="217"/>
      <c r="X19" s="217"/>
      <c r="Y19" s="217"/>
      <c r="Z19" s="217"/>
      <c r="AA19" s="217"/>
      <c r="AB19" s="217"/>
      <c r="AC19" s="217"/>
      <c r="AD19" s="217"/>
      <c r="AE19" s="217"/>
      <c r="AF19" s="217"/>
    </row>
    <row r="20" spans="1:32" hidden="1">
      <c r="A20" s="26"/>
      <c r="B20" s="140" t="s">
        <v>563</v>
      </c>
      <c r="C20" s="147"/>
      <c r="D20" s="147"/>
      <c r="E20" s="147"/>
      <c r="F20" s="147"/>
      <c r="G20" s="148"/>
      <c r="H20" s="148"/>
      <c r="I20" s="148"/>
      <c r="J20" s="148"/>
      <c r="K20" s="148"/>
      <c r="L20" s="32" t="s">
        <v>733</v>
      </c>
      <c r="M20" s="370"/>
      <c r="N20" s="180"/>
      <c r="O20" s="180"/>
      <c r="P20" s="180"/>
      <c r="Q20" s="180"/>
      <c r="R20" s="180"/>
      <c r="S20" s="217"/>
      <c r="T20" s="217"/>
      <c r="U20" s="217"/>
      <c r="V20" s="217"/>
      <c r="W20" s="217"/>
      <c r="X20" s="217"/>
      <c r="Y20" s="217"/>
      <c r="Z20" s="217"/>
      <c r="AA20" s="217"/>
      <c r="AB20" s="217"/>
      <c r="AC20" s="217"/>
      <c r="AD20" s="217"/>
      <c r="AE20" s="217"/>
      <c r="AF20" s="217"/>
    </row>
    <row r="21" spans="1:32">
      <c r="A21" s="26"/>
      <c r="B21" s="140" t="s">
        <v>1028</v>
      </c>
      <c r="C21" s="180">
        <f>VLOOKUP($B21,关键参数底稿!$B$3:$Q$62,实际收入!C$3-2010,FALSE)</f>
        <v>0</v>
      </c>
      <c r="D21" s="180">
        <f>VLOOKUP($B21,关键参数底稿!$B$3:$Q$62,实际收入!D$3-2010,FALSE)</f>
        <v>19.103699728800002</v>
      </c>
      <c r="E21" s="180">
        <f>VLOOKUP($B21,关键参数底稿!$B$3:$Q$62,实际收入!E$3-2010,FALSE)</f>
        <v>20.536985419100002</v>
      </c>
      <c r="F21" s="180">
        <f>VLOOKUP($B21,关键参数底稿!$B$3:$Q$62,实际收入!F$3-2010,FALSE)</f>
        <v>25.415139770900002</v>
      </c>
      <c r="G21" s="1865">
        <f>假设!G41</f>
        <v>25.119</v>
      </c>
      <c r="H21" s="1865">
        <f>假设!H41</f>
        <v>25.746974999999999</v>
      </c>
      <c r="I21" s="1865">
        <f>假设!I41</f>
        <v>26.390649374999995</v>
      </c>
      <c r="J21" s="1865">
        <f>假设!J41</f>
        <v>27.050415609374994</v>
      </c>
      <c r="K21" s="1865">
        <f>假设!K41</f>
        <v>27.726675999609366</v>
      </c>
      <c r="L21" s="1865">
        <f>假设!L41</f>
        <v>0</v>
      </c>
      <c r="M21" s="370"/>
      <c r="N21" s="180"/>
      <c r="O21" s="180"/>
      <c r="P21" s="180"/>
      <c r="Q21" s="180"/>
      <c r="R21" s="180"/>
      <c r="S21" s="217"/>
      <c r="T21" s="217"/>
      <c r="U21" s="217"/>
      <c r="V21" s="217"/>
      <c r="W21" s="217"/>
      <c r="X21" s="217"/>
      <c r="Y21" s="217"/>
      <c r="Z21" s="217"/>
      <c r="AA21" s="217"/>
      <c r="AB21" s="217"/>
      <c r="AC21" s="217"/>
      <c r="AD21" s="217"/>
      <c r="AE21" s="217"/>
      <c r="AF21" s="217"/>
    </row>
    <row r="22" spans="1:32">
      <c r="A22" s="26"/>
      <c r="B22" s="140" t="s">
        <v>585</v>
      </c>
      <c r="C22" s="180">
        <f t="shared" ref="C22:F22" si="6">C23+C25+C27+C29+C31</f>
        <v>0</v>
      </c>
      <c r="D22" s="180">
        <f t="shared" si="6"/>
        <v>33.461042688100001</v>
      </c>
      <c r="E22" s="180">
        <f t="shared" si="6"/>
        <v>33.985949285899999</v>
      </c>
      <c r="F22" s="180">
        <f t="shared" si="6"/>
        <v>36.522841977200002</v>
      </c>
      <c r="G22" s="1862">
        <f>假设!G43</f>
        <v>30.054272150000003</v>
      </c>
      <c r="H22" s="1862">
        <f>假设!H43</f>
        <v>31.411709940364826</v>
      </c>
      <c r="I22" s="1862">
        <f>假设!I43</f>
        <v>32.830458061105112</v>
      </c>
      <c r="J22" s="1862">
        <f>假设!J43</f>
        <v>34.313285667932767</v>
      </c>
      <c r="K22" s="1862">
        <f>假设!K43</f>
        <v>35.863086988848657</v>
      </c>
      <c r="L22" s="32"/>
      <c r="M22" s="370"/>
      <c r="N22" s="180"/>
      <c r="O22" s="180"/>
      <c r="P22" s="180"/>
      <c r="Q22" s="180"/>
      <c r="R22" s="180"/>
      <c r="S22" s="217"/>
      <c r="T22" s="217"/>
      <c r="U22" s="217"/>
      <c r="V22" s="217"/>
      <c r="W22" s="217"/>
      <c r="X22" s="217"/>
      <c r="Y22" s="217"/>
      <c r="Z22" s="217"/>
      <c r="AA22" s="217"/>
      <c r="AB22" s="217"/>
      <c r="AC22" s="217"/>
      <c r="AD22" s="217"/>
      <c r="AE22" s="217"/>
      <c r="AF22" s="217"/>
    </row>
    <row r="23" spans="1:32" hidden="1">
      <c r="A23" s="26"/>
      <c r="B23" s="379" t="s">
        <v>168</v>
      </c>
      <c r="C23" s="180">
        <f>VLOOKUP($B23,关键参数底稿!$B$3:$Q$62,实际收入!C$3-2010,FALSE)</f>
        <v>0</v>
      </c>
      <c r="D23" s="180">
        <f>VLOOKUP($B23,关键参数底稿!$B$3:$Q$62,实际收入!D$3-2010,FALSE)</f>
        <v>28.3418952259</v>
      </c>
      <c r="E23" s="180">
        <f>VLOOKUP($B23,关键参数底稿!$B$3:$Q$62,实际收入!E$3-2010,FALSE)</f>
        <v>28.730967896399999</v>
      </c>
      <c r="F23" s="180">
        <f>VLOOKUP($B23,关键参数底稿!$B$3:$Q$62,实际收入!F$3-2010,FALSE)</f>
        <v>32.1751183306</v>
      </c>
      <c r="G23" s="148">
        <f>F23*(1+G24)</f>
        <v>32.1751183306</v>
      </c>
      <c r="H23" s="148">
        <f t="shared" ref="H23:K23" si="7">G23*(1+H24)</f>
        <v>32.1751183306</v>
      </c>
      <c r="I23" s="148">
        <f t="shared" si="7"/>
        <v>32.1751183306</v>
      </c>
      <c r="J23" s="148">
        <f t="shared" si="7"/>
        <v>32.1751183306</v>
      </c>
      <c r="K23" s="148">
        <f t="shared" si="7"/>
        <v>32.1751183306</v>
      </c>
      <c r="L23" s="32" t="s">
        <v>730</v>
      </c>
      <c r="M23" s="370"/>
      <c r="N23" s="180"/>
      <c r="O23" s="180"/>
      <c r="P23" s="180"/>
      <c r="Q23" s="180"/>
      <c r="R23" s="180"/>
      <c r="S23" s="217"/>
      <c r="T23" s="217"/>
      <c r="U23" s="217"/>
      <c r="V23" s="217"/>
      <c r="W23" s="217"/>
      <c r="X23" s="217"/>
      <c r="Y23" s="217"/>
      <c r="Z23" s="217"/>
      <c r="AA23" s="217"/>
      <c r="AB23" s="217"/>
      <c r="AC23" s="217"/>
      <c r="AD23" s="217"/>
      <c r="AE23" s="217"/>
      <c r="AF23" s="217"/>
    </row>
    <row r="24" spans="1:32" hidden="1">
      <c r="A24" s="26"/>
      <c r="B24" s="378" t="s">
        <v>165</v>
      </c>
      <c r="C24" s="181" t="str">
        <f>IFERROR(C23/B23-1,"")</f>
        <v/>
      </c>
      <c r="D24" s="181" t="str">
        <f>IFERROR(D23/C23-1,"")</f>
        <v/>
      </c>
      <c r="E24" s="181">
        <f>IFERROR(E23/D23-1,"")</f>
        <v>1.3727828269735731E-2</v>
      </c>
      <c r="F24" s="181">
        <f>IFERROR(F23/E23-1,"")</f>
        <v>0.11987589303009716</v>
      </c>
      <c r="G24" s="182"/>
      <c r="H24" s="182"/>
      <c r="I24" s="182"/>
      <c r="J24" s="182"/>
      <c r="K24" s="182"/>
      <c r="M24" s="370"/>
      <c r="N24" s="180"/>
      <c r="O24" s="180"/>
      <c r="P24" s="180"/>
      <c r="Q24" s="180"/>
      <c r="R24" s="180"/>
      <c r="S24" s="217"/>
      <c r="T24" s="217"/>
      <c r="U24" s="217"/>
      <c r="V24" s="217"/>
      <c r="W24" s="217"/>
      <c r="X24" s="217"/>
      <c r="Y24" s="217"/>
      <c r="Z24" s="217"/>
      <c r="AA24" s="217"/>
      <c r="AB24" s="217"/>
      <c r="AC24" s="217"/>
      <c r="AD24" s="217"/>
      <c r="AE24" s="217"/>
      <c r="AF24" s="217"/>
    </row>
    <row r="25" spans="1:32" hidden="1">
      <c r="A25" s="26"/>
      <c r="B25" s="379" t="s">
        <v>169</v>
      </c>
      <c r="C25" s="180">
        <f>VLOOKUP($B25,关键参数底稿!$B$3:$Q$62,实际收入!C$3-2010,FALSE)</f>
        <v>0</v>
      </c>
      <c r="D25" s="180">
        <f>VLOOKUP($B25,关键参数底稿!$B$3:$Q$62,实际收入!D$3-2010,FALSE)</f>
        <v>3.301545945</v>
      </c>
      <c r="E25" s="180">
        <f>VLOOKUP($B25,关键参数底稿!$B$3:$Q$62,实际收入!E$3-2010,FALSE)</f>
        <v>3.4038760373999999</v>
      </c>
      <c r="F25" s="180">
        <f>VLOOKUP($B25,关键参数底稿!$B$3:$Q$62,实际收入!F$3-2010,FALSE)</f>
        <v>3.6647671326999998</v>
      </c>
      <c r="G25" s="148">
        <f>F25*(1+G26)</f>
        <v>3.6647671326999998</v>
      </c>
      <c r="H25" s="148">
        <f t="shared" ref="H25:K25" si="8">G25*(1+H26)</f>
        <v>3.6647671326999998</v>
      </c>
      <c r="I25" s="148">
        <f t="shared" si="8"/>
        <v>3.6647671326999998</v>
      </c>
      <c r="J25" s="148">
        <f t="shared" si="8"/>
        <v>3.6647671326999998</v>
      </c>
      <c r="K25" s="148">
        <f t="shared" si="8"/>
        <v>3.6647671326999998</v>
      </c>
      <c r="L25" s="32" t="s">
        <v>735</v>
      </c>
      <c r="M25" s="370"/>
      <c r="N25" s="180"/>
      <c r="O25" s="180"/>
      <c r="P25" s="180"/>
      <c r="Q25" s="180"/>
      <c r="R25" s="180"/>
      <c r="S25" s="217"/>
      <c r="T25" s="217"/>
      <c r="U25" s="217"/>
      <c r="V25" s="217"/>
      <c r="W25" s="217"/>
      <c r="X25" s="217"/>
      <c r="Y25" s="217"/>
      <c r="Z25" s="217"/>
      <c r="AA25" s="217"/>
      <c r="AB25" s="217"/>
      <c r="AC25" s="217"/>
      <c r="AD25" s="217"/>
      <c r="AE25" s="217"/>
      <c r="AF25" s="217"/>
    </row>
    <row r="26" spans="1:32" hidden="1">
      <c r="A26" s="26"/>
      <c r="B26" s="378" t="s">
        <v>165</v>
      </c>
      <c r="C26" s="181"/>
      <c r="D26" s="181" t="str">
        <f>IFERROR(D25/C25-1,"")</f>
        <v/>
      </c>
      <c r="E26" s="181">
        <f>IFERROR(E25/D25-1,"")</f>
        <v>3.0994598925685901E-2</v>
      </c>
      <c r="F26" s="181">
        <f>IFERROR(F25/E25-1,"")</f>
        <v>7.6645298604727685E-2</v>
      </c>
      <c r="G26" s="182"/>
      <c r="H26" s="182"/>
      <c r="I26" s="182"/>
      <c r="J26" s="182"/>
      <c r="K26" s="182"/>
      <c r="M26" s="370"/>
      <c r="N26" s="180"/>
      <c r="O26" s="180"/>
      <c r="P26" s="180"/>
      <c r="Q26" s="180"/>
      <c r="R26" s="180"/>
      <c r="S26" s="217"/>
      <c r="T26" s="217"/>
      <c r="U26" s="217"/>
      <c r="V26" s="217"/>
      <c r="W26" s="217"/>
      <c r="X26" s="217"/>
      <c r="Y26" s="217"/>
      <c r="Z26" s="217"/>
      <c r="AA26" s="217"/>
      <c r="AB26" s="217"/>
      <c r="AC26" s="217"/>
      <c r="AD26" s="217"/>
      <c r="AE26" s="217"/>
      <c r="AF26" s="217"/>
    </row>
    <row r="27" spans="1:32" hidden="1">
      <c r="A27" s="26"/>
      <c r="B27" s="379" t="s">
        <v>170</v>
      </c>
      <c r="C27" s="180">
        <f>VLOOKUP($B27,关键参数底稿!$B$3:$Q$62,实际收入!C$3-2010,FALSE)</f>
        <v>0</v>
      </c>
      <c r="D27" s="180">
        <f>VLOOKUP($B27,关键参数底稿!$B$3:$Q$62,实际收入!D$3-2010,FALSE)</f>
        <v>0</v>
      </c>
      <c r="E27" s="180">
        <f>VLOOKUP($B27,关键参数底稿!$B$3:$Q$62,实际收入!E$3-2010,FALSE)</f>
        <v>0</v>
      </c>
      <c r="F27" s="180">
        <f>VLOOKUP($B27,关键参数底稿!$B$3:$Q$62,实际收入!F$3-2010,FALSE)</f>
        <v>0</v>
      </c>
      <c r="G27" s="148">
        <f>F27*(1+G28)</f>
        <v>0</v>
      </c>
      <c r="H27" s="148">
        <f t="shared" ref="H27:K27" si="9">G27*(1+H28)</f>
        <v>0</v>
      </c>
      <c r="I27" s="148">
        <f t="shared" si="9"/>
        <v>0</v>
      </c>
      <c r="J27" s="148">
        <f t="shared" si="9"/>
        <v>0</v>
      </c>
      <c r="K27" s="148">
        <f t="shared" si="9"/>
        <v>0</v>
      </c>
      <c r="L27" s="32" t="s">
        <v>730</v>
      </c>
      <c r="M27" s="370"/>
      <c r="N27" s="180"/>
      <c r="O27" s="180"/>
      <c r="P27" s="180"/>
      <c r="Q27" s="180"/>
      <c r="R27" s="180"/>
      <c r="S27" s="217"/>
      <c r="T27" s="217"/>
      <c r="U27" s="217"/>
      <c r="V27" s="217"/>
      <c r="W27" s="217"/>
      <c r="X27" s="217"/>
      <c r="Y27" s="217"/>
      <c r="Z27" s="217"/>
      <c r="AA27" s="217"/>
      <c r="AB27" s="217"/>
      <c r="AC27" s="217"/>
      <c r="AD27" s="217"/>
      <c r="AE27" s="217"/>
      <c r="AF27" s="217"/>
    </row>
    <row r="28" spans="1:32" hidden="1">
      <c r="A28" s="26"/>
      <c r="B28" s="378" t="s">
        <v>167</v>
      </c>
      <c r="C28" s="181" t="str">
        <f>IFERROR(C27/B27-1,"")</f>
        <v/>
      </c>
      <c r="D28" s="181" t="str">
        <f>IFERROR(D27/C27-1,"")</f>
        <v/>
      </c>
      <c r="E28" s="181" t="str">
        <f>IFERROR(E27/D27-1,"")</f>
        <v/>
      </c>
      <c r="F28" s="181" t="str">
        <f>IFERROR(F27/E27-1,"")</f>
        <v/>
      </c>
      <c r="G28" s="182">
        <f>假设!G47</f>
        <v>0</v>
      </c>
      <c r="H28" s="182">
        <f>假设!H47</f>
        <v>0</v>
      </c>
      <c r="I28" s="182">
        <f>假设!I47</f>
        <v>0</v>
      </c>
      <c r="J28" s="182">
        <f>假设!J47</f>
        <v>0</v>
      </c>
      <c r="K28" s="182">
        <f>假设!K47</f>
        <v>0</v>
      </c>
      <c r="M28" s="370"/>
      <c r="N28" s="180"/>
      <c r="O28" s="180"/>
      <c r="P28" s="180"/>
      <c r="Q28" s="180"/>
      <c r="R28" s="180"/>
      <c r="S28" s="217"/>
      <c r="T28" s="217"/>
      <c r="U28" s="217"/>
      <c r="V28" s="217"/>
      <c r="W28" s="217"/>
      <c r="X28" s="217"/>
      <c r="Y28" s="217"/>
      <c r="Z28" s="217"/>
      <c r="AA28" s="217"/>
      <c r="AB28" s="217"/>
      <c r="AC28" s="217"/>
      <c r="AD28" s="217"/>
      <c r="AE28" s="217"/>
      <c r="AF28" s="217"/>
    </row>
    <row r="29" spans="1:32" hidden="1">
      <c r="A29" s="26"/>
      <c r="B29" s="379" t="s">
        <v>155</v>
      </c>
      <c r="C29" s="180">
        <f>VLOOKUP($B29,关键参数底稿!$B$3:$Q$62,实际收入!C$3-2010,FALSE)</f>
        <v>0</v>
      </c>
      <c r="D29" s="180">
        <f>VLOOKUP($B29,关键参数底稿!$B$3:$Q$62,实际收入!D$3-2010,FALSE)</f>
        <v>0</v>
      </c>
      <c r="E29" s="180">
        <f>VLOOKUP($B29,关键参数底稿!$B$3:$Q$62,实际收入!E$3-2010,FALSE)</f>
        <v>0</v>
      </c>
      <c r="F29" s="180">
        <f>VLOOKUP($B29,关键参数底稿!$B$3:$Q$62,实际收入!F$3-2010,FALSE)</f>
        <v>0</v>
      </c>
      <c r="G29" s="148">
        <f>F29*(1+G30)</f>
        <v>0</v>
      </c>
      <c r="H29" s="148">
        <f t="shared" ref="H29:K29" si="10">G29*(1+H30)</f>
        <v>0</v>
      </c>
      <c r="I29" s="148">
        <f t="shared" si="10"/>
        <v>0</v>
      </c>
      <c r="J29" s="148">
        <f t="shared" si="10"/>
        <v>0</v>
      </c>
      <c r="K29" s="148">
        <f t="shared" si="10"/>
        <v>0</v>
      </c>
      <c r="L29" s="32" t="s">
        <v>730</v>
      </c>
      <c r="M29" s="370"/>
      <c r="N29" s="180"/>
      <c r="O29" s="180"/>
      <c r="P29" s="180"/>
      <c r="Q29" s="180"/>
      <c r="R29" s="180"/>
      <c r="S29" s="217"/>
      <c r="T29" s="217"/>
      <c r="U29" s="217"/>
      <c r="V29" s="217"/>
      <c r="W29" s="217"/>
      <c r="X29" s="217"/>
      <c r="Y29" s="217"/>
      <c r="Z29" s="217"/>
      <c r="AA29" s="217"/>
      <c r="AB29" s="217"/>
      <c r="AC29" s="217"/>
      <c r="AD29" s="217"/>
      <c r="AE29" s="217"/>
      <c r="AF29" s="217"/>
    </row>
    <row r="30" spans="1:32" hidden="1">
      <c r="A30" s="26"/>
      <c r="B30" s="378" t="s">
        <v>166</v>
      </c>
      <c r="C30" s="181" t="str">
        <f>IFERROR(C29/B29-1,"")</f>
        <v/>
      </c>
      <c r="D30" s="181" t="str">
        <f>IFERROR(D29/C29-1,"")</f>
        <v/>
      </c>
      <c r="E30" s="181" t="str">
        <f>IFERROR(E29/D29-1,"")</f>
        <v/>
      </c>
      <c r="F30" s="181" t="str">
        <f>IFERROR(F29/E29-1,"")</f>
        <v/>
      </c>
      <c r="G30" s="182">
        <f>假设!G48</f>
        <v>0</v>
      </c>
      <c r="H30" s="182">
        <f>假设!H48</f>
        <v>0</v>
      </c>
      <c r="I30" s="182">
        <f>假设!I48</f>
        <v>0</v>
      </c>
      <c r="J30" s="182">
        <f>假设!J48</f>
        <v>0</v>
      </c>
      <c r="K30" s="182">
        <f>假设!K48</f>
        <v>0</v>
      </c>
      <c r="M30" s="370"/>
      <c r="N30" s="180"/>
      <c r="O30" s="180"/>
      <c r="P30" s="180"/>
      <c r="Q30" s="180"/>
      <c r="R30" s="180"/>
      <c r="S30" s="217"/>
      <c r="T30" s="217"/>
      <c r="U30" s="217"/>
      <c r="V30" s="217"/>
      <c r="W30" s="217"/>
      <c r="X30" s="217"/>
      <c r="Y30" s="217"/>
      <c r="Z30" s="217"/>
      <c r="AA30" s="217"/>
      <c r="AB30" s="217"/>
      <c r="AC30" s="217"/>
      <c r="AD30" s="217"/>
      <c r="AE30" s="217"/>
      <c r="AF30" s="217"/>
    </row>
    <row r="31" spans="1:32" hidden="1">
      <c r="A31" s="26"/>
      <c r="B31" s="379" t="s">
        <v>156</v>
      </c>
      <c r="C31" s="180">
        <f>VLOOKUP($B31,关键参数底稿!$B$3:$Q$62,实际收入!C$3-2010,FALSE)</f>
        <v>0</v>
      </c>
      <c r="D31" s="180">
        <f>VLOOKUP($B31,关键参数底稿!$B$3:$Q$62,实际收入!D$3-2010,FALSE)</f>
        <v>1.8176015172</v>
      </c>
      <c r="E31" s="180">
        <f>VLOOKUP($B31,关键参数底稿!$B$3:$Q$62,实际收入!E$3-2010,FALSE)</f>
        <v>1.8511053520999998</v>
      </c>
      <c r="F31" s="180">
        <f>VLOOKUP($B31,关键参数底稿!$B$3:$Q$62,实际收入!F$3-2010,FALSE)</f>
        <v>0.68295651390000001</v>
      </c>
      <c r="G31" s="148">
        <f>F31*(1+G32)</f>
        <v>0.68295651390000001</v>
      </c>
      <c r="H31" s="148">
        <f t="shared" ref="H31:K31" si="11">G31*(1+H32)</f>
        <v>0.68295651390000001</v>
      </c>
      <c r="I31" s="148">
        <f t="shared" si="11"/>
        <v>0.68295651390000001</v>
      </c>
      <c r="J31" s="148">
        <f t="shared" si="11"/>
        <v>0.68295651390000001</v>
      </c>
      <c r="K31" s="148">
        <f t="shared" si="11"/>
        <v>0.68295651390000001</v>
      </c>
      <c r="L31" s="32" t="s">
        <v>736</v>
      </c>
      <c r="M31" s="370"/>
      <c r="N31" s="180"/>
      <c r="O31" s="180"/>
      <c r="P31" s="180"/>
      <c r="Q31" s="180"/>
      <c r="R31" s="180"/>
      <c r="S31" s="217"/>
      <c r="T31" s="217"/>
      <c r="U31" s="217"/>
      <c r="V31" s="217"/>
      <c r="W31" s="217"/>
      <c r="X31" s="217"/>
      <c r="Y31" s="217"/>
      <c r="Z31" s="217"/>
      <c r="AA31" s="217"/>
      <c r="AB31" s="217"/>
      <c r="AC31" s="217"/>
      <c r="AD31" s="217"/>
      <c r="AE31" s="217"/>
      <c r="AF31" s="217"/>
    </row>
    <row r="32" spans="1:32" hidden="1">
      <c r="A32" s="26"/>
      <c r="B32" s="378" t="s">
        <v>171</v>
      </c>
      <c r="C32" s="181" t="str">
        <f>IFERROR(C31/B31-1,"")</f>
        <v/>
      </c>
      <c r="D32" s="181" t="str">
        <f>IFERROR(D31/C31-1,"")</f>
        <v/>
      </c>
      <c r="E32" s="181">
        <f>IFERROR(E31/D31-1,"")</f>
        <v>1.8432992370963852E-2</v>
      </c>
      <c r="F32" s="181">
        <f>IFERROR(F31/E31-1,"")</f>
        <v>-0.63105475702654357</v>
      </c>
      <c r="G32" s="182">
        <f>假设!G49</f>
        <v>0</v>
      </c>
      <c r="H32" s="182">
        <f>假设!H49</f>
        <v>0</v>
      </c>
      <c r="I32" s="182">
        <f>假设!I49</f>
        <v>0</v>
      </c>
      <c r="J32" s="182">
        <f>假设!J49</f>
        <v>0</v>
      </c>
      <c r="K32" s="182">
        <f>假设!K49</f>
        <v>0</v>
      </c>
      <c r="M32" s="370"/>
      <c r="N32" s="180"/>
      <c r="O32" s="180"/>
      <c r="P32" s="180"/>
      <c r="Q32" s="180"/>
      <c r="R32" s="180"/>
      <c r="S32" s="217"/>
      <c r="T32" s="217"/>
      <c r="U32" s="217"/>
      <c r="V32" s="217"/>
      <c r="W32" s="217"/>
      <c r="X32" s="217"/>
      <c r="Y32" s="217"/>
      <c r="Z32" s="217"/>
      <c r="AA32" s="217"/>
      <c r="AB32" s="217"/>
      <c r="AC32" s="217"/>
      <c r="AD32" s="217"/>
      <c r="AE32" s="217"/>
      <c r="AF32" s="217"/>
    </row>
    <row r="33" spans="1:32">
      <c r="A33" s="26"/>
      <c r="B33" s="140" t="s">
        <v>2192</v>
      </c>
      <c r="C33" s="142">
        <f>固定资产!C33</f>
        <v>124.4617439367</v>
      </c>
      <c r="D33" s="142">
        <f>固定资产!D33</f>
        <v>125.15229154740001</v>
      </c>
      <c r="E33" s="142">
        <f>固定资产!E33</f>
        <v>126.68733873859999</v>
      </c>
      <c r="F33" s="142">
        <f>固定资产!F33</f>
        <v>142.6093738479</v>
      </c>
      <c r="G33" s="142">
        <f ca="1">固定资产!G33</f>
        <v>154.85442231883817</v>
      </c>
      <c r="H33" s="142">
        <f ca="1">固定资产!H33</f>
        <v>159.98010170253076</v>
      </c>
      <c r="I33" s="142">
        <f ca="1">固定资产!I33</f>
        <v>162.89398038732321</v>
      </c>
      <c r="J33" s="142">
        <f ca="1">固定资产!J33</f>
        <v>164.98952485514025</v>
      </c>
      <c r="K33" s="142">
        <f ca="1">固定资产!K33</f>
        <v>166.44525523956906</v>
      </c>
      <c r="L33" s="142">
        <f t="shared" ref="L33" ca="1" si="12">K33</f>
        <v>166.44525523956906</v>
      </c>
      <c r="M33" s="370"/>
      <c r="N33" s="180"/>
      <c r="O33" s="180"/>
      <c r="P33" s="180"/>
      <c r="Q33" s="180"/>
      <c r="R33" s="180"/>
      <c r="S33" s="217"/>
      <c r="T33" s="217"/>
      <c r="U33" s="217"/>
      <c r="V33" s="217"/>
      <c r="W33" s="217"/>
      <c r="X33" s="217"/>
      <c r="Y33" s="217"/>
      <c r="Z33" s="217"/>
      <c r="AA33" s="217"/>
      <c r="AB33" s="217"/>
      <c r="AC33" s="217"/>
      <c r="AD33" s="217"/>
      <c r="AE33" s="217"/>
      <c r="AF33" s="217"/>
    </row>
    <row r="34" spans="1:32">
      <c r="A34" s="26"/>
      <c r="B34" s="140" t="s">
        <v>564</v>
      </c>
      <c r="C34" s="180">
        <f>VLOOKUP($B34,关键参数底稿!$B$3:$Q$62,实际收入!C$3-2010,FALSE)</f>
        <v>0</v>
      </c>
      <c r="D34" s="180">
        <f>VLOOKUP($B34,关键参数底稿!$B$3:$Q$62,实际收入!D$3-2010,FALSE)</f>
        <v>5.8260384032000001</v>
      </c>
      <c r="E34" s="180">
        <f>VLOOKUP($B34,关键参数底稿!$B$3:$Q$62,实际收入!E$3-2010,FALSE)</f>
        <v>5.2013202939999994</v>
      </c>
      <c r="F34" s="180">
        <f>VLOOKUP($B34,关键参数底稿!$B$3:$Q$62,实际收入!F$3-2010,FALSE)</f>
        <v>5.6890505909</v>
      </c>
      <c r="G34" s="1862">
        <f>假设!G52</f>
        <v>5.8107963300000005</v>
      </c>
      <c r="H34" s="1862">
        <f>假设!H52</f>
        <v>5.8689042933000009</v>
      </c>
      <c r="I34" s="1862">
        <f>假设!I52</f>
        <v>5.9275933362330013</v>
      </c>
      <c r="J34" s="1862">
        <f>假设!J52</f>
        <v>5.9868692695953314</v>
      </c>
      <c r="K34" s="1862">
        <f>假设!K52</f>
        <v>6.0467379622912851</v>
      </c>
      <c r="L34" s="32" t="s">
        <v>727</v>
      </c>
      <c r="M34" s="370"/>
      <c r="N34" s="180"/>
      <c r="O34" s="180"/>
      <c r="P34" s="180"/>
      <c r="Q34" s="180"/>
      <c r="R34" s="180"/>
      <c r="S34" s="217"/>
      <c r="T34" s="217"/>
      <c r="U34" s="217"/>
      <c r="V34" s="217"/>
      <c r="W34" s="217"/>
      <c r="X34" s="217"/>
      <c r="Y34" s="217"/>
      <c r="Z34" s="217"/>
      <c r="AA34" s="217"/>
      <c r="AB34" s="217"/>
      <c r="AC34" s="217"/>
      <c r="AD34" s="217"/>
      <c r="AE34" s="217"/>
      <c r="AF34" s="217"/>
    </row>
    <row r="35" spans="1:32">
      <c r="A35" s="26"/>
      <c r="B35" s="140" t="s">
        <v>1198</v>
      </c>
      <c r="C35" s="180">
        <f>VLOOKUP($B35,关键参数底稿!$B$3:$Q$62,实际收入!C$3-2010,FALSE)</f>
        <v>749.65976261160006</v>
      </c>
      <c r="D35" s="180">
        <f>VLOOKUP($B35,关键参数底稿!$B$3:$Q$62,实际收入!D$3-2010,FALSE)</f>
        <v>53.17411518589995</v>
      </c>
      <c r="E35" s="180">
        <f>VLOOKUP($B35,关键参数底稿!$B$3:$Q$62,实际收入!E$3-2010,FALSE)</f>
        <v>57.682840906500019</v>
      </c>
      <c r="F35" s="180">
        <f>VLOOKUP($B35,关键参数底稿!$B$3:$Q$62,实际收入!F$3-2010,FALSE)</f>
        <v>55.710033685899873</v>
      </c>
      <c r="G35" s="1865">
        <f>假设!G50</f>
        <v>63.982228000000006</v>
      </c>
      <c r="H35" s="1865">
        <f>假设!H50</f>
        <v>65.600684121608083</v>
      </c>
      <c r="I35" s="1865">
        <f>假设!I50</f>
        <v>67.260079740002212</v>
      </c>
      <c r="J35" s="1865">
        <f>假设!J50</f>
        <v>68.961450436175127</v>
      </c>
      <c r="K35" s="1865">
        <f>假设!K50</f>
        <v>70.70585798655614</v>
      </c>
      <c r="L35" s="32" t="s">
        <v>734</v>
      </c>
      <c r="M35" s="370"/>
      <c r="N35" s="180"/>
      <c r="O35" s="180"/>
      <c r="P35" s="180"/>
      <c r="Q35" s="180"/>
      <c r="R35" s="180"/>
      <c r="S35" s="217"/>
      <c r="T35" s="217"/>
      <c r="U35" s="217"/>
      <c r="V35" s="217"/>
      <c r="W35" s="217"/>
      <c r="X35" s="217"/>
      <c r="Y35" s="217"/>
      <c r="Z35" s="217"/>
      <c r="AA35" s="217"/>
      <c r="AB35" s="217"/>
      <c r="AC35" s="217"/>
      <c r="AD35" s="217"/>
      <c r="AE35" s="217"/>
      <c r="AF35" s="217"/>
    </row>
    <row r="36" spans="1:32">
      <c r="A36" s="26"/>
      <c r="B36" s="28" t="s">
        <v>2208</v>
      </c>
      <c r="C36" s="181"/>
      <c r="D36" s="181"/>
      <c r="E36" s="181"/>
      <c r="F36" s="181"/>
      <c r="G36" s="1890">
        <f>假设!G54</f>
        <v>22.473800000000001</v>
      </c>
      <c r="H36" s="1890">
        <f>假设!H54</f>
        <v>22.473800000000001</v>
      </c>
      <c r="I36" s="1890">
        <f>假设!I54</f>
        <v>22.473800000000001</v>
      </c>
      <c r="J36" s="1890">
        <f>假设!J54</f>
        <v>22.473800000000001</v>
      </c>
      <c r="K36" s="1890">
        <f>假设!K54</f>
        <v>22.473800000000001</v>
      </c>
      <c r="N36" s="180"/>
      <c r="O36" s="180"/>
      <c r="P36" s="180"/>
      <c r="Q36" s="180"/>
      <c r="R36" s="180"/>
      <c r="S36" s="217"/>
      <c r="T36" s="217"/>
      <c r="U36" s="217"/>
      <c r="V36" s="217"/>
      <c r="W36" s="217"/>
      <c r="X36" s="217"/>
      <c r="Y36" s="217"/>
      <c r="Z36" s="217"/>
      <c r="AA36" s="217"/>
      <c r="AB36" s="217"/>
      <c r="AC36" s="217"/>
      <c r="AD36" s="217"/>
      <c r="AE36" s="217"/>
      <c r="AF36" s="217"/>
    </row>
    <row r="37" spans="1:32">
      <c r="A37" s="26"/>
      <c r="B37" s="28" t="s">
        <v>2207</v>
      </c>
      <c r="C37" s="181"/>
      <c r="D37" s="181"/>
      <c r="E37" s="181"/>
      <c r="F37" s="181"/>
      <c r="G37" s="1890">
        <f>假设!G55</f>
        <v>1.9468000000000001</v>
      </c>
      <c r="H37" s="1890">
        <f>假设!H55</f>
        <v>1.9468000000000001</v>
      </c>
      <c r="I37" s="1890">
        <f>假设!I55</f>
        <v>1.9468000000000001</v>
      </c>
      <c r="J37" s="1890">
        <f>假设!J55</f>
        <v>1.9468000000000001</v>
      </c>
      <c r="K37" s="1890">
        <f>假设!K55</f>
        <v>1.9468000000000001</v>
      </c>
      <c r="N37" s="180"/>
      <c r="O37" s="180"/>
      <c r="P37" s="180"/>
      <c r="Q37" s="180"/>
      <c r="R37" s="180"/>
      <c r="S37" s="217"/>
      <c r="T37" s="217"/>
      <c r="U37" s="217"/>
      <c r="V37" s="217"/>
      <c r="W37" s="217"/>
      <c r="X37" s="217"/>
      <c r="Y37" s="217"/>
      <c r="Z37" s="217"/>
      <c r="AA37" s="217"/>
      <c r="AB37" s="217"/>
      <c r="AC37" s="217"/>
      <c r="AD37" s="217"/>
      <c r="AE37" s="217"/>
      <c r="AF37" s="217"/>
    </row>
    <row r="38" spans="1:32">
      <c r="A38" s="26"/>
      <c r="B38" s="144"/>
      <c r="C38" s="146"/>
      <c r="D38" s="146"/>
      <c r="E38" s="146"/>
      <c r="F38" s="146"/>
      <c r="G38" s="144"/>
      <c r="H38" s="144"/>
      <c r="I38" s="144"/>
      <c r="J38" s="144"/>
      <c r="K38" s="144"/>
    </row>
    <row r="39" spans="1:32">
      <c r="A39" s="26"/>
      <c r="B39" s="125" t="s">
        <v>1014</v>
      </c>
      <c r="C39" s="320"/>
      <c r="D39" s="320">
        <f t="shared" ref="D39:K39" si="13">D5-D16</f>
        <v>32.603775092000205</v>
      </c>
      <c r="E39" s="320">
        <f t="shared" si="13"/>
        <v>46.431135600800076</v>
      </c>
      <c r="F39" s="320">
        <f t="shared" si="13"/>
        <v>37.757318232699959</v>
      </c>
      <c r="G39" s="238">
        <f t="shared" ca="1" si="13"/>
        <v>38.123379461559125</v>
      </c>
      <c r="H39" s="238">
        <f t="shared" ca="1" si="13"/>
        <v>38.390268070405568</v>
      </c>
      <c r="I39" s="238">
        <f t="shared" ca="1" si="13"/>
        <v>39.467699906750909</v>
      </c>
      <c r="J39" s="238">
        <f t="shared" ca="1" si="13"/>
        <v>40.479094513937412</v>
      </c>
      <c r="K39" s="238">
        <f t="shared" ca="1" si="13"/>
        <v>42.157429671028694</v>
      </c>
    </row>
    <row r="42" spans="1:32">
      <c r="F42" s="217"/>
    </row>
    <row r="43" spans="1:32">
      <c r="B43" s="7" t="s">
        <v>1448</v>
      </c>
      <c r="G43" s="217">
        <f>G5-G11</f>
        <v>884.39862194621446</v>
      </c>
      <c r="H43" s="217">
        <f>H5-H11</f>
        <v>909.88988318460099</v>
      </c>
      <c r="I43" s="217">
        <f>I5-I11</f>
        <v>931.76988241421589</v>
      </c>
      <c r="J43" s="217">
        <f>J5-J11</f>
        <v>951.50564171932888</v>
      </c>
      <c r="K43" s="217">
        <f>K5-K11</f>
        <v>971.67558772915413</v>
      </c>
    </row>
    <row r="44" spans="1:32">
      <c r="B44" s="7" t="s">
        <v>2206</v>
      </c>
      <c r="G44" s="217">
        <f ca="1">G21+G22+G35+G33</f>
        <v>274.00992246883817</v>
      </c>
      <c r="H44" s="217">
        <f ca="1">H21+H22+H35+H33</f>
        <v>282.73947076450366</v>
      </c>
      <c r="I44" s="217">
        <f ca="1">I21+I22+I35+I33</f>
        <v>289.37516756343052</v>
      </c>
      <c r="J44" s="217">
        <f ca="1">J21+J22+J35+J33</f>
        <v>295.3146765686231</v>
      </c>
      <c r="K44" s="217">
        <f ca="1">K21+K22+K35+K33</f>
        <v>300.74087621458324</v>
      </c>
    </row>
    <row r="45" spans="1:32">
      <c r="E45" s="32"/>
      <c r="G45" s="217"/>
      <c r="H45" s="217"/>
      <c r="I45" s="217"/>
      <c r="J45" s="217"/>
      <c r="K45" s="217"/>
    </row>
  </sheetData>
  <mergeCells count="4">
    <mergeCell ref="C2:F2"/>
    <mergeCell ref="AB2:AF2"/>
    <mergeCell ref="U2:Y2"/>
    <mergeCell ref="N2:R2"/>
  </mergeCells>
  <phoneticPr fontId="20" type="noConversion"/>
  <pageMargins left="0.70866141732283472" right="0.70866141732283472" top="0.74803149606299213" bottom="0.74803149606299213" header="0.31496062992125984" footer="0.31496062992125984"/>
  <pageSetup paperSize="9" scale="70" fitToHeight="2" orientation="landscape"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8">
    <tabColor theme="7" tint="0.39997558519241921"/>
  </sheetPr>
  <dimension ref="A1:N45"/>
  <sheetViews>
    <sheetView showGridLines="0" zoomScaleNormal="100" zoomScalePageLayoutView="90" workbookViewId="0">
      <pane xSplit="2" ySplit="3" topLeftCell="C22" activePane="bottomRight" state="frozen"/>
      <selection activeCell="G35" sqref="G35"/>
      <selection pane="topRight" activeCell="G35" sqref="G35"/>
      <selection pane="bottomLeft" activeCell="G35" sqref="G35"/>
      <selection pane="bottomRight" activeCell="G33" sqref="G33"/>
    </sheetView>
  </sheetViews>
  <sheetFormatPr defaultColWidth="8.77734375" defaultRowHeight="14.4" outlineLevelCol="1"/>
  <cols>
    <col min="1" max="1" width="4" style="117" customWidth="1"/>
    <col min="2" max="2" width="37.6640625" style="117" customWidth="1"/>
    <col min="3" max="3" width="14.33203125" style="91" bestFit="1" customWidth="1"/>
    <col min="4" max="4" width="10.6640625" style="91" customWidth="1"/>
    <col min="5" max="12" width="12.6640625" style="91" customWidth="1"/>
    <col min="13" max="13" width="66.21875" style="91" customWidth="1" outlineLevel="1"/>
    <col min="14" max="14" width="15" style="91" bestFit="1" customWidth="1"/>
    <col min="15" max="15" width="13.88671875" style="117" bestFit="1" customWidth="1"/>
    <col min="16" max="16384" width="8.77734375" style="117"/>
  </cols>
  <sheetData>
    <row r="1" spans="1:14" ht="19.95" customHeight="1">
      <c r="A1" s="88"/>
      <c r="B1" s="89" t="s">
        <v>686</v>
      </c>
      <c r="C1" s="90"/>
      <c r="D1" s="90"/>
      <c r="E1" s="90"/>
      <c r="F1" s="90"/>
      <c r="G1" s="90"/>
      <c r="H1" s="90"/>
      <c r="I1" s="90"/>
      <c r="J1" s="90"/>
      <c r="K1" s="90"/>
      <c r="L1" s="90"/>
      <c r="N1" s="117"/>
    </row>
    <row r="2" spans="1:14" ht="15.6">
      <c r="A2" s="92"/>
      <c r="B2" s="93"/>
      <c r="C2" s="2540" t="s">
        <v>300</v>
      </c>
      <c r="D2" s="2540"/>
      <c r="E2" s="2540"/>
      <c r="F2" s="2540"/>
      <c r="G2" s="979" t="s">
        <v>31</v>
      </c>
      <c r="H2" s="979"/>
      <c r="I2" s="979"/>
      <c r="J2" s="979"/>
      <c r="K2" s="979"/>
      <c r="L2" s="94"/>
      <c r="N2" s="117"/>
    </row>
    <row r="3" spans="1:14" s="933" customFormat="1">
      <c r="A3" s="927"/>
      <c r="B3" s="928" t="s">
        <v>301</v>
      </c>
      <c r="C3" s="929">
        <f>G3-4</f>
        <v>2014</v>
      </c>
      <c r="D3" s="929">
        <f>G3-3</f>
        <v>2015</v>
      </c>
      <c r="E3" s="929">
        <f>G3-2</f>
        <v>2016</v>
      </c>
      <c r="F3" s="929">
        <f>G3-1</f>
        <v>2017</v>
      </c>
      <c r="G3" s="930">
        <f>测算年份</f>
        <v>2018</v>
      </c>
      <c r="H3" s="930">
        <f>假设!H3</f>
        <v>2019</v>
      </c>
      <c r="I3" s="930">
        <f>假设!I3</f>
        <v>2020</v>
      </c>
      <c r="J3" s="930">
        <f>假设!J3</f>
        <v>2021</v>
      </c>
      <c r="K3" s="930">
        <f>假设!K3</f>
        <v>2022</v>
      </c>
      <c r="L3" s="931" t="s">
        <v>302</v>
      </c>
      <c r="M3" s="932"/>
    </row>
    <row r="4" spans="1:14" s="167" customFormat="1" ht="18" customHeight="1" thickBot="1">
      <c r="A4" s="95" t="s">
        <v>1171</v>
      </c>
      <c r="B4" s="95"/>
      <c r="C4" s="96"/>
      <c r="D4" s="96"/>
      <c r="E4" s="96"/>
      <c r="F4" s="96"/>
      <c r="G4" s="97"/>
      <c r="H4" s="1947"/>
      <c r="I4" s="1947"/>
      <c r="J4" s="1947"/>
      <c r="K4" s="1947"/>
      <c r="L4" s="98"/>
      <c r="M4" s="589"/>
    </row>
    <row r="5" spans="1:14" s="167" customFormat="1" ht="18" customHeight="1">
      <c r="A5" s="99"/>
      <c r="B5" s="108" t="s">
        <v>1046</v>
      </c>
      <c r="C5" s="265">
        <f>VLOOKUP($B5,历史资产负债表!$B$3:$P$147,C$3-2010,FALSE)</f>
        <v>2410.1879499509</v>
      </c>
      <c r="D5" s="265">
        <f>VLOOKUP($B5,历史资产负债表!$B$3:$P$147,D$3-2010,FALSE)</f>
        <v>2607.7860514785002</v>
      </c>
      <c r="E5" s="265">
        <f>VLOOKUP($B5,历史资产负债表!$B$3:$P$147,E$3-2010,FALSE)</f>
        <v>2895.7713315095002</v>
      </c>
      <c r="F5" s="265">
        <f>VLOOKUP($B5,历史资产负债表!$B$3:$P$147,F$3-2010,FALSE)</f>
        <v>2985.2999820478999</v>
      </c>
      <c r="G5" s="333">
        <f ca="1">固定资产结构及折旧参数!N4</f>
        <v>3186.0830323173905</v>
      </c>
      <c r="H5" s="333">
        <f ca="1">固定资产结构及折旧参数!O4</f>
        <v>3335.1700718795864</v>
      </c>
      <c r="I5" s="333">
        <f ca="1">固定资产结构及折旧参数!P4</f>
        <v>3480.6857898340531</v>
      </c>
      <c r="J5" s="333">
        <f ca="1">固定资产结构及折旧参数!Q4</f>
        <v>3632.6600365589102</v>
      </c>
      <c r="K5" s="333">
        <f ca="1">固定资产结构及折旧参数!R4</f>
        <v>3793.5279952428505</v>
      </c>
      <c r="L5" s="118" t="s">
        <v>1066</v>
      </c>
      <c r="M5" s="967"/>
      <c r="N5" s="968"/>
    </row>
    <row r="6" spans="1:14" s="167" customFormat="1" ht="18" customHeight="1">
      <c r="A6" s="99"/>
      <c r="B6" s="108" t="s">
        <v>1047</v>
      </c>
      <c r="C6" s="109"/>
      <c r="D6" s="109"/>
      <c r="E6" s="109"/>
      <c r="F6" s="109"/>
      <c r="G6" s="333">
        <f>固定资产结构及折旧参数!N5</f>
        <v>150.09303532984927</v>
      </c>
      <c r="H6" s="333">
        <f>固定资产结构及折旧参数!O5</f>
        <v>159.09861744964024</v>
      </c>
      <c r="I6" s="333">
        <f>固定资产结构及折旧参数!P5</f>
        <v>168.64453449661866</v>
      </c>
      <c r="J6" s="333">
        <f>固定资产结构及折旧参数!Q5</f>
        <v>178.76320656641579</v>
      </c>
      <c r="K6" s="333">
        <f>固定资产结构及折旧参数!R5</f>
        <v>189.48899896040075</v>
      </c>
      <c r="L6" s="332" t="s">
        <v>1058</v>
      </c>
      <c r="M6" s="967"/>
      <c r="N6" s="968"/>
    </row>
    <row r="7" spans="1:14" s="167" customFormat="1" ht="18" customHeight="1">
      <c r="A7" s="99"/>
      <c r="B7" s="108" t="s">
        <v>1048</v>
      </c>
      <c r="C7" s="265">
        <f>VLOOKUP($B7,历史资产负债表!$B$3:$P$147,C$3-2010,FALSE)</f>
        <v>192.4820082693</v>
      </c>
      <c r="D7" s="265">
        <f>VLOOKUP($B7,历史资产负债表!$B$3:$P$147,D$3-2010,FALSE)</f>
        <v>291.88806595569997</v>
      </c>
      <c r="E7" s="265">
        <f>VLOOKUP($B7,历史资产负债表!$B$3:$P$147,E$3-2010,FALSE)</f>
        <v>219.95465513869999</v>
      </c>
      <c r="F7" s="265">
        <f>VLOOKUP($B7,历史资产负债表!$B$3:$P$147,F$3-2010,FALSE)</f>
        <v>232.11039270720002</v>
      </c>
      <c r="G7" s="333">
        <f ca="1">固定资产结构及折旧参数!N6</f>
        <v>166.49387785731943</v>
      </c>
      <c r="H7" s="333">
        <f ca="1">固定资产结构及折旧参数!O6</f>
        <v>160.57504058317608</v>
      </c>
      <c r="I7" s="333">
        <f ca="1">固定资产结构及折旧参数!P6</f>
        <v>167.02800676593012</v>
      </c>
      <c r="J7" s="333">
        <f ca="1">固定资产结构及折旧参数!Q6</f>
        <v>176.41353765831872</v>
      </c>
      <c r="K7" s="333">
        <f ca="1">固定资产结构及折旧参数!R6</f>
        <v>186.87127775198428</v>
      </c>
      <c r="L7" s="118" t="s">
        <v>1064</v>
      </c>
      <c r="M7" s="967"/>
      <c r="N7" s="968"/>
    </row>
    <row r="8" spans="1:14" s="167" customFormat="1" ht="18" customHeight="1">
      <c r="A8" s="99"/>
      <c r="B8" s="108" t="s">
        <v>1049</v>
      </c>
      <c r="C8" s="109"/>
      <c r="D8" s="109"/>
      <c r="E8" s="109"/>
      <c r="F8" s="109"/>
      <c r="G8" s="333">
        <f ca="1">固定资产结构及折旧参数!N7</f>
        <v>215.70955017972992</v>
      </c>
      <c r="H8" s="333">
        <f ca="1">固定资产结构及折旧参数!O7</f>
        <v>165.0174547237836</v>
      </c>
      <c r="I8" s="333">
        <f ca="1">固定资产结构及折旧参数!P7</f>
        <v>162.19156831386459</v>
      </c>
      <c r="J8" s="333">
        <f ca="1">固定资产结构及折旧参数!Q7</f>
        <v>169.37767567402733</v>
      </c>
      <c r="K8" s="333">
        <f ca="1">固定资产结构及折旧参数!R7</f>
        <v>179.03125886673507</v>
      </c>
      <c r="L8" s="118" t="s">
        <v>1063</v>
      </c>
      <c r="M8" s="967"/>
      <c r="N8" s="968"/>
    </row>
    <row r="9" spans="1:14" s="167" customFormat="1" ht="18" customHeight="1">
      <c r="A9" s="99"/>
      <c r="B9" s="113" t="s">
        <v>1050</v>
      </c>
      <c r="C9" s="109"/>
      <c r="D9" s="109"/>
      <c r="E9" s="109"/>
      <c r="F9" s="109"/>
      <c r="G9" s="333">
        <f>固定资产结构及折旧参数!N8</f>
        <v>185.68831416576</v>
      </c>
      <c r="H9" s="333">
        <f ca="1">固定资产结构及折旧参数!O8</f>
        <v>133.19510228585557</v>
      </c>
      <c r="I9" s="333">
        <f ca="1">固定资产结构及折旧参数!P8</f>
        <v>128.46003246654089</v>
      </c>
      <c r="J9" s="333">
        <f ca="1">固定资产结构及折旧参数!Q8</f>
        <v>133.62240541274414</v>
      </c>
      <c r="K9" s="333">
        <f ca="1">固定资产结构及折旧参数!R8</f>
        <v>141.13083012665496</v>
      </c>
      <c r="L9" s="118" t="s">
        <v>1072</v>
      </c>
      <c r="M9" s="967"/>
      <c r="N9" s="968"/>
    </row>
    <row r="10" spans="1:14" s="167" customFormat="1" ht="18" customHeight="1">
      <c r="A10" s="99"/>
      <c r="B10" s="113" t="s">
        <v>1051</v>
      </c>
      <c r="C10" s="109"/>
      <c r="D10" s="109"/>
      <c r="E10" s="109"/>
      <c r="F10" s="109"/>
      <c r="G10" s="333">
        <f>固定资产结构及折旧参数!N9</f>
        <v>30.018607065969842</v>
      </c>
      <c r="H10" s="333">
        <f>固定资产结构及折旧参数!O9</f>
        <v>31.819723489928045</v>
      </c>
      <c r="I10" s="333">
        <f>固定资产结构及折旧参数!P9</f>
        <v>33.728906899323725</v>
      </c>
      <c r="J10" s="333">
        <f>固定资产结构及折旧参数!Q9</f>
        <v>35.752641313283149</v>
      </c>
      <c r="K10" s="333">
        <f>固定资产结构及折旧参数!R9</f>
        <v>37.897799792080143</v>
      </c>
      <c r="L10" s="118" t="s">
        <v>1062</v>
      </c>
      <c r="M10" s="967"/>
      <c r="N10" s="968"/>
    </row>
    <row r="11" spans="1:14" s="167" customFormat="1" ht="18" customHeight="1">
      <c r="A11" s="99"/>
      <c r="B11" s="113" t="s">
        <v>1060</v>
      </c>
      <c r="C11" s="109"/>
      <c r="D11" s="109"/>
      <c r="E11" s="109"/>
      <c r="F11" s="109"/>
      <c r="G11" s="333">
        <f>固定资产结构及折旧参数!N10</f>
        <v>0</v>
      </c>
      <c r="H11" s="333">
        <f>固定资产结构及折旧参数!O10</f>
        <v>0</v>
      </c>
      <c r="I11" s="333">
        <f>固定资产结构及折旧参数!P10</f>
        <v>0</v>
      </c>
      <c r="J11" s="333">
        <f>固定资产结构及折旧参数!Q10</f>
        <v>0</v>
      </c>
      <c r="K11" s="333">
        <f>固定资产结构及折旧参数!R10</f>
        <v>0</v>
      </c>
      <c r="L11" s="332" t="s">
        <v>1061</v>
      </c>
      <c r="M11" s="967"/>
      <c r="N11" s="968"/>
    </row>
    <row r="12" spans="1:14" s="167" customFormat="1" ht="18" customHeight="1">
      <c r="A12" s="99"/>
      <c r="B12" s="113" t="s">
        <v>1052</v>
      </c>
      <c r="C12" s="109"/>
      <c r="D12" s="109"/>
      <c r="E12" s="109"/>
      <c r="F12" s="109"/>
      <c r="G12" s="333">
        <f ca="1">固定资产结构及折旧参数!N11</f>
        <v>2.628947999999999E-3</v>
      </c>
      <c r="H12" s="333">
        <f ca="1">固定资产结构及折旧参数!O11</f>
        <v>2.628947999999999E-3</v>
      </c>
      <c r="I12" s="333">
        <f ca="1">固定资产结构及折旧参数!P11</f>
        <v>2.628947999999999E-3</v>
      </c>
      <c r="J12" s="333">
        <f ca="1">固定资产结构及折旧参数!Q11</f>
        <v>2.628947999999999E-3</v>
      </c>
      <c r="K12" s="333">
        <f ca="1">固定资产结构及折旧参数!R11</f>
        <v>2.628947999999999E-3</v>
      </c>
      <c r="L12" s="332" t="s">
        <v>1059</v>
      </c>
      <c r="M12" s="967"/>
      <c r="N12" s="968"/>
    </row>
    <row r="13" spans="1:14" s="167" customFormat="1" ht="18" customHeight="1">
      <c r="A13" s="99"/>
      <c r="B13" s="108" t="s">
        <v>1053</v>
      </c>
      <c r="C13" s="109"/>
      <c r="D13" s="109"/>
      <c r="E13" s="109"/>
      <c r="F13" s="109"/>
      <c r="G13" s="333">
        <f>固定资产结构及折旧参数!N12</f>
        <v>14.926499910239501</v>
      </c>
      <c r="H13" s="333">
        <f ca="1">固定资产结构及折旧参数!O12</f>
        <v>15.930415161586954</v>
      </c>
      <c r="I13" s="333">
        <f ca="1">固定资产结构及折旧参数!P12</f>
        <v>16.675850359397934</v>
      </c>
      <c r="J13" s="333">
        <f ca="1">固定资产结构及折旧参数!Q12</f>
        <v>17.403428949170266</v>
      </c>
      <c r="K13" s="333">
        <f ca="1">固定资产结构及折旧参数!R12</f>
        <v>18.163300182794547</v>
      </c>
      <c r="L13" s="118" t="s">
        <v>1065</v>
      </c>
      <c r="M13" s="967"/>
      <c r="N13" s="968"/>
    </row>
    <row r="14" spans="1:14" s="167" customFormat="1" ht="18" customHeight="1">
      <c r="A14" s="99"/>
      <c r="B14" s="108" t="s">
        <v>1054</v>
      </c>
      <c r="C14" s="265">
        <f>VLOOKUP($B14,历史资产负债表!$B$3:$P$147,C$3-2010,FALSE)</f>
        <v>1212.7171050228999</v>
      </c>
      <c r="D14" s="265">
        <f>VLOOKUP($B14,历史资产负债表!$B$3:$P$147,D$3-2010,FALSE)</f>
        <v>1337.9460916466999</v>
      </c>
      <c r="E14" s="265">
        <f>VLOOKUP($B14,历史资产负债表!$B$3:$P$147,E$3-2010,FALSE)</f>
        <v>1464.9090454992001</v>
      </c>
      <c r="F14" s="265">
        <f>VLOOKUP($B14,历史资产负债表!$B$3:$P$147,F$3-2010,FALSE)</f>
        <v>1607.5122100370002</v>
      </c>
      <c r="G14" s="333">
        <f ca="1">固定资产结构及折旧参数!N13</f>
        <v>1748.1864574411106</v>
      </c>
      <c r="H14" s="333">
        <f ca="1">固定资产结构及折旧参数!O13</f>
        <v>1893.0326647401339</v>
      </c>
      <c r="I14" s="333">
        <f ca="1">固定资产结构及折旧参数!P13</f>
        <v>2040.0845872860289</v>
      </c>
      <c r="J14" s="333">
        <f ca="1">固定资产结构及折旧参数!Q13</f>
        <v>2188.5408546394574</v>
      </c>
      <c r="K14" s="333">
        <f ca="1">固定资产结构及折旧参数!R13</f>
        <v>2337.7309747053719</v>
      </c>
      <c r="L14" s="118" t="s">
        <v>1069</v>
      </c>
      <c r="M14" s="967"/>
      <c r="N14" s="968"/>
    </row>
    <row r="15" spans="1:14" s="167" customFormat="1" ht="18" customHeight="1">
      <c r="A15" s="99"/>
      <c r="B15" s="108" t="s">
        <v>1073</v>
      </c>
      <c r="C15" s="105">
        <f>假设!C123</f>
        <v>0</v>
      </c>
      <c r="D15" s="105">
        <f>假设!D123</f>
        <v>0</v>
      </c>
      <c r="E15" s="105">
        <f>假设!E123</f>
        <v>0</v>
      </c>
      <c r="F15" s="105">
        <f>假设!F123</f>
        <v>502.79307698819997</v>
      </c>
      <c r="G15" s="333">
        <f ca="1">固定资产结构及折旧参数!N14</f>
        <v>593.12439133091732</v>
      </c>
      <c r="H15" s="333">
        <f ca="1">固定资产结构及折旧参数!O14</f>
        <v>685.20538528625298</v>
      </c>
      <c r="I15" s="333">
        <f ca="1">固定资产结构及折旧参数!P14</f>
        <v>788.91238702965711</v>
      </c>
      <c r="J15" s="333">
        <f ca="1">固定资产结构及折旧参数!Q14</f>
        <v>908.21376110992549</v>
      </c>
      <c r="K15" s="333">
        <f ca="1">固定资产结构及折旧参数!R14</f>
        <v>1046.0695278803421</v>
      </c>
      <c r="L15" s="118" t="s">
        <v>1067</v>
      </c>
      <c r="M15" s="967"/>
      <c r="N15" s="968"/>
    </row>
    <row r="16" spans="1:14" s="167" customFormat="1" ht="18" customHeight="1">
      <c r="A16" s="99"/>
      <c r="B16" s="108" t="s">
        <v>1055</v>
      </c>
      <c r="C16" s="109"/>
      <c r="D16" s="109"/>
      <c r="E16" s="109"/>
      <c r="F16" s="109"/>
      <c r="G16" s="333">
        <f ca="1">固定资产结构及折旧参数!N15</f>
        <v>154.85442231883817</v>
      </c>
      <c r="H16" s="333">
        <f ca="1">固定资产结构及折旧参数!O15</f>
        <v>159.98010170253076</v>
      </c>
      <c r="I16" s="333">
        <f ca="1">固定资产结构及折旧参数!P15</f>
        <v>162.89398038732321</v>
      </c>
      <c r="J16" s="333">
        <f ca="1">固定资产结构及折旧参数!Q15</f>
        <v>164.98952485514025</v>
      </c>
      <c r="K16" s="333">
        <f ca="1">固定资产结构及折旧参数!R15</f>
        <v>166.44525523956906</v>
      </c>
      <c r="L16" s="118" t="s">
        <v>1068</v>
      </c>
      <c r="M16" s="967"/>
      <c r="N16" s="968"/>
    </row>
    <row r="17" spans="1:14" s="167" customFormat="1" ht="18" customHeight="1">
      <c r="A17" s="99"/>
      <c r="B17" s="108" t="s">
        <v>1056</v>
      </c>
      <c r="C17" s="109"/>
      <c r="D17" s="109"/>
      <c r="E17" s="109"/>
      <c r="F17" s="109"/>
      <c r="G17" s="2126">
        <f>固定资产结构及折旧参数!N16</f>
        <v>0.13129785250000001</v>
      </c>
      <c r="H17" s="2126">
        <f>固定资产结构及折旧参数!O16</f>
        <v>0.13129785250000001</v>
      </c>
      <c r="I17" s="2126">
        <f>固定资产结构及折旧参数!P16</f>
        <v>0.13129785250000001</v>
      </c>
      <c r="J17" s="2126">
        <f>固定资产结构及折旧参数!Q16</f>
        <v>0.13129785250000001</v>
      </c>
      <c r="K17" s="2126">
        <f>固定资产结构及折旧参数!R16</f>
        <v>0.13129785250000001</v>
      </c>
      <c r="L17" s="332" t="s">
        <v>1070</v>
      </c>
      <c r="M17" s="967"/>
      <c r="N17" s="968"/>
    </row>
    <row r="18" spans="1:14" s="167" customFormat="1" ht="18" customHeight="1">
      <c r="A18" s="99"/>
      <c r="B18" s="108" t="s">
        <v>1057</v>
      </c>
      <c r="C18" s="109"/>
      <c r="D18" s="109"/>
      <c r="E18" s="109"/>
      <c r="F18" s="109"/>
      <c r="G18" s="333">
        <f ca="1">固定资产结构及折旧参数!N17</f>
        <v>1437.7652770237794</v>
      </c>
      <c r="H18" s="333">
        <f ca="1">固定资产结构及折旧参数!O17</f>
        <v>1442.0061092869532</v>
      </c>
      <c r="I18" s="333">
        <f ca="1">固定资产结构及折旧参数!P17</f>
        <v>1440.4699046955243</v>
      </c>
      <c r="J18" s="333">
        <f ca="1">固定资产结构及折旧参数!Q17</f>
        <v>1443.987884066953</v>
      </c>
      <c r="K18" s="333">
        <f ca="1">固定资产结构及折旧参数!R17</f>
        <v>1455.6657226849788</v>
      </c>
      <c r="L18" s="118" t="s">
        <v>1071</v>
      </c>
      <c r="M18" s="967"/>
      <c r="N18" s="968"/>
    </row>
    <row r="19" spans="1:14" s="167" customFormat="1" ht="18" customHeight="1">
      <c r="A19" s="334"/>
      <c r="B19" s="108"/>
      <c r="C19" s="237"/>
      <c r="D19" s="237"/>
      <c r="E19" s="237"/>
      <c r="F19" s="237"/>
      <c r="G19" s="335"/>
      <c r="H19" s="335"/>
      <c r="I19" s="335"/>
      <c r="J19" s="335"/>
      <c r="K19" s="335"/>
      <c r="L19" s="106"/>
      <c r="M19" s="103"/>
    </row>
    <row r="20" spans="1:14" s="976" customFormat="1" ht="18" customHeight="1">
      <c r="A20" s="965"/>
      <c r="B20" s="965"/>
      <c r="C20" s="977"/>
      <c r="D20" s="977"/>
      <c r="E20" s="977"/>
      <c r="F20" s="977"/>
      <c r="G20" s="965"/>
      <c r="H20" s="965"/>
      <c r="I20" s="965"/>
      <c r="J20" s="965"/>
      <c r="K20" s="965"/>
      <c r="L20" s="977"/>
    </row>
    <row r="21" spans="1:14" ht="18" customHeight="1" thickBot="1">
      <c r="A21" s="95" t="s">
        <v>704</v>
      </c>
      <c r="B21" s="95"/>
      <c r="C21" s="96"/>
      <c r="D21" s="96"/>
      <c r="E21" s="96"/>
      <c r="F21" s="96"/>
      <c r="G21" s="97"/>
      <c r="H21" s="97"/>
      <c r="I21" s="97"/>
      <c r="J21" s="97"/>
      <c r="K21" s="97"/>
      <c r="L21" s="96"/>
      <c r="N21" s="117"/>
    </row>
    <row r="22" spans="1:14" ht="18" customHeight="1">
      <c r="A22" s="107"/>
      <c r="B22" s="108" t="s">
        <v>304</v>
      </c>
      <c r="C22" s="265">
        <f>VLOOKUP($B22,历史资产负债表!$B$3:$P$147,C$3-2010,FALSE)</f>
        <v>2.6763003272999999</v>
      </c>
      <c r="D22" s="265">
        <f>VLOOKUP($B22,历史资产负债表!$B$3:$P$147,D$3-2010,FALSE)</f>
        <v>2.6546278390999998</v>
      </c>
      <c r="E22" s="265">
        <f>VLOOKUP($B22,历史资产负债表!$B$3:$P$147,E$3-2010,FALSE)</f>
        <v>2.9005864921</v>
      </c>
      <c r="F22" s="265">
        <f>VLOOKUP($B22,历史资产负债表!$B$3:$P$147,F$3-2010,FALSE)</f>
        <v>2.8764600336999999</v>
      </c>
      <c r="G22" s="110">
        <f>F22+G23-G24</f>
        <v>3.3319309282100007</v>
      </c>
      <c r="H22" s="2004">
        <f>G22+H23-H24</f>
        <v>3.734322044300002</v>
      </c>
      <c r="I22" s="110">
        <f>H22+I23-I24</f>
        <v>4.083633381970003</v>
      </c>
      <c r="J22" s="110">
        <f t="shared" ref="J22" si="0">I22+J23-J24</f>
        <v>4.3798649412200037</v>
      </c>
      <c r="K22" s="110">
        <f>J22+K23-K24</f>
        <v>4.6230167220500045</v>
      </c>
      <c r="L22" s="106"/>
      <c r="N22" s="117"/>
    </row>
    <row r="23" spans="1:14" ht="18" customHeight="1">
      <c r="A23" s="99"/>
      <c r="B23" s="102" t="s">
        <v>37</v>
      </c>
      <c r="C23" s="266">
        <f>假设!C129</f>
        <v>0.17171462600000023</v>
      </c>
      <c r="D23" s="266">
        <f>假设!D129</f>
        <v>0.59330411649999981</v>
      </c>
      <c r="E23" s="266">
        <f>假设!E129</f>
        <v>0.92434756669999962</v>
      </c>
      <c r="F23" s="266">
        <f>假设!F129</f>
        <v>0.79619667630000113</v>
      </c>
      <c r="G23" s="112">
        <f>假设!G129</f>
        <v>0.79619667630000113</v>
      </c>
      <c r="H23" s="112">
        <f>假设!H129</f>
        <v>0.79619667630000113</v>
      </c>
      <c r="I23" s="112">
        <f>假设!I129</f>
        <v>0.79619667630000113</v>
      </c>
      <c r="J23" s="112">
        <f>假设!J129</f>
        <v>0.79619667630000113</v>
      </c>
      <c r="K23" s="112">
        <f>假设!K129</f>
        <v>0.79619667630000113</v>
      </c>
      <c r="L23" s="103"/>
      <c r="N23" s="117"/>
    </row>
    <row r="24" spans="1:14" ht="18" customHeight="1">
      <c r="A24" s="99"/>
      <c r="B24" s="113" t="s">
        <v>303</v>
      </c>
      <c r="C24" s="2154"/>
      <c r="D24" s="2154"/>
      <c r="E24" s="2154"/>
      <c r="F24" s="2154"/>
      <c r="G24" s="112">
        <f t="shared" ref="G24:J24" si="1">SUM(G25:G30)</f>
        <v>0.34072578179000007</v>
      </c>
      <c r="H24" s="112">
        <f t="shared" si="1"/>
        <v>0.39380556021000013</v>
      </c>
      <c r="I24" s="112">
        <f t="shared" si="1"/>
        <v>0.44688533863000018</v>
      </c>
      <c r="J24" s="112">
        <f t="shared" si="1"/>
        <v>0.49996511705000024</v>
      </c>
      <c r="K24" s="112">
        <f>SUM(K25:K30)</f>
        <v>0.55304489547000035</v>
      </c>
      <c r="L24" s="103"/>
      <c r="N24" s="117"/>
    </row>
    <row r="25" spans="1:14" ht="18" customHeight="1">
      <c r="A25" s="99"/>
      <c r="B25" s="114" t="str">
        <f>CONCATENATE(测算年份,"年前无形资产摊销")</f>
        <v>2018年前无形资产摊销</v>
      </c>
      <c r="C25" s="111"/>
      <c r="D25" s="111"/>
      <c r="E25" s="111"/>
      <c r="F25" s="111"/>
      <c r="G25" s="112">
        <f>F22/假设!$C$131</f>
        <v>0.28764600337000001</v>
      </c>
      <c r="H25" s="112">
        <f>G25</f>
        <v>0.28764600337000001</v>
      </c>
      <c r="I25" s="112">
        <f t="shared" ref="I25:K25" si="2">H25</f>
        <v>0.28764600337000001</v>
      </c>
      <c r="J25" s="112">
        <f t="shared" si="2"/>
        <v>0.28764600337000001</v>
      </c>
      <c r="K25" s="112">
        <f t="shared" si="2"/>
        <v>0.28764600337000001</v>
      </c>
      <c r="L25" s="103"/>
      <c r="N25" s="117"/>
    </row>
    <row r="26" spans="1:14" ht="18" customHeight="1">
      <c r="A26" s="99"/>
      <c r="B26" s="114" t="str">
        <f>CONCATENATE(测算年份,"年新增无形资产摊销")</f>
        <v>2018年新增无形资产摊销</v>
      </c>
      <c r="C26" s="111"/>
      <c r="D26" s="111"/>
      <c r="E26" s="111"/>
      <c r="F26" s="111"/>
      <c r="G26" s="112">
        <f>G23/假设!$C$132</f>
        <v>5.3079778420000077E-2</v>
      </c>
      <c r="H26" s="112">
        <f>G26</f>
        <v>5.3079778420000077E-2</v>
      </c>
      <c r="I26" s="112">
        <f t="shared" ref="I26:K26" si="3">H26</f>
        <v>5.3079778420000077E-2</v>
      </c>
      <c r="J26" s="112">
        <f t="shared" si="3"/>
        <v>5.3079778420000077E-2</v>
      </c>
      <c r="K26" s="112">
        <f t="shared" si="3"/>
        <v>5.3079778420000077E-2</v>
      </c>
      <c r="L26" s="103"/>
      <c r="N26" s="117"/>
    </row>
    <row r="27" spans="1:14" ht="18" customHeight="1">
      <c r="A27" s="99"/>
      <c r="B27" s="114" t="str">
        <f>CONCATENATE(测算年份+1,"年新增无形资产摊销")</f>
        <v>2019年新增无形资产摊销</v>
      </c>
      <c r="C27" s="111"/>
      <c r="D27" s="111"/>
      <c r="E27" s="111"/>
      <c r="F27" s="111"/>
      <c r="G27" s="112"/>
      <c r="H27" s="112">
        <f>H23/假设!$C$132</f>
        <v>5.3079778420000077E-2</v>
      </c>
      <c r="I27" s="112">
        <f>H27</f>
        <v>5.3079778420000077E-2</v>
      </c>
      <c r="J27" s="112">
        <f t="shared" ref="J27:K27" si="4">I27</f>
        <v>5.3079778420000077E-2</v>
      </c>
      <c r="K27" s="112">
        <f t="shared" si="4"/>
        <v>5.3079778420000077E-2</v>
      </c>
      <c r="L27" s="103"/>
      <c r="N27" s="117"/>
    </row>
    <row r="28" spans="1:14" ht="18" customHeight="1">
      <c r="A28" s="99"/>
      <c r="B28" s="114" t="str">
        <f>CONCATENATE(测算年份+2,"年新增无形资产摊销")</f>
        <v>2020年新增无形资产摊销</v>
      </c>
      <c r="C28" s="111"/>
      <c r="D28" s="111"/>
      <c r="E28" s="111"/>
      <c r="F28" s="111"/>
      <c r="G28" s="112"/>
      <c r="H28" s="112"/>
      <c r="I28" s="112">
        <f>I23/假设!$C$132</f>
        <v>5.3079778420000077E-2</v>
      </c>
      <c r="J28" s="112">
        <f>I28</f>
        <v>5.3079778420000077E-2</v>
      </c>
      <c r="K28" s="112">
        <f>J28</f>
        <v>5.3079778420000077E-2</v>
      </c>
      <c r="L28" s="103"/>
      <c r="N28" s="117"/>
    </row>
    <row r="29" spans="1:14" s="91" customFormat="1" ht="18" customHeight="1">
      <c r="A29" s="99"/>
      <c r="B29" s="114" t="str">
        <f>CONCATENATE(测算年份+3,"年新增无形资产摊销")</f>
        <v>2021年新增无形资产摊销</v>
      </c>
      <c r="C29" s="111"/>
      <c r="D29" s="111"/>
      <c r="E29" s="111"/>
      <c r="F29" s="111"/>
      <c r="G29" s="112"/>
      <c r="H29" s="112"/>
      <c r="I29" s="112"/>
      <c r="J29" s="112">
        <f>J23/假设!$C$132</f>
        <v>5.3079778420000077E-2</v>
      </c>
      <c r="K29" s="112">
        <f>J29</f>
        <v>5.3079778420000077E-2</v>
      </c>
      <c r="L29" s="103"/>
    </row>
    <row r="30" spans="1:14" s="91" customFormat="1" ht="18" customHeight="1">
      <c r="A30" s="99"/>
      <c r="B30" s="114" t="str">
        <f>CONCATENATE(测算年份+4,"年新增无形资产摊销")</f>
        <v>2022年新增无形资产摊销</v>
      </c>
      <c r="C30" s="111"/>
      <c r="D30" s="111"/>
      <c r="E30" s="111"/>
      <c r="F30" s="111"/>
      <c r="G30" s="112"/>
      <c r="H30" s="112"/>
      <c r="I30" s="112"/>
      <c r="J30" s="112"/>
      <c r="K30" s="112">
        <f>K23/假设!$C$132</f>
        <v>5.3079778420000077E-2</v>
      </c>
      <c r="L30" s="103"/>
    </row>
    <row r="31" spans="1:14" s="91" customFormat="1" ht="18" customHeight="1">
      <c r="A31" s="99"/>
      <c r="B31" s="99"/>
      <c r="C31" s="103"/>
      <c r="D31" s="103"/>
      <c r="E31" s="103"/>
      <c r="F31" s="103"/>
      <c r="G31" s="104"/>
      <c r="H31" s="104"/>
      <c r="I31" s="104"/>
      <c r="J31" s="104"/>
      <c r="K31" s="104"/>
      <c r="L31" s="103"/>
    </row>
    <row r="32" spans="1:14" s="91" customFormat="1" ht="18" customHeight="1" thickBot="1">
      <c r="A32" s="95" t="s">
        <v>305</v>
      </c>
      <c r="B32" s="95"/>
      <c r="C32" s="96"/>
      <c r="D32" s="96"/>
      <c r="E32" s="96"/>
      <c r="F32" s="96"/>
      <c r="G32" s="97"/>
      <c r="H32" s="97"/>
      <c r="I32" s="97"/>
      <c r="J32" s="97"/>
      <c r="K32" s="97"/>
      <c r="L32" s="263"/>
    </row>
    <row r="33" spans="1:13" s="91" customFormat="1" ht="18" customHeight="1">
      <c r="A33" s="99"/>
      <c r="B33" s="99" t="s">
        <v>333</v>
      </c>
      <c r="C33" s="1867">
        <v>124.4617439367</v>
      </c>
      <c r="D33" s="1867">
        <v>125.15229154740001</v>
      </c>
      <c r="E33" s="1867">
        <v>126.68733873859999</v>
      </c>
      <c r="F33" s="1867">
        <v>142.6093738479</v>
      </c>
      <c r="G33" s="101">
        <f ca="1">G16</f>
        <v>154.85442231883817</v>
      </c>
      <c r="H33" s="101">
        <f t="shared" ref="H33:K33" ca="1" si="5">H16</f>
        <v>159.98010170253076</v>
      </c>
      <c r="I33" s="101">
        <f t="shared" ca="1" si="5"/>
        <v>162.89398038732321</v>
      </c>
      <c r="J33" s="101">
        <f t="shared" ca="1" si="5"/>
        <v>164.98952485514025</v>
      </c>
      <c r="K33" s="101">
        <f t="shared" ca="1" si="5"/>
        <v>166.44525523956906</v>
      </c>
      <c r="L33" s="103"/>
    </row>
    <row r="34" spans="1:13" s="91" customFormat="1" ht="18" customHeight="1">
      <c r="A34" s="99"/>
      <c r="B34" s="119"/>
      <c r="C34" s="100"/>
      <c r="D34" s="100"/>
      <c r="E34" s="100"/>
      <c r="F34" s="115"/>
      <c r="G34" s="101"/>
      <c r="H34" s="101"/>
      <c r="I34" s="101"/>
      <c r="J34" s="101"/>
      <c r="K34" s="101"/>
      <c r="L34" s="103"/>
    </row>
    <row r="35" spans="1:13" s="91" customFormat="1" ht="18" customHeight="1">
      <c r="A35" s="99"/>
      <c r="B35" s="119" t="s">
        <v>1219</v>
      </c>
      <c r="C35" s="100"/>
      <c r="D35" s="100"/>
      <c r="E35" s="100"/>
      <c r="F35" s="115"/>
      <c r="G35" s="101">
        <f>G24</f>
        <v>0.34072578179000007</v>
      </c>
      <c r="H35" s="101">
        <f t="shared" ref="H35:K35" si="6">H24</f>
        <v>0.39380556021000013</v>
      </c>
      <c r="I35" s="101">
        <f t="shared" si="6"/>
        <v>0.44688533863000018</v>
      </c>
      <c r="J35" s="101">
        <f t="shared" si="6"/>
        <v>0.49996511705000024</v>
      </c>
      <c r="K35" s="101">
        <f t="shared" si="6"/>
        <v>0.55304489547000035</v>
      </c>
      <c r="L35" s="103"/>
    </row>
    <row r="36" spans="1:13" s="91" customFormat="1" ht="18" customHeight="1">
      <c r="A36" s="99"/>
      <c r="B36" s="119"/>
      <c r="C36" s="100"/>
      <c r="D36" s="100"/>
      <c r="E36" s="100"/>
      <c r="F36" s="115"/>
      <c r="G36" s="101"/>
      <c r="H36" s="101"/>
      <c r="I36" s="101"/>
      <c r="J36" s="101"/>
      <c r="K36" s="101"/>
      <c r="L36" s="103"/>
    </row>
    <row r="37" spans="1:13" s="91" customFormat="1" ht="18" customHeight="1">
      <c r="A37" s="99"/>
      <c r="B37" s="99"/>
      <c r="C37" s="103"/>
      <c r="D37" s="103"/>
      <c r="E37" s="103"/>
      <c r="F37" s="116"/>
      <c r="G37" s="104"/>
      <c r="H37" s="104"/>
      <c r="I37" s="104"/>
      <c r="J37" s="104"/>
      <c r="K37" s="104"/>
      <c r="L37" s="103"/>
    </row>
    <row r="38" spans="1:13">
      <c r="G38" s="152"/>
      <c r="H38" s="152"/>
      <c r="I38" s="152"/>
      <c r="J38" s="152"/>
      <c r="K38" s="152"/>
      <c r="L38" s="152"/>
      <c r="M38" s="151"/>
    </row>
    <row r="39" spans="1:13">
      <c r="M39" s="103"/>
    </row>
    <row r="40" spans="1:13">
      <c r="M40" s="103"/>
    </row>
    <row r="41" spans="1:13">
      <c r="M41" s="103"/>
    </row>
    <row r="42" spans="1:13">
      <c r="M42" s="103"/>
    </row>
    <row r="43" spans="1:13">
      <c r="M43" s="103"/>
    </row>
    <row r="44" spans="1:13">
      <c r="M44" s="103"/>
    </row>
    <row r="45" spans="1:13">
      <c r="M45" s="103"/>
    </row>
  </sheetData>
  <mergeCells count="1">
    <mergeCell ref="C2:F2"/>
  </mergeCells>
  <phoneticPr fontId="20" type="noConversion"/>
  <printOptions horizontalCentered="1"/>
  <pageMargins left="0.70866141732283472" right="0.70866141732283472" top="0.74803149606299213" bottom="0.74803149606299213" header="0.31496062992125984" footer="0.31496062992125984"/>
  <pageSetup paperSize="9" scale="85" fitToHeight="3" orientation="landscape" r:id="rId1"/>
  <rowBreaks count="1" manualBreakCount="1">
    <brk id="20" max="16383" man="1"/>
  </rowBreak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91">
    <tabColor theme="7" tint="0.39997558519241921"/>
    <pageSetUpPr fitToPage="1"/>
  </sheetPr>
  <dimension ref="A1:M62"/>
  <sheetViews>
    <sheetView showGridLines="0" zoomScaleNormal="100" workbookViewId="0">
      <pane xSplit="2" ySplit="3" topLeftCell="C28" activePane="bottomRight" state="frozen"/>
      <selection activeCell="G35" sqref="G35"/>
      <selection pane="topRight" activeCell="G35" sqref="G35"/>
      <selection pane="bottomLeft" activeCell="G35" sqref="G35"/>
      <selection pane="bottomRight" activeCell="G30" sqref="G30"/>
    </sheetView>
  </sheetViews>
  <sheetFormatPr defaultColWidth="8.77734375" defaultRowHeight="14.4" outlineLevelRow="1" outlineLevelCol="1"/>
  <cols>
    <col min="1" max="1" width="8.33203125" style="7" customWidth="1"/>
    <col min="2" max="2" width="30.6640625" style="7" bestFit="1" customWidth="1"/>
    <col min="3" max="12" width="11.44140625" style="7" customWidth="1"/>
    <col min="13" max="13" width="40.44140625" style="7" customWidth="1" outlineLevel="1"/>
    <col min="14" max="16384" width="8.77734375" style="7"/>
  </cols>
  <sheetData>
    <row r="1" spans="1:13" ht="15.6">
      <c r="A1" s="13"/>
      <c r="B1" s="14" t="s">
        <v>687</v>
      </c>
      <c r="C1" s="13"/>
      <c r="D1" s="13"/>
      <c r="E1" s="13"/>
      <c r="F1" s="13"/>
      <c r="G1" s="13"/>
      <c r="H1" s="13"/>
      <c r="I1" s="13"/>
      <c r="J1" s="13"/>
      <c r="K1" s="13"/>
      <c r="L1" s="13"/>
      <c r="M1" s="67"/>
    </row>
    <row r="2" spans="1:13" ht="15.6">
      <c r="A2" s="10"/>
      <c r="B2" s="11"/>
      <c r="C2" s="2495" t="s">
        <v>30</v>
      </c>
      <c r="D2" s="2495"/>
      <c r="E2" s="2495"/>
      <c r="F2" s="2495"/>
      <c r="G2" s="920" t="s">
        <v>31</v>
      </c>
      <c r="H2" s="1863"/>
      <c r="I2" s="1863"/>
      <c r="J2" s="1863"/>
      <c r="K2" s="1863"/>
      <c r="L2" s="1863"/>
      <c r="M2" s="68"/>
    </row>
    <row r="3" spans="1:13" s="926" customFormat="1">
      <c r="A3" s="921"/>
      <c r="B3" s="922" t="s">
        <v>5</v>
      </c>
      <c r="C3" s="923">
        <f>G3-4</f>
        <v>2014</v>
      </c>
      <c r="D3" s="923">
        <f>G3-3</f>
        <v>2015</v>
      </c>
      <c r="E3" s="923">
        <f>G3-2</f>
        <v>2016</v>
      </c>
      <c r="F3" s="923">
        <f>G3-1</f>
        <v>2017</v>
      </c>
      <c r="G3" s="924">
        <f>测算年份</f>
        <v>2018</v>
      </c>
      <c r="H3" s="924">
        <f>假设!H3</f>
        <v>2019</v>
      </c>
      <c r="I3" s="924">
        <f>假设!I3</f>
        <v>2020</v>
      </c>
      <c r="J3" s="924">
        <f>假设!J3</f>
        <v>2021</v>
      </c>
      <c r="K3" s="924">
        <f>假设!K3</f>
        <v>2022</v>
      </c>
      <c r="L3" s="924" t="str">
        <f>假设!L3</f>
        <v>[M]手动输入；[A]自动运算</v>
      </c>
      <c r="M3" s="925" t="s">
        <v>134</v>
      </c>
    </row>
    <row r="4" spans="1:13">
      <c r="A4" s="26">
        <v>0</v>
      </c>
      <c r="B4" s="184" t="s">
        <v>148</v>
      </c>
      <c r="C4" s="73"/>
      <c r="D4" s="73"/>
      <c r="E4" s="73"/>
      <c r="F4" s="73"/>
      <c r="G4" s="138"/>
      <c r="H4" s="1935"/>
      <c r="I4" s="1935"/>
      <c r="J4" s="1935"/>
      <c r="K4" s="1935"/>
      <c r="L4" s="1935"/>
      <c r="M4" s="242"/>
    </row>
    <row r="5" spans="1:13">
      <c r="A5" s="26">
        <v>11.454000000000001</v>
      </c>
      <c r="B5" s="436" t="s">
        <v>157</v>
      </c>
      <c r="C5" s="437"/>
      <c r="D5" s="437">
        <f t="shared" ref="D5:F5" si="0">C8</f>
        <v>0</v>
      </c>
      <c r="E5" s="437">
        <f t="shared" si="0"/>
        <v>0</v>
      </c>
      <c r="F5" s="437">
        <f t="shared" si="0"/>
        <v>0</v>
      </c>
      <c r="G5" s="438">
        <f>F8</f>
        <v>0</v>
      </c>
      <c r="H5" s="438">
        <f t="shared" ref="H5:K5" ca="1" si="1">G8</f>
        <v>0</v>
      </c>
      <c r="I5" s="438">
        <f t="shared" ca="1" si="1"/>
        <v>0</v>
      </c>
      <c r="J5" s="438">
        <f t="shared" ca="1" si="1"/>
        <v>0</v>
      </c>
      <c r="K5" s="438">
        <f t="shared" ca="1" si="1"/>
        <v>0</v>
      </c>
      <c r="L5" s="438"/>
      <c r="M5" s="405"/>
    </row>
    <row r="6" spans="1:13">
      <c r="A6" s="26">
        <v>0.4471</v>
      </c>
      <c r="B6" s="133" t="s">
        <v>671</v>
      </c>
      <c r="C6" s="230"/>
      <c r="D6" s="230"/>
      <c r="E6" s="230"/>
      <c r="F6" s="230"/>
      <c r="G6" s="231">
        <f ca="1">-G30*G54</f>
        <v>0</v>
      </c>
      <c r="H6" s="231">
        <f t="shared" ref="H6:K6" ca="1" si="2">-H30*H54</f>
        <v>0</v>
      </c>
      <c r="I6" s="231">
        <f t="shared" ca="1" si="2"/>
        <v>0</v>
      </c>
      <c r="J6" s="231">
        <f t="shared" ca="1" si="2"/>
        <v>0</v>
      </c>
      <c r="K6" s="231">
        <f t="shared" ca="1" si="2"/>
        <v>0</v>
      </c>
      <c r="L6" s="231"/>
      <c r="M6" s="406" t="s">
        <v>672</v>
      </c>
    </row>
    <row r="7" spans="1:13">
      <c r="A7" s="26">
        <v>-1.2129032099999999E-2</v>
      </c>
      <c r="B7" s="133" t="s">
        <v>360</v>
      </c>
      <c r="C7" s="230"/>
      <c r="D7" s="230"/>
      <c r="E7" s="230"/>
      <c r="F7" s="230"/>
      <c r="G7" s="231">
        <f>-假设!G153</f>
        <v>0</v>
      </c>
      <c r="H7" s="231">
        <f>-假设!H153</f>
        <v>0</v>
      </c>
      <c r="I7" s="231">
        <f>-假设!I153</f>
        <v>0</v>
      </c>
      <c r="J7" s="231">
        <f>-假设!J153</f>
        <v>0</v>
      </c>
      <c r="K7" s="231">
        <f>-假设!K153</f>
        <v>0</v>
      </c>
      <c r="L7" s="231"/>
      <c r="M7" s="406" t="s">
        <v>679</v>
      </c>
    </row>
    <row r="8" spans="1:13">
      <c r="A8" s="26"/>
      <c r="B8" s="133" t="s">
        <v>149</v>
      </c>
      <c r="C8" s="230">
        <f>VLOOKUP(LEFT($B8,4),历史资产负债表!$B$3:$Q$146,C$3-2010,FALSE)</f>
        <v>0</v>
      </c>
      <c r="D8" s="230">
        <f>VLOOKUP(LEFT($B8,4),历史资产负债表!$B$3:$Q$146,D$3-2010,FALSE)</f>
        <v>0</v>
      </c>
      <c r="E8" s="230">
        <f>VLOOKUP(LEFT($B8,4),历史资产负债表!$B$3:$Q$146,E$3-2010,FALSE)</f>
        <v>0</v>
      </c>
      <c r="F8" s="230">
        <f>VLOOKUP(LEFT($B8,4),历史资产负债表!$B$3:$Q$146,F$3-2010,FALSE)</f>
        <v>0</v>
      </c>
      <c r="G8" s="231">
        <f ca="1">G5+G6+G7</f>
        <v>0</v>
      </c>
      <c r="H8" s="231">
        <f t="shared" ref="H8:K8" ca="1" si="3">H5+H6+H7</f>
        <v>0</v>
      </c>
      <c r="I8" s="231">
        <f t="shared" ca="1" si="3"/>
        <v>0</v>
      </c>
      <c r="J8" s="231">
        <f t="shared" ca="1" si="3"/>
        <v>0</v>
      </c>
      <c r="K8" s="231">
        <f t="shared" ca="1" si="3"/>
        <v>0</v>
      </c>
      <c r="L8" s="231"/>
      <c r="M8" s="406"/>
    </row>
    <row r="9" spans="1:13">
      <c r="A9" s="2114">
        <f>A7-F24</f>
        <v>0</v>
      </c>
      <c r="B9" s="133" t="s">
        <v>138</v>
      </c>
      <c r="C9" s="230"/>
      <c r="D9" s="230"/>
      <c r="E9" s="230"/>
      <c r="F9" s="230"/>
      <c r="G9" s="231">
        <f ca="1">AVERAGE(F8:G8)*G44*(1-G45)</f>
        <v>0</v>
      </c>
      <c r="H9" s="231">
        <f t="shared" ref="H9:K9" ca="1" si="4">AVERAGE(G8:H8)*H44*(1-H45)</f>
        <v>0</v>
      </c>
      <c r="I9" s="231">
        <f t="shared" ca="1" si="4"/>
        <v>0</v>
      </c>
      <c r="J9" s="231">
        <f t="shared" ca="1" si="4"/>
        <v>0</v>
      </c>
      <c r="K9" s="231">
        <f t="shared" ca="1" si="4"/>
        <v>0</v>
      </c>
      <c r="L9" s="231"/>
      <c r="M9" s="406" t="s">
        <v>673</v>
      </c>
    </row>
    <row r="10" spans="1:13">
      <c r="A10" s="26"/>
      <c r="B10" s="133"/>
      <c r="C10" s="230"/>
      <c r="D10" s="230"/>
      <c r="E10" s="230"/>
      <c r="F10" s="230"/>
      <c r="G10" s="231"/>
      <c r="H10" s="231"/>
      <c r="I10" s="231"/>
      <c r="J10" s="231"/>
      <c r="K10" s="231"/>
      <c r="L10" s="231"/>
      <c r="M10" s="159"/>
    </row>
    <row r="11" spans="1:13">
      <c r="A11" s="26"/>
      <c r="B11" s="236" t="s">
        <v>18</v>
      </c>
      <c r="C11" s="232"/>
      <c r="D11" s="232"/>
      <c r="E11" s="232"/>
      <c r="F11" s="232"/>
      <c r="G11" s="233"/>
      <c r="H11" s="233"/>
      <c r="I11" s="233"/>
      <c r="J11" s="233"/>
      <c r="K11" s="233"/>
      <c r="L11" s="1936"/>
      <c r="M11" s="242"/>
    </row>
    <row r="12" spans="1:13">
      <c r="A12" s="26"/>
      <c r="B12" s="133" t="s">
        <v>137</v>
      </c>
      <c r="C12" s="230"/>
      <c r="D12" s="230">
        <f t="shared" ref="D12:G12" si="5">C16</f>
        <v>0</v>
      </c>
      <c r="E12" s="230">
        <f t="shared" si="5"/>
        <v>1.43</v>
      </c>
      <c r="F12" s="230">
        <f>E16</f>
        <v>2.2810999999999999</v>
      </c>
      <c r="G12" s="231">
        <f t="shared" si="5"/>
        <v>0.4471</v>
      </c>
      <c r="H12" s="231">
        <f t="shared" ref="H12" ca="1" si="6">G16</f>
        <v>0.4471</v>
      </c>
      <c r="I12" s="231">
        <f t="shared" ref="I12" ca="1" si="7">H16</f>
        <v>0.4471</v>
      </c>
      <c r="J12" s="231">
        <f t="shared" ref="J12" ca="1" si="8">I16</f>
        <v>0.4471</v>
      </c>
      <c r="K12" s="231">
        <f t="shared" ref="K12" ca="1" si="9">J16</f>
        <v>0.4471</v>
      </c>
      <c r="L12" s="231"/>
      <c r="M12" s="159"/>
    </row>
    <row r="13" spans="1:13">
      <c r="A13" s="26"/>
      <c r="B13" s="133" t="s">
        <v>139</v>
      </c>
      <c r="C13" s="230"/>
      <c r="D13" s="230"/>
      <c r="E13" s="230"/>
      <c r="F13" s="230"/>
      <c r="G13" s="231">
        <f>-G17</f>
        <v>0</v>
      </c>
      <c r="H13" s="231">
        <f t="shared" ref="H13:K13" si="10">-H17</f>
        <v>0</v>
      </c>
      <c r="I13" s="231">
        <f t="shared" si="10"/>
        <v>0</v>
      </c>
      <c r="J13" s="231">
        <f t="shared" si="10"/>
        <v>0</v>
      </c>
      <c r="K13" s="231">
        <f t="shared" si="10"/>
        <v>0</v>
      </c>
      <c r="L13" s="231"/>
      <c r="M13" s="159"/>
    </row>
    <row r="14" spans="1:13">
      <c r="A14" s="26"/>
      <c r="B14" s="133" t="s">
        <v>140</v>
      </c>
      <c r="C14" s="234"/>
      <c r="D14" s="234"/>
      <c r="E14" s="234"/>
      <c r="F14" s="234"/>
      <c r="G14" s="231">
        <f ca="1">-G30*G55</f>
        <v>0</v>
      </c>
      <c r="H14" s="231">
        <f t="shared" ref="H14:K14" ca="1" si="11">-H30*H55</f>
        <v>0</v>
      </c>
      <c r="I14" s="231">
        <f t="shared" ca="1" si="11"/>
        <v>0</v>
      </c>
      <c r="J14" s="231">
        <f t="shared" ca="1" si="11"/>
        <v>0</v>
      </c>
      <c r="K14" s="231">
        <f t="shared" ca="1" si="11"/>
        <v>0</v>
      </c>
      <c r="L14" s="231"/>
      <c r="M14" s="159" t="s">
        <v>674</v>
      </c>
    </row>
    <row r="15" spans="1:13">
      <c r="A15" s="26"/>
      <c r="B15" s="133" t="s">
        <v>360</v>
      </c>
      <c r="C15" s="234"/>
      <c r="D15" s="234"/>
      <c r="E15" s="234"/>
      <c r="F15" s="234"/>
      <c r="G15" s="231">
        <f>-假设!G154</f>
        <v>0</v>
      </c>
      <c r="H15" s="231">
        <f>-假设!H154</f>
        <v>0</v>
      </c>
      <c r="I15" s="231">
        <f>-假设!I154</f>
        <v>0</v>
      </c>
      <c r="J15" s="231">
        <f>-假设!J154</f>
        <v>0</v>
      </c>
      <c r="K15" s="231">
        <f>-假设!K154</f>
        <v>0</v>
      </c>
      <c r="L15" s="231"/>
      <c r="M15" s="159" t="s">
        <v>678</v>
      </c>
    </row>
    <row r="16" spans="1:13">
      <c r="A16" s="26"/>
      <c r="B16" s="133" t="s">
        <v>141</v>
      </c>
      <c r="C16" s="230">
        <f>VLOOKUP(LEFT($B16,4),历史资产负债表!$B$3:$Q$146,C$3-2010,FALSE)</f>
        <v>0</v>
      </c>
      <c r="D16" s="230">
        <f>VLOOKUP(LEFT($B16,4),历史资产负债表!$B$3:$Q$146,D$3-2010,FALSE)</f>
        <v>1.43</v>
      </c>
      <c r="E16" s="230">
        <f>VLOOKUP(LEFT($B16,4),历史资产负债表!$B$3:$Q$146,E$3-2010,FALSE)</f>
        <v>2.2810999999999999</v>
      </c>
      <c r="F16" s="230">
        <f>VLOOKUP(LEFT($B16,4),历史资产负债表!$B$3:$Q$146,F$3-2010,FALSE)</f>
        <v>0.4471</v>
      </c>
      <c r="G16" s="2328">
        <f ca="1">SUM(G12:G15)</f>
        <v>0.4471</v>
      </c>
      <c r="H16" s="231">
        <f t="shared" ref="H16:K16" ca="1" si="12">SUM(H12:H15)</f>
        <v>0.4471</v>
      </c>
      <c r="I16" s="231">
        <f t="shared" ca="1" si="12"/>
        <v>0.4471</v>
      </c>
      <c r="J16" s="231">
        <f t="shared" ca="1" si="12"/>
        <v>0.4471</v>
      </c>
      <c r="K16" s="231">
        <f t="shared" ca="1" si="12"/>
        <v>0.4471</v>
      </c>
      <c r="L16" s="231"/>
      <c r="M16" s="159"/>
    </row>
    <row r="17" spans="1:13">
      <c r="A17" s="26"/>
      <c r="B17" s="133" t="s">
        <v>142</v>
      </c>
      <c r="C17" s="230">
        <f>假设!C155</f>
        <v>0</v>
      </c>
      <c r="D17" s="230">
        <f>假设!D155</f>
        <v>0</v>
      </c>
      <c r="E17" s="230">
        <f>假设!E155</f>
        <v>0</v>
      </c>
      <c r="F17" s="230">
        <f>假设!F155</f>
        <v>0</v>
      </c>
      <c r="G17" s="231">
        <f>假设!G155</f>
        <v>0</v>
      </c>
      <c r="H17" s="231">
        <f>假设!H155</f>
        <v>0</v>
      </c>
      <c r="I17" s="231">
        <f>假设!I155</f>
        <v>0</v>
      </c>
      <c r="J17" s="231">
        <f>假设!J155</f>
        <v>0</v>
      </c>
      <c r="K17" s="231">
        <f>假设!K155</f>
        <v>0</v>
      </c>
      <c r="L17" s="231"/>
      <c r="M17" s="159" t="s">
        <v>677</v>
      </c>
    </row>
    <row r="18" spans="1:13">
      <c r="A18" s="26"/>
      <c r="B18" s="133" t="s">
        <v>138</v>
      </c>
      <c r="C18" s="230"/>
      <c r="D18" s="230"/>
      <c r="E18" s="230"/>
      <c r="F18" s="230"/>
      <c r="G18" s="231">
        <f ca="1">(AVERAGE(F16:G16)+AVERAGE(F17:G17))*G46*(1-G47)</f>
        <v>2.1907900000000001E-2</v>
      </c>
      <c r="H18" s="231">
        <f t="shared" ref="H18:K18" ca="1" si="13">(AVERAGE(G16:H16)+AVERAGE(G17:H17))*H46*(1-H47)</f>
        <v>2.1907900000000001E-2</v>
      </c>
      <c r="I18" s="231">
        <f t="shared" ca="1" si="13"/>
        <v>2.1907900000000001E-2</v>
      </c>
      <c r="J18" s="231">
        <f t="shared" ca="1" si="13"/>
        <v>2.1907900000000001E-2</v>
      </c>
      <c r="K18" s="231">
        <f t="shared" ca="1" si="13"/>
        <v>2.1907900000000001E-2</v>
      </c>
      <c r="L18" s="231"/>
      <c r="M18" s="159" t="s">
        <v>673</v>
      </c>
    </row>
    <row r="19" spans="1:13">
      <c r="A19" s="26"/>
      <c r="B19" s="183"/>
      <c r="C19" s="230"/>
      <c r="D19" s="230"/>
      <c r="E19" s="230"/>
      <c r="F19" s="230"/>
      <c r="G19" s="231"/>
      <c r="H19" s="231"/>
      <c r="I19" s="231"/>
      <c r="J19" s="231"/>
      <c r="K19" s="231"/>
      <c r="L19" s="231"/>
      <c r="M19" s="159"/>
    </row>
    <row r="20" spans="1:13">
      <c r="A20" s="26"/>
      <c r="B20" s="184" t="s">
        <v>19</v>
      </c>
      <c r="C20" s="232"/>
      <c r="D20" s="232"/>
      <c r="E20" s="232"/>
      <c r="F20" s="232"/>
      <c r="G20" s="233"/>
      <c r="H20" s="233"/>
      <c r="I20" s="233"/>
      <c r="J20" s="233"/>
      <c r="K20" s="233"/>
      <c r="L20" s="1936"/>
      <c r="M20" s="242"/>
    </row>
    <row r="21" spans="1:13">
      <c r="A21" s="26"/>
      <c r="B21" s="133" t="s">
        <v>137</v>
      </c>
      <c r="C21" s="230"/>
      <c r="D21" s="230"/>
      <c r="E21" s="230"/>
      <c r="F21" s="230"/>
      <c r="G21" s="231">
        <f>F24</f>
        <v>-1.2129032099999999E-2</v>
      </c>
      <c r="H21" s="231">
        <f t="shared" ref="H21:K21" ca="1" si="14">G24</f>
        <v>-1.2129032099999999E-2</v>
      </c>
      <c r="I21" s="231">
        <f t="shared" ca="1" si="14"/>
        <v>-1.2129032099999999E-2</v>
      </c>
      <c r="J21" s="231">
        <f t="shared" ca="1" si="14"/>
        <v>-1.2129032099999999E-2</v>
      </c>
      <c r="K21" s="231">
        <f t="shared" ca="1" si="14"/>
        <v>-1.2129032099999999E-2</v>
      </c>
      <c r="L21" s="231"/>
      <c r="M21" s="159"/>
    </row>
    <row r="22" spans="1:13">
      <c r="A22" s="26"/>
      <c r="B22" s="127" t="s">
        <v>139</v>
      </c>
      <c r="C22" s="230"/>
      <c r="D22" s="230"/>
      <c r="E22" s="230"/>
      <c r="F22" s="230"/>
      <c r="G22" s="231">
        <f>-关键参数底稿!I143</f>
        <v>0</v>
      </c>
      <c r="H22" s="231">
        <f>-关键参数底稿!J143</f>
        <v>0</v>
      </c>
      <c r="I22" s="231">
        <f>-关键参数底稿!K143</f>
        <v>0</v>
      </c>
      <c r="J22" s="231">
        <f>-关键参数底稿!L143</f>
        <v>0</v>
      </c>
      <c r="K22" s="231">
        <f>-关键参数底稿!M143</f>
        <v>0</v>
      </c>
      <c r="L22" s="231"/>
      <c r="M22" s="159" t="s">
        <v>694</v>
      </c>
    </row>
    <row r="23" spans="1:13">
      <c r="A23" s="26"/>
      <c r="B23" s="127" t="s">
        <v>140</v>
      </c>
      <c r="C23" s="230"/>
      <c r="D23" s="230"/>
      <c r="E23" s="230"/>
      <c r="F23" s="230"/>
      <c r="G23" s="231">
        <f ca="1">-G30*G56</f>
        <v>0</v>
      </c>
      <c r="H23" s="231">
        <f t="shared" ref="H23:K23" ca="1" si="15">-H30*H56</f>
        <v>0</v>
      </c>
      <c r="I23" s="231">
        <f t="shared" ca="1" si="15"/>
        <v>0</v>
      </c>
      <c r="J23" s="231">
        <f t="shared" ca="1" si="15"/>
        <v>0</v>
      </c>
      <c r="K23" s="231">
        <f t="shared" ca="1" si="15"/>
        <v>0</v>
      </c>
      <c r="L23" s="231"/>
      <c r="M23" s="159" t="s">
        <v>675</v>
      </c>
    </row>
    <row r="24" spans="1:13">
      <c r="A24" s="26"/>
      <c r="B24" s="133" t="s">
        <v>158</v>
      </c>
      <c r="C24" s="230">
        <f>VLOOKUP(LEFT($B24,4),历史资产负债表!$B$3:$Q$146,C$3-2010,FALSE)</f>
        <v>9</v>
      </c>
      <c r="D24" s="230">
        <f>VLOOKUP(LEFT($B24,4),历史资产负债表!$B$3:$Q$146,D$3-2010,FALSE)</f>
        <v>9.961889254099999</v>
      </c>
      <c r="E24" s="230">
        <f>VLOOKUP(LEFT($B24,4),历史资产负债表!$B$3:$Q$146,E$3-2010,FALSE)</f>
        <v>9.9745717235000004</v>
      </c>
      <c r="F24" s="230">
        <f>VLOOKUP(LEFT($B24,4),历史资产负债表!$B$3:$Q$146,F$3-2010,FALSE)</f>
        <v>-1.2129032099999999E-2</v>
      </c>
      <c r="G24" s="231">
        <f ca="1">SUM(G21:G23)</f>
        <v>-1.2129032099999999E-2</v>
      </c>
      <c r="H24" s="231">
        <f t="shared" ref="H24:K24" ca="1" si="16">SUM(H21:H23)</f>
        <v>-1.2129032099999999E-2</v>
      </c>
      <c r="I24" s="231">
        <f t="shared" ca="1" si="16"/>
        <v>-1.2129032099999999E-2</v>
      </c>
      <c r="J24" s="231">
        <f t="shared" ca="1" si="16"/>
        <v>-1.2129032099999999E-2</v>
      </c>
      <c r="K24" s="231">
        <f t="shared" ca="1" si="16"/>
        <v>-1.2129032099999999E-2</v>
      </c>
      <c r="L24" s="231"/>
      <c r="M24" s="159"/>
    </row>
    <row r="25" spans="1:13">
      <c r="A25" s="26"/>
      <c r="B25" s="133" t="s">
        <v>266</v>
      </c>
      <c r="C25" s="230"/>
      <c r="D25" s="230"/>
      <c r="E25" s="230"/>
      <c r="F25" s="230"/>
      <c r="G25" s="231">
        <f>-G22</f>
        <v>0</v>
      </c>
      <c r="H25" s="231">
        <f t="shared" ref="H25:K25" si="17">-H22</f>
        <v>0</v>
      </c>
      <c r="I25" s="231">
        <f t="shared" si="17"/>
        <v>0</v>
      </c>
      <c r="J25" s="231">
        <f t="shared" si="17"/>
        <v>0</v>
      </c>
      <c r="K25" s="231">
        <f t="shared" si="17"/>
        <v>0</v>
      </c>
      <c r="L25" s="231"/>
      <c r="M25" s="159"/>
    </row>
    <row r="26" spans="1:13">
      <c r="A26" s="26"/>
      <c r="B26" s="133" t="s">
        <v>138</v>
      </c>
      <c r="C26" s="230"/>
      <c r="D26" s="230"/>
      <c r="E26" s="230"/>
      <c r="F26" s="230"/>
      <c r="G26" s="231">
        <f ca="1">(G23/2)*G48+关键参数底稿!I144</f>
        <v>0</v>
      </c>
      <c r="H26" s="231">
        <f ca="1">(H23/2)*H48+关键参数底稿!J144</f>
        <v>0</v>
      </c>
      <c r="I26" s="231">
        <f ca="1">(I23/2)*I48+关键参数底稿!K144</f>
        <v>0</v>
      </c>
      <c r="J26" s="231">
        <f ca="1">(J23/2)*J48+关键参数底稿!L144</f>
        <v>0</v>
      </c>
      <c r="K26" s="231">
        <f ca="1">(K23/2)*K48+关键参数底稿!M144</f>
        <v>0</v>
      </c>
      <c r="L26" s="231"/>
      <c r="M26" s="159" t="s">
        <v>676</v>
      </c>
    </row>
    <row r="27" spans="1:13">
      <c r="A27" s="26"/>
      <c r="B27" s="183"/>
      <c r="C27" s="230"/>
      <c r="D27" s="230"/>
      <c r="E27" s="230"/>
      <c r="F27" s="230"/>
      <c r="G27" s="400">
        <f ca="1">G26/(G21+G24)*2</f>
        <v>0</v>
      </c>
      <c r="H27" s="400">
        <f t="shared" ref="H27:K27" ca="1" si="18">H26/(H21+H24)*2</f>
        <v>0</v>
      </c>
      <c r="I27" s="400">
        <f t="shared" ca="1" si="18"/>
        <v>0</v>
      </c>
      <c r="J27" s="400">
        <f t="shared" ca="1" si="18"/>
        <v>0</v>
      </c>
      <c r="K27" s="400">
        <f t="shared" ca="1" si="18"/>
        <v>0</v>
      </c>
      <c r="L27" s="400"/>
      <c r="M27" s="159"/>
    </row>
    <row r="28" spans="1:13">
      <c r="A28" s="26"/>
      <c r="B28" s="184" t="s">
        <v>143</v>
      </c>
      <c r="C28" s="232"/>
      <c r="D28" s="232"/>
      <c r="E28" s="232"/>
      <c r="F28" s="232"/>
      <c r="G28" s="233"/>
      <c r="H28" s="233"/>
      <c r="I28" s="233"/>
      <c r="J28" s="233"/>
      <c r="K28" s="233"/>
      <c r="L28" s="1936"/>
      <c r="M28" s="242"/>
    </row>
    <row r="29" spans="1:13">
      <c r="A29" s="26"/>
      <c r="B29" s="133" t="s">
        <v>101</v>
      </c>
      <c r="C29" s="230">
        <f>假设!C110</f>
        <v>89.522596727199996</v>
      </c>
      <c r="D29" s="230">
        <f>假设!D110</f>
        <v>107.65935087850001</v>
      </c>
      <c r="E29" s="230">
        <f>假设!E110</f>
        <v>126.23381364069999</v>
      </c>
      <c r="F29" s="230">
        <f>假设!F110</f>
        <v>162.28785960479999</v>
      </c>
      <c r="G29" s="231">
        <f>假设!G110</f>
        <v>121.42590521279999</v>
      </c>
      <c r="H29" s="231">
        <f>假设!H110</f>
        <v>121.42590521279999</v>
      </c>
      <c r="I29" s="231">
        <f>假设!I110</f>
        <v>121.42590521279999</v>
      </c>
      <c r="J29" s="231">
        <f>假设!J110</f>
        <v>121.42590521279999</v>
      </c>
      <c r="K29" s="231">
        <f>假设!K110</f>
        <v>121.42590521279999</v>
      </c>
      <c r="L29" s="231"/>
      <c r="M29" s="159" t="s">
        <v>696</v>
      </c>
    </row>
    <row r="30" spans="1:13">
      <c r="A30" s="26"/>
      <c r="B30" s="133" t="s">
        <v>144</v>
      </c>
      <c r="C30" s="234"/>
      <c r="D30" s="234"/>
      <c r="E30" s="234"/>
      <c r="F30" s="234"/>
      <c r="G30" s="231">
        <f ca="1">现金缺口测算!G17</f>
        <v>0</v>
      </c>
      <c r="H30" s="231">
        <f ca="1">现金缺口测算!H17</f>
        <v>0</v>
      </c>
      <c r="I30" s="231">
        <f ca="1">现金缺口测算!I17</f>
        <v>0</v>
      </c>
      <c r="J30" s="231">
        <f ca="1">现金缺口测算!J17</f>
        <v>0</v>
      </c>
      <c r="K30" s="231">
        <f ca="1">现金缺口测算!K17</f>
        <v>0</v>
      </c>
      <c r="L30" s="231"/>
      <c r="M30" s="159"/>
    </row>
    <row r="31" spans="1:13">
      <c r="A31" s="26"/>
      <c r="B31" s="133" t="s">
        <v>159</v>
      </c>
      <c r="C31" s="230">
        <f>VLOOKUP(LEFT($B31,4),历史资产负债表!$B$3:$Q$146,C$3-2010,FALSE)</f>
        <v>89.522596727199996</v>
      </c>
      <c r="D31" s="230">
        <f>VLOOKUP(LEFT($B31,4),历史资产负债表!$B$3:$Q$146,D$3-2010,FALSE)</f>
        <v>107.65935087850001</v>
      </c>
      <c r="E31" s="230">
        <f>VLOOKUP(LEFT($B31,4),历史资产负债表!$B$3:$Q$146,E$3-2010,FALSE)</f>
        <v>126.23381364069999</v>
      </c>
      <c r="F31" s="230">
        <f>VLOOKUP(LEFT($B31,4),历史资产负债表!$B$3:$Q$146,F$3-2010,FALSE)</f>
        <v>162.28785960479999</v>
      </c>
      <c r="G31" s="231">
        <f ca="1">资产负债表!G6</f>
        <v>219.77373745139934</v>
      </c>
      <c r="H31" s="231">
        <f ca="1">资产负债表!H6</f>
        <v>247.18981227438232</v>
      </c>
      <c r="I31" s="231">
        <f ca="1">资产负债表!I6</f>
        <v>273.9018657169272</v>
      </c>
      <c r="J31" s="231">
        <f ca="1">资产负债表!J6</f>
        <v>291.62572047270271</v>
      </c>
      <c r="K31" s="231">
        <f ca="1">资产负债表!K6</f>
        <v>303.60422352136425</v>
      </c>
      <c r="L31" s="231"/>
      <c r="M31" s="159" t="s">
        <v>698</v>
      </c>
    </row>
    <row r="32" spans="1:13">
      <c r="A32" s="26"/>
      <c r="B32" s="133" t="s">
        <v>54</v>
      </c>
      <c r="C32" s="234"/>
      <c r="D32" s="234"/>
      <c r="E32" s="234"/>
      <c r="F32" s="234"/>
      <c r="G32" s="231">
        <f ca="1">AVERAGE(F31:G31)*G49</f>
        <v>0.95515399264049838</v>
      </c>
      <c r="H32" s="231">
        <f t="shared" ref="H32:K32" ca="1" si="19">AVERAGE(G31:H31)*H49</f>
        <v>1.1674088743144542</v>
      </c>
      <c r="I32" s="231">
        <f t="shared" ca="1" si="19"/>
        <v>1.302729194978274</v>
      </c>
      <c r="J32" s="231">
        <f t="shared" ca="1" si="19"/>
        <v>1.4138189654740747</v>
      </c>
      <c r="K32" s="231">
        <f t="shared" ca="1" si="19"/>
        <v>1.4880748599851674</v>
      </c>
      <c r="L32" s="231"/>
      <c r="M32" s="159"/>
    </row>
    <row r="33" spans="1:13">
      <c r="A33" s="26"/>
      <c r="B33" s="183"/>
      <c r="C33" s="234"/>
      <c r="D33" s="234"/>
      <c r="E33" s="234"/>
      <c r="F33" s="234"/>
      <c r="G33" s="231"/>
      <c r="H33" s="231"/>
      <c r="I33" s="231"/>
      <c r="J33" s="231"/>
      <c r="K33" s="231"/>
      <c r="L33" s="231"/>
      <c r="M33" s="159"/>
    </row>
    <row r="34" spans="1:13">
      <c r="A34" s="26"/>
      <c r="B34" s="184" t="s">
        <v>62</v>
      </c>
      <c r="C34" s="235"/>
      <c r="D34" s="235"/>
      <c r="E34" s="235"/>
      <c r="F34" s="235"/>
      <c r="G34" s="233">
        <f ca="1">G37-G39+G36</f>
        <v>-0.93587504064049842</v>
      </c>
      <c r="H34" s="233">
        <f t="shared" ref="H34:K34" ca="1" si="20">H37-H39+H36</f>
        <v>-1.1481299223144541</v>
      </c>
      <c r="I34" s="233">
        <f t="shared" ca="1" si="20"/>
        <v>-1.2834502429782739</v>
      </c>
      <c r="J34" s="233">
        <f t="shared" ca="1" si="20"/>
        <v>-1.3945400134740746</v>
      </c>
      <c r="K34" s="233">
        <f t="shared" ca="1" si="20"/>
        <v>-1.4687959079851671</v>
      </c>
      <c r="L34" s="1936"/>
      <c r="M34" s="242" t="s">
        <v>699</v>
      </c>
    </row>
    <row r="35" spans="1:13">
      <c r="A35" s="26"/>
      <c r="B35" s="133" t="s">
        <v>58</v>
      </c>
      <c r="C35" s="234"/>
      <c r="D35" s="234"/>
      <c r="E35" s="234"/>
      <c r="F35" s="234"/>
      <c r="G35" s="231">
        <f ca="1">IF(循环开关="on",G26+G18+G9,0)</f>
        <v>2.1907900000000001E-2</v>
      </c>
      <c r="H35" s="231">
        <f ca="1">IF(循环开关="on",H26+H18+H9,0)</f>
        <v>2.1907900000000001E-2</v>
      </c>
      <c r="I35" s="231">
        <f ca="1">IF(循环开关="on",I26+I18+I9,0)</f>
        <v>2.1907900000000001E-2</v>
      </c>
      <c r="J35" s="231">
        <f ca="1">IF(循环开关="on",J26+J18+J9,0)</f>
        <v>2.1907900000000001E-2</v>
      </c>
      <c r="K35" s="231">
        <f ca="1">IF(循环开关="on",K26+K18+K9,0)</f>
        <v>2.1907900000000001E-2</v>
      </c>
      <c r="L35" s="231"/>
      <c r="M35" s="159" t="s">
        <v>700</v>
      </c>
    </row>
    <row r="36" spans="1:13">
      <c r="A36" s="26"/>
      <c r="B36" s="133" t="s">
        <v>361</v>
      </c>
      <c r="C36" s="234"/>
      <c r="D36" s="234"/>
      <c r="E36" s="234"/>
      <c r="F36" s="234"/>
      <c r="G36" s="231">
        <f>假设!G156</f>
        <v>0</v>
      </c>
      <c r="H36" s="231">
        <f>假设!H156</f>
        <v>0</v>
      </c>
      <c r="I36" s="231">
        <f>假设!I156</f>
        <v>0</v>
      </c>
      <c r="J36" s="231">
        <f>假设!J156</f>
        <v>0</v>
      </c>
      <c r="K36" s="231">
        <f>假设!K156</f>
        <v>0</v>
      </c>
      <c r="L36" s="231"/>
      <c r="M36" s="159" t="s">
        <v>695</v>
      </c>
    </row>
    <row r="37" spans="1:13">
      <c r="A37" s="26"/>
      <c r="B37" s="133" t="s">
        <v>138</v>
      </c>
      <c r="C37" s="234"/>
      <c r="D37" s="234"/>
      <c r="E37" s="234"/>
      <c r="F37" s="234"/>
      <c r="G37" s="231">
        <f ca="1">G35*(1-G51)</f>
        <v>1.9278952000000002E-2</v>
      </c>
      <c r="H37" s="231">
        <f t="shared" ref="H37:K37" ca="1" si="21">H35*(1-H51)</f>
        <v>1.9278952000000002E-2</v>
      </c>
      <c r="I37" s="231">
        <f t="shared" ca="1" si="21"/>
        <v>1.9278952000000002E-2</v>
      </c>
      <c r="J37" s="231">
        <f t="shared" ca="1" si="21"/>
        <v>1.9278952000000002E-2</v>
      </c>
      <c r="K37" s="231">
        <f t="shared" ca="1" si="21"/>
        <v>1.9278952000000002E-2</v>
      </c>
      <c r="L37" s="231"/>
      <c r="M37" s="159" t="s">
        <v>701</v>
      </c>
    </row>
    <row r="38" spans="1:13">
      <c r="A38" s="26"/>
      <c r="B38" s="133" t="s">
        <v>145</v>
      </c>
      <c r="C38" s="234"/>
      <c r="D38" s="234"/>
      <c r="E38" s="234"/>
      <c r="F38" s="234"/>
      <c r="G38" s="231">
        <f ca="1">G35-G37</f>
        <v>2.628947999999999E-3</v>
      </c>
      <c r="H38" s="231">
        <f t="shared" ref="H38:K38" ca="1" si="22">H35-H37</f>
        <v>2.628947999999999E-3</v>
      </c>
      <c r="I38" s="231">
        <f t="shared" ca="1" si="22"/>
        <v>2.628947999999999E-3</v>
      </c>
      <c r="J38" s="231">
        <f t="shared" ca="1" si="22"/>
        <v>2.628947999999999E-3</v>
      </c>
      <c r="K38" s="231">
        <f t="shared" ca="1" si="22"/>
        <v>2.628947999999999E-3</v>
      </c>
      <c r="L38" s="231"/>
      <c r="M38" s="159" t="s">
        <v>702</v>
      </c>
    </row>
    <row r="39" spans="1:13">
      <c r="A39" s="26"/>
      <c r="B39" s="133" t="s">
        <v>54</v>
      </c>
      <c r="C39" s="234"/>
      <c r="D39" s="234"/>
      <c r="E39" s="234"/>
      <c r="F39" s="234"/>
      <c r="G39" s="231">
        <f ca="1">G32</f>
        <v>0.95515399264049838</v>
      </c>
      <c r="H39" s="231">
        <f t="shared" ref="H39:K39" ca="1" si="23">H32</f>
        <v>1.1674088743144542</v>
      </c>
      <c r="I39" s="231">
        <f t="shared" ca="1" si="23"/>
        <v>1.302729194978274</v>
      </c>
      <c r="J39" s="231">
        <f t="shared" ca="1" si="23"/>
        <v>1.4138189654740747</v>
      </c>
      <c r="K39" s="231">
        <f t="shared" ca="1" si="23"/>
        <v>1.4880748599851674</v>
      </c>
      <c r="L39" s="231"/>
      <c r="M39" s="159" t="s">
        <v>703</v>
      </c>
    </row>
    <row r="40" spans="1:13">
      <c r="A40" s="26"/>
      <c r="B40" s="150"/>
      <c r="G40" s="137"/>
      <c r="H40" s="137"/>
      <c r="I40" s="137"/>
      <c r="J40" s="137"/>
      <c r="K40" s="137"/>
      <c r="L40" s="137"/>
      <c r="M40" s="159"/>
    </row>
    <row r="41" spans="1:13" ht="16.2" outlineLevel="1" thickBot="1">
      <c r="A41" s="26"/>
      <c r="B41" s="1019" t="s">
        <v>377</v>
      </c>
      <c r="C41" s="1869"/>
      <c r="D41" s="1869"/>
      <c r="E41" s="1869"/>
      <c r="F41" s="1869"/>
      <c r="G41" s="1870"/>
      <c r="H41" s="1870"/>
      <c r="I41" s="1870"/>
      <c r="J41" s="1870"/>
      <c r="K41" s="1870"/>
      <c r="L41" s="1937"/>
      <c r="M41" s="1869"/>
    </row>
    <row r="42" spans="1:13" ht="15.6" outlineLevel="1">
      <c r="A42" s="26"/>
      <c r="B42" s="1480" t="s">
        <v>150</v>
      </c>
      <c r="C42" s="1871"/>
      <c r="D42" s="1871"/>
      <c r="E42" s="1871"/>
      <c r="F42" s="1871"/>
      <c r="G42" s="1872"/>
      <c r="H42" s="1872"/>
      <c r="I42" s="1872"/>
      <c r="J42" s="1872"/>
      <c r="K42" s="1872"/>
      <c r="L42" s="1872"/>
      <c r="M42" s="1871"/>
    </row>
    <row r="43" spans="1:13" ht="15" outlineLevel="1">
      <c r="A43" s="26"/>
      <c r="B43" s="1873" t="s">
        <v>103</v>
      </c>
      <c r="C43" s="1871"/>
      <c r="D43" s="1871"/>
      <c r="E43" s="1871"/>
      <c r="F43" s="1871"/>
      <c r="G43" s="1872"/>
      <c r="H43" s="1872"/>
      <c r="I43" s="1872"/>
      <c r="J43" s="1872"/>
      <c r="K43" s="1872"/>
      <c r="L43" s="1872"/>
      <c r="M43" s="1871"/>
    </row>
    <row r="44" spans="1:13" ht="15" outlineLevel="1">
      <c r="A44" s="26"/>
      <c r="B44" s="1873" t="s">
        <v>104</v>
      </c>
      <c r="C44" s="1874">
        <f>假设!C137</f>
        <v>0.06</v>
      </c>
      <c r="D44" s="1874">
        <f>假设!D137</f>
        <v>5.6000000000000001E-2</v>
      </c>
      <c r="E44" s="1874">
        <f>假设!E137</f>
        <v>4.3499999999999997E-2</v>
      </c>
      <c r="F44" s="1874">
        <f>假设!F137</f>
        <v>4.3499999999999997E-2</v>
      </c>
      <c r="G44" s="1875">
        <f>假设!G137</f>
        <v>4.3499999999999997E-2</v>
      </c>
      <c r="H44" s="1875">
        <f>假设!H137</f>
        <v>4.3499999999999997E-2</v>
      </c>
      <c r="I44" s="1875">
        <f>假设!I137</f>
        <v>4.3499999999999997E-2</v>
      </c>
      <c r="J44" s="1875">
        <f>假设!J137</f>
        <v>4.3499999999999997E-2</v>
      </c>
      <c r="K44" s="1875">
        <f>假设!K137</f>
        <v>4.3499999999999997E-2</v>
      </c>
      <c r="L44" s="1875"/>
      <c r="M44" s="1871"/>
    </row>
    <row r="45" spans="1:13" ht="15" outlineLevel="1">
      <c r="A45" s="26"/>
      <c r="B45" s="1876" t="s">
        <v>151</v>
      </c>
      <c r="C45" s="1874">
        <f>假设!C138</f>
        <v>0</v>
      </c>
      <c r="D45" s="1874">
        <f>假设!D138</f>
        <v>0</v>
      </c>
      <c r="E45" s="1874">
        <f>假设!E138</f>
        <v>0</v>
      </c>
      <c r="F45" s="1874">
        <f>假设!F138</f>
        <v>0</v>
      </c>
      <c r="G45" s="1875">
        <f>假设!G138</f>
        <v>0</v>
      </c>
      <c r="H45" s="1875">
        <f>假设!H138</f>
        <v>0</v>
      </c>
      <c r="I45" s="1875">
        <f>假设!I138</f>
        <v>0</v>
      </c>
      <c r="J45" s="1875">
        <f>假设!J138</f>
        <v>0</v>
      </c>
      <c r="K45" s="1875">
        <f>假设!K138</f>
        <v>0</v>
      </c>
      <c r="L45" s="1875"/>
      <c r="M45" s="1871"/>
    </row>
    <row r="46" spans="1:13" ht="15" outlineLevel="1">
      <c r="A46" s="26"/>
      <c r="B46" s="1873" t="s">
        <v>106</v>
      </c>
      <c r="C46" s="1874">
        <f>假设!C139</f>
        <v>6.5500000000000003E-2</v>
      </c>
      <c r="D46" s="1874">
        <f>假设!D139</f>
        <v>6.1499999999999999E-2</v>
      </c>
      <c r="E46" s="1874">
        <f>假设!E139</f>
        <v>4.9000000000000002E-2</v>
      </c>
      <c r="F46" s="1874">
        <f>假设!F139</f>
        <v>4.9000000000000002E-2</v>
      </c>
      <c r="G46" s="1875">
        <f>假设!G139</f>
        <v>4.9000000000000002E-2</v>
      </c>
      <c r="H46" s="1875">
        <f>假设!H139</f>
        <v>4.9000000000000002E-2</v>
      </c>
      <c r="I46" s="1875">
        <f>假设!I139</f>
        <v>4.9000000000000002E-2</v>
      </c>
      <c r="J46" s="1875">
        <f>假设!J139</f>
        <v>4.9000000000000002E-2</v>
      </c>
      <c r="K46" s="1875">
        <f>假设!K139</f>
        <v>4.9000000000000002E-2</v>
      </c>
      <c r="L46" s="1875"/>
      <c r="M46" s="1871"/>
    </row>
    <row r="47" spans="1:13" ht="15" outlineLevel="1">
      <c r="A47" s="26"/>
      <c r="B47" s="1876" t="s">
        <v>151</v>
      </c>
      <c r="C47" s="1874">
        <f>假设!C140</f>
        <v>0</v>
      </c>
      <c r="D47" s="1874">
        <f>假设!D140</f>
        <v>0</v>
      </c>
      <c r="E47" s="1874">
        <f>假设!E140</f>
        <v>0</v>
      </c>
      <c r="F47" s="1874">
        <f>假设!F140</f>
        <v>0</v>
      </c>
      <c r="G47" s="1875">
        <f>假设!G140</f>
        <v>0</v>
      </c>
      <c r="H47" s="1875">
        <f>假设!H140</f>
        <v>0</v>
      </c>
      <c r="I47" s="1875">
        <f>假设!I140</f>
        <v>0</v>
      </c>
      <c r="J47" s="1875">
        <f>假设!J140</f>
        <v>0</v>
      </c>
      <c r="K47" s="1875">
        <f>假设!K140</f>
        <v>0</v>
      </c>
      <c r="L47" s="1875"/>
      <c r="M47" s="1871"/>
    </row>
    <row r="48" spans="1:13" ht="15" outlineLevel="1">
      <c r="A48" s="26"/>
      <c r="B48" s="1873" t="s">
        <v>107</v>
      </c>
      <c r="C48" s="1874">
        <f>假设!C141</f>
        <v>3.5799999999999998E-2</v>
      </c>
      <c r="D48" s="1874">
        <f>假设!D141</f>
        <v>3.5799999999999998E-2</v>
      </c>
      <c r="E48" s="1874">
        <f>假设!E141</f>
        <v>3.5799999999999998E-2</v>
      </c>
      <c r="F48" s="1874">
        <f>假设!F141</f>
        <v>3.5799999999999998E-2</v>
      </c>
      <c r="G48" s="1875">
        <f>假设!G141</f>
        <v>3.5799999999999998E-2</v>
      </c>
      <c r="H48" s="1875">
        <f>假设!H141</f>
        <v>3.5799999999999998E-2</v>
      </c>
      <c r="I48" s="1875">
        <f>假设!I141</f>
        <v>3.5799999999999998E-2</v>
      </c>
      <c r="J48" s="1875">
        <f>假设!J141</f>
        <v>3.5799999999999998E-2</v>
      </c>
      <c r="K48" s="1875">
        <f>假设!K141</f>
        <v>3.5799999999999998E-2</v>
      </c>
      <c r="L48" s="1875"/>
      <c r="M48" s="1871"/>
    </row>
    <row r="49" spans="1:13" ht="15" outlineLevel="1">
      <c r="A49" s="26"/>
      <c r="B49" s="1873" t="s">
        <v>108</v>
      </c>
      <c r="C49" s="1874">
        <f>假设!C142</f>
        <v>0</v>
      </c>
      <c r="D49" s="1874">
        <f>假设!D142</f>
        <v>0</v>
      </c>
      <c r="E49" s="1874">
        <f>假设!E142</f>
        <v>0</v>
      </c>
      <c r="F49" s="1874">
        <f>假设!F142</f>
        <v>0</v>
      </c>
      <c r="G49" s="2066">
        <f>假设!G142</f>
        <v>5.0000000000000001E-3</v>
      </c>
      <c r="H49" s="2066">
        <f>假设!H142</f>
        <v>5.0000000000000001E-3</v>
      </c>
      <c r="I49" s="2066">
        <f>假设!I142</f>
        <v>5.0000000000000001E-3</v>
      </c>
      <c r="J49" s="2066">
        <f>假设!J142</f>
        <v>5.0000000000000001E-3</v>
      </c>
      <c r="K49" s="2066">
        <f>假设!K142</f>
        <v>5.0000000000000001E-3</v>
      </c>
      <c r="L49" s="1875"/>
      <c r="M49" s="1871"/>
    </row>
    <row r="50" spans="1:13" ht="15" outlineLevel="1">
      <c r="A50" s="26"/>
      <c r="B50" s="1873"/>
      <c r="C50" s="1871"/>
      <c r="D50" s="1871"/>
      <c r="E50" s="1871"/>
      <c r="F50" s="1871"/>
      <c r="G50" s="1872"/>
      <c r="H50" s="1872"/>
      <c r="I50" s="1872"/>
      <c r="J50" s="1872"/>
      <c r="K50" s="1872"/>
      <c r="L50" s="1872"/>
      <c r="M50" s="1871"/>
    </row>
    <row r="51" spans="1:13" ht="15.6" outlineLevel="1">
      <c r="A51" s="26"/>
      <c r="B51" s="1480" t="s">
        <v>153</v>
      </c>
      <c r="C51" s="1874">
        <f>假设!C144</f>
        <v>0.10390000000000001</v>
      </c>
      <c r="D51" s="1874">
        <f>假设!D144</f>
        <v>0</v>
      </c>
      <c r="E51" s="1874">
        <f>假设!E144</f>
        <v>3.6200000000000003E-2</v>
      </c>
      <c r="F51" s="1874">
        <f>假设!F144</f>
        <v>0.1295</v>
      </c>
      <c r="G51" s="1875">
        <f>假设!G144</f>
        <v>0.12</v>
      </c>
      <c r="H51" s="1875">
        <f>假设!H144</f>
        <v>0.12</v>
      </c>
      <c r="I51" s="1875">
        <f>假设!I144</f>
        <v>0.12</v>
      </c>
      <c r="J51" s="1875">
        <f>假设!J144</f>
        <v>0.12</v>
      </c>
      <c r="K51" s="1875">
        <f>假设!K144</f>
        <v>0.12</v>
      </c>
      <c r="L51" s="1875"/>
      <c r="M51" s="1871"/>
    </row>
    <row r="52" spans="1:13" ht="15" outlineLevel="1">
      <c r="A52" s="26"/>
      <c r="B52" s="1877"/>
      <c r="C52" s="1871"/>
      <c r="D52" s="1871"/>
      <c r="E52" s="1871"/>
      <c r="F52" s="1871"/>
      <c r="G52" s="1872"/>
      <c r="H52" s="1872"/>
      <c r="I52" s="1872"/>
      <c r="J52" s="1872"/>
      <c r="K52" s="1872"/>
      <c r="L52" s="1872"/>
      <c r="M52" s="1871"/>
    </row>
    <row r="53" spans="1:13" ht="15.6" outlineLevel="1">
      <c r="A53" s="26"/>
      <c r="B53" s="1480" t="s">
        <v>152</v>
      </c>
      <c r="C53" s="1871"/>
      <c r="D53" s="1871"/>
      <c r="E53" s="1871"/>
      <c r="F53" s="1871"/>
      <c r="G53" s="1872"/>
      <c r="H53" s="1872"/>
      <c r="I53" s="1872"/>
      <c r="J53" s="1872"/>
      <c r="K53" s="1872"/>
      <c r="L53" s="1872"/>
      <c r="M53" s="1871"/>
    </row>
    <row r="54" spans="1:13" ht="15" outlineLevel="1">
      <c r="A54" s="26"/>
      <c r="B54" s="1873" t="s">
        <v>109</v>
      </c>
      <c r="C54" s="1874">
        <f>假设!C148</f>
        <v>0.15974153649662637</v>
      </c>
      <c r="D54" s="1874">
        <f>假设!D148</f>
        <v>0.15974153649662637</v>
      </c>
      <c r="E54" s="1874">
        <f>假设!E148</f>
        <v>0.15974153649662637</v>
      </c>
      <c r="F54" s="1874">
        <f>假设!F148</f>
        <v>0.15974153649662637</v>
      </c>
      <c r="G54" s="1875">
        <f>假设!G148</f>
        <v>0.15974153649662637</v>
      </c>
      <c r="H54" s="1875">
        <f>假设!H148</f>
        <v>0.15974153649662637</v>
      </c>
      <c r="I54" s="1875">
        <f>假设!I148</f>
        <v>0.15974153649662637</v>
      </c>
      <c r="J54" s="1875">
        <f>假设!J148</f>
        <v>0.15974153649662637</v>
      </c>
      <c r="K54" s="1875">
        <f>假设!K148</f>
        <v>0.15974153649662637</v>
      </c>
      <c r="L54" s="1875"/>
      <c r="M54" s="1871"/>
    </row>
    <row r="55" spans="1:13" ht="15" outlineLevel="1">
      <c r="A55" s="26"/>
      <c r="B55" s="1873" t="s">
        <v>110</v>
      </c>
      <c r="C55" s="1874">
        <f>假设!C149</f>
        <v>0</v>
      </c>
      <c r="D55" s="1874">
        <f>假设!D149</f>
        <v>0</v>
      </c>
      <c r="E55" s="1874">
        <f>假设!E149</f>
        <v>0</v>
      </c>
      <c r="F55" s="1874">
        <f>假设!F149</f>
        <v>0</v>
      </c>
      <c r="G55" s="1875">
        <f>假设!G149</f>
        <v>0</v>
      </c>
      <c r="H55" s="1875">
        <f>假设!H149</f>
        <v>0</v>
      </c>
      <c r="I55" s="1875">
        <f>假设!I149</f>
        <v>0</v>
      </c>
      <c r="J55" s="1875">
        <f>假设!J149</f>
        <v>0</v>
      </c>
      <c r="K55" s="1875">
        <f>假设!K149</f>
        <v>0</v>
      </c>
      <c r="L55" s="1875"/>
      <c r="M55" s="1871"/>
    </row>
    <row r="56" spans="1:13" ht="15" outlineLevel="1">
      <c r="A56" s="26"/>
      <c r="B56" s="1873" t="s">
        <v>111</v>
      </c>
      <c r="C56" s="1874">
        <f>假设!C150</f>
        <v>0.84025846350337363</v>
      </c>
      <c r="D56" s="1874">
        <f>假设!D150</f>
        <v>0.84025846350337363</v>
      </c>
      <c r="E56" s="1874">
        <f>假设!E150</f>
        <v>0.84025846350337363</v>
      </c>
      <c r="F56" s="1874">
        <f>假设!F150</f>
        <v>0.84025846350337363</v>
      </c>
      <c r="G56" s="1875">
        <f>假设!G150</f>
        <v>0.84025846350337363</v>
      </c>
      <c r="H56" s="1875">
        <f>假设!H150</f>
        <v>0.84025846350337363</v>
      </c>
      <c r="I56" s="1875">
        <f>假设!I150</f>
        <v>0.84025846350337363</v>
      </c>
      <c r="J56" s="1875">
        <f>假设!J150</f>
        <v>0.84025846350337363</v>
      </c>
      <c r="K56" s="1875">
        <f>假设!K150</f>
        <v>0.84025846350337363</v>
      </c>
      <c r="L56" s="1875"/>
      <c r="M56" s="1871"/>
    </row>
    <row r="59" spans="1:13" ht="15.6">
      <c r="B59" s="1492"/>
      <c r="C59" s="1492"/>
      <c r="D59" s="1540" t="s">
        <v>1627</v>
      </c>
      <c r="E59" s="1540" t="s">
        <v>1644</v>
      </c>
      <c r="F59" s="1540" t="s">
        <v>1645</v>
      </c>
      <c r="G59" s="1541" t="s">
        <v>1646</v>
      </c>
      <c r="H59" s="1541" t="s">
        <v>2322</v>
      </c>
    </row>
    <row r="60" spans="1:13" ht="15">
      <c r="B60" s="1492" t="s">
        <v>1643</v>
      </c>
      <c r="C60" s="1492"/>
      <c r="D60" s="1537">
        <f>动因指标对成果指标影响分析!F9</f>
        <v>10</v>
      </c>
      <c r="E60" s="1537">
        <f ca="1">损益表!G18</f>
        <v>31.379227543914592</v>
      </c>
      <c r="F60" s="1537">
        <f ca="1">资产负债表!G70</f>
        <v>0.30373616747300303</v>
      </c>
      <c r="G60" s="1537">
        <f ca="1">国资委考核指标!G23</f>
        <v>-24.199425139865632</v>
      </c>
      <c r="H60" s="2327">
        <f ca="1">主要评级指标表!$G$6</f>
        <v>1.763944534300349E-2</v>
      </c>
    </row>
    <row r="61" spans="1:13" ht="15">
      <c r="B61" s="1542">
        <f ca="1">G16</f>
        <v>0.4471</v>
      </c>
      <c r="C61" s="1542">
        <v>0.4471</v>
      </c>
      <c r="D61" s="1537">
        <f>C61+D60</f>
        <v>10.447100000000001</v>
      </c>
      <c r="E61" s="1537">
        <f t="dataTable" ref="E61:H61" dt2D="0" dtr="0" r1="G16" ca="1"/>
        <v>31.162083300173006</v>
      </c>
      <c r="F61" s="1537">
        <v>0.30889269711869566</v>
      </c>
      <c r="G61" s="1537">
        <v>-24.14085051017328</v>
      </c>
      <c r="H61" s="2327">
        <v>1.7518449870883104E-2</v>
      </c>
    </row>
    <row r="62" spans="1:13" ht="15">
      <c r="B62" s="1537"/>
      <c r="C62" s="1492"/>
      <c r="D62" s="1492"/>
      <c r="E62" s="1492"/>
      <c r="F62" s="1492"/>
      <c r="G62" s="1492"/>
      <c r="H62" s="2326"/>
    </row>
  </sheetData>
  <mergeCells count="1">
    <mergeCell ref="C2:F2"/>
  </mergeCells>
  <phoneticPr fontId="20" type="noConversion"/>
  <printOptions horizontalCentered="1"/>
  <pageMargins left="0.70866141732283472" right="0.70866141732283472" top="0.74803149606299213" bottom="0.74803149606299213" header="0.31496062992125984" footer="0.31496062992125984"/>
  <pageSetup paperSize="9" scale="89" orientation="landscape"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10">
    <tabColor theme="7" tint="0.39997558519241921"/>
    <pageSetUpPr fitToPage="1"/>
  </sheetPr>
  <dimension ref="A1:M19"/>
  <sheetViews>
    <sheetView showGridLines="0" workbookViewId="0">
      <pane xSplit="2" ySplit="3" topLeftCell="C4" activePane="bottomRight" state="frozen"/>
      <selection activeCell="G35" sqref="G35"/>
      <selection pane="topRight" activeCell="G35" sqref="G35"/>
      <selection pane="bottomLeft" activeCell="G35" sqref="G35"/>
      <selection pane="bottomRight" activeCell="G17" sqref="G17"/>
    </sheetView>
  </sheetViews>
  <sheetFormatPr defaultColWidth="8.77734375" defaultRowHeight="14.4" outlineLevelCol="1"/>
  <cols>
    <col min="1" max="1" width="5" style="7" hidden="1" customWidth="1"/>
    <col min="2" max="2" width="39.44140625" style="7" customWidth="1"/>
    <col min="3" max="6" width="8.77734375" style="7" customWidth="1"/>
    <col min="7" max="11" width="11.77734375" style="7" customWidth="1"/>
    <col min="12" max="12" width="35.88671875" style="7" customWidth="1" outlineLevel="1"/>
    <col min="13" max="16384" width="8.77734375" style="7"/>
  </cols>
  <sheetData>
    <row r="1" spans="1:12" ht="15.6">
      <c r="A1" s="5"/>
      <c r="B1" s="14" t="s">
        <v>688</v>
      </c>
      <c r="C1" s="67"/>
      <c r="D1" s="13"/>
      <c r="E1" s="13"/>
      <c r="F1" s="13"/>
      <c r="G1" s="13"/>
      <c r="H1" s="13"/>
      <c r="I1" s="13"/>
      <c r="J1" s="13"/>
      <c r="K1" s="13"/>
      <c r="L1" s="15"/>
    </row>
    <row r="2" spans="1:12" ht="15.6" hidden="1">
      <c r="A2" s="10"/>
      <c r="B2" s="11"/>
      <c r="C2" s="21"/>
      <c r="D2" s="21"/>
      <c r="E2" s="21"/>
      <c r="F2" s="21"/>
      <c r="L2" s="226"/>
    </row>
    <row r="3" spans="1:12" s="915" customFormat="1">
      <c r="A3" s="916"/>
      <c r="B3" s="917" t="s">
        <v>5</v>
      </c>
      <c r="C3" s="2127">
        <f>测算年份-4</f>
        <v>2014</v>
      </c>
      <c r="D3" s="2127">
        <f>测算年份-3</f>
        <v>2015</v>
      </c>
      <c r="E3" s="2127">
        <f>测算年份-2</f>
        <v>2016</v>
      </c>
      <c r="F3" s="2127">
        <f>测算年份-1</f>
        <v>2017</v>
      </c>
      <c r="G3" s="2128">
        <f>测算年份</f>
        <v>2018</v>
      </c>
      <c r="H3" s="2128">
        <f>假设!H3</f>
        <v>2019</v>
      </c>
      <c r="I3" s="2128">
        <f>假设!I3</f>
        <v>2020</v>
      </c>
      <c r="J3" s="2128">
        <f>假设!J3</f>
        <v>2021</v>
      </c>
      <c r="K3" s="2128">
        <f>假设!K3</f>
        <v>2022</v>
      </c>
      <c r="L3" s="918" t="s">
        <v>163</v>
      </c>
    </row>
    <row r="4" spans="1:12">
      <c r="A4" s="10"/>
      <c r="B4" s="27" t="s">
        <v>292</v>
      </c>
      <c r="C4" s="74"/>
      <c r="D4" s="74"/>
      <c r="E4" s="74"/>
      <c r="F4" s="74"/>
      <c r="G4" s="149"/>
      <c r="H4" s="1948"/>
      <c r="I4" s="1948"/>
      <c r="J4" s="1948"/>
      <c r="K4" s="1948"/>
      <c r="L4" s="227"/>
    </row>
    <row r="5" spans="1:12">
      <c r="B5" s="401" t="s">
        <v>187</v>
      </c>
      <c r="C5" s="402"/>
      <c r="D5" s="402"/>
      <c r="E5" s="402"/>
      <c r="F5" s="402"/>
      <c r="G5" s="403">
        <f ca="1">现金流量表!G20</f>
        <v>225.07111024761184</v>
      </c>
      <c r="H5" s="403">
        <f ca="1">现金流量表!H20</f>
        <v>192.4408330590376</v>
      </c>
      <c r="I5" s="403">
        <f ca="1">现金流量表!I20</f>
        <v>201.61506460834357</v>
      </c>
      <c r="J5" s="403">
        <f ca="1">现金流量表!J20</f>
        <v>203.26928556335164</v>
      </c>
      <c r="K5" s="403">
        <f ca="1">现金流量表!K20</f>
        <v>208.79030305642729</v>
      </c>
      <c r="L5" s="7" t="s">
        <v>738</v>
      </c>
    </row>
    <row r="6" spans="1:12">
      <c r="B6" s="404" t="s">
        <v>188</v>
      </c>
      <c r="C6" s="376"/>
      <c r="D6" s="376"/>
      <c r="E6" s="376"/>
      <c r="F6" s="376"/>
      <c r="G6" s="377">
        <f>现金流量表!G28</f>
        <v>-150.14290701063732</v>
      </c>
      <c r="H6" s="377">
        <f ca="1">现金流量表!H28</f>
        <v>-159.09829336786092</v>
      </c>
      <c r="I6" s="377">
        <f ca="1">现金流量表!I28</f>
        <v>-168.60693865494878</v>
      </c>
      <c r="J6" s="377">
        <f ca="1">现金流量表!J28</f>
        <v>-178.68923179525729</v>
      </c>
      <c r="K6" s="377">
        <f ca="1">现金流量表!K28</f>
        <v>-189.37703062756103</v>
      </c>
      <c r="L6" s="7" t="s">
        <v>739</v>
      </c>
    </row>
    <row r="7" spans="1:12">
      <c r="B7" s="404" t="s">
        <v>294</v>
      </c>
      <c r="C7" s="376"/>
      <c r="D7" s="376"/>
      <c r="E7" s="376"/>
      <c r="F7" s="376"/>
      <c r="G7" s="377">
        <f>现金流量表!G46</f>
        <v>162.28785960479999</v>
      </c>
      <c r="H7" s="377">
        <f ca="1">现金流量表!H46</f>
        <v>219.77373745139934</v>
      </c>
      <c r="I7" s="377">
        <f ca="1">现金流量表!I46</f>
        <v>247.18981227438232</v>
      </c>
      <c r="J7" s="377">
        <f ca="1">现金流量表!J46</f>
        <v>273.9018657169272</v>
      </c>
      <c r="K7" s="377">
        <f ca="1">现金流量表!K46</f>
        <v>291.62572047270271</v>
      </c>
      <c r="L7" s="32" t="s">
        <v>740</v>
      </c>
    </row>
    <row r="8" spans="1:12">
      <c r="B8" s="404" t="s">
        <v>288</v>
      </c>
      <c r="C8" s="376"/>
      <c r="D8" s="376"/>
      <c r="E8" s="376"/>
      <c r="F8" s="376"/>
      <c r="G8" s="377">
        <f>-资产负债表!F41</f>
        <v>-11.454000000000001</v>
      </c>
      <c r="H8" s="377">
        <f>-资产负债表!G41</f>
        <v>0</v>
      </c>
      <c r="I8" s="377">
        <f>-资产负债表!H41</f>
        <v>0</v>
      </c>
      <c r="J8" s="377">
        <f>-资产负债表!I41</f>
        <v>0</v>
      </c>
      <c r="K8" s="377">
        <f>-资产负债表!J41</f>
        <v>0</v>
      </c>
      <c r="L8" s="32" t="s">
        <v>741</v>
      </c>
    </row>
    <row r="9" spans="1:12">
      <c r="B9" s="404" t="s">
        <v>363</v>
      </c>
      <c r="C9" s="376"/>
      <c r="D9" s="376"/>
      <c r="E9" s="376"/>
      <c r="F9" s="376"/>
      <c r="G9" s="377">
        <f>债务!G7</f>
        <v>0</v>
      </c>
      <c r="H9" s="377">
        <f>债务!H7</f>
        <v>0</v>
      </c>
      <c r="I9" s="377">
        <f>债务!I7</f>
        <v>0</v>
      </c>
      <c r="J9" s="377">
        <f>债务!J7</f>
        <v>0</v>
      </c>
      <c r="K9" s="377">
        <f>债务!K7</f>
        <v>0</v>
      </c>
      <c r="L9" s="32" t="s">
        <v>742</v>
      </c>
    </row>
    <row r="10" spans="1:12">
      <c r="B10" s="404" t="s">
        <v>743</v>
      </c>
      <c r="C10" s="376"/>
      <c r="D10" s="376"/>
      <c r="E10" s="376"/>
      <c r="F10" s="376"/>
      <c r="G10" s="377">
        <f>+债务!G15</f>
        <v>0</v>
      </c>
      <c r="H10" s="377">
        <f>+债务!H15</f>
        <v>0</v>
      </c>
      <c r="I10" s="377">
        <f>+债务!I15</f>
        <v>0</v>
      </c>
      <c r="J10" s="377">
        <f>+债务!J15</f>
        <v>0</v>
      </c>
      <c r="K10" s="377">
        <f>+债务!K15</f>
        <v>0</v>
      </c>
      <c r="L10" s="32" t="s">
        <v>744</v>
      </c>
    </row>
    <row r="11" spans="1:12">
      <c r="B11" s="404" t="s">
        <v>192</v>
      </c>
      <c r="C11" s="376"/>
      <c r="D11" s="376"/>
      <c r="E11" s="376"/>
      <c r="F11" s="376"/>
      <c r="G11" s="377">
        <f ca="1">现金流量表!G32</f>
        <v>0.93587504064049842</v>
      </c>
      <c r="H11" s="377">
        <f ca="1">现金流量表!H32</f>
        <v>1.1481299223144541</v>
      </c>
      <c r="I11" s="377">
        <f ca="1">现金流量表!I32</f>
        <v>1.2834502429782739</v>
      </c>
      <c r="J11" s="377">
        <f ca="1">现金流量表!J32</f>
        <v>1.3945400134740746</v>
      </c>
      <c r="K11" s="377">
        <f ca="1">现金流量表!K32</f>
        <v>1.4687959079851665</v>
      </c>
      <c r="L11" s="32" t="s">
        <v>745</v>
      </c>
    </row>
    <row r="12" spans="1:12">
      <c r="B12" s="404" t="s">
        <v>273</v>
      </c>
      <c r="C12" s="376"/>
      <c r="D12" s="376"/>
      <c r="E12" s="376"/>
      <c r="F12" s="376"/>
      <c r="G12" s="377">
        <f ca="1">现金流量表!G33</f>
        <v>2.2118864226476208E-2</v>
      </c>
      <c r="H12" s="377">
        <f ca="1">现金流量表!H33</f>
        <v>1.6050764727578881E-2</v>
      </c>
      <c r="I12" s="377">
        <f ca="1">现金流量表!I33</f>
        <v>1.0568016379408726E-2</v>
      </c>
      <c r="J12" s="377">
        <f ca="1">现金流量表!J33</f>
        <v>8.4538623170513777E-3</v>
      </c>
      <c r="K12" s="377">
        <f ca="1">现金流量表!K33</f>
        <v>5.758531970191938E-3</v>
      </c>
      <c r="L12" s="32" t="s">
        <v>746</v>
      </c>
    </row>
    <row r="13" spans="1:12">
      <c r="B13" s="404" t="s">
        <v>747</v>
      </c>
      <c r="C13" s="376"/>
      <c r="D13" s="376"/>
      <c r="E13" s="376"/>
      <c r="F13" s="376"/>
      <c r="G13" s="377">
        <f>现金流量表!G36</f>
        <v>-6.946319295242132</v>
      </c>
      <c r="H13" s="377">
        <f ca="1">现金流量表!H36</f>
        <v>-7.0906455552357253</v>
      </c>
      <c r="I13" s="377">
        <f ca="1">现金流量表!I36</f>
        <v>-7.5900907702075653</v>
      </c>
      <c r="J13" s="377">
        <f ca="1">现金流量表!J36</f>
        <v>-8.2591928881100127</v>
      </c>
      <c r="K13" s="377">
        <f ca="1">现金流量表!K36</f>
        <v>-8.9093238201601235</v>
      </c>
      <c r="L13" s="32" t="s">
        <v>748</v>
      </c>
    </row>
    <row r="14" spans="1:12" ht="15" thickBot="1">
      <c r="B14" s="443" t="s">
        <v>289</v>
      </c>
      <c r="C14" s="410"/>
      <c r="D14" s="410"/>
      <c r="E14" s="410"/>
      <c r="F14" s="410"/>
      <c r="G14" s="409">
        <f>现金流量表!G38</f>
        <v>0</v>
      </c>
      <c r="H14" s="409">
        <f>现金流量表!H38</f>
        <v>0</v>
      </c>
      <c r="I14" s="409">
        <f>现金流量表!I38</f>
        <v>0</v>
      </c>
      <c r="J14" s="409">
        <f>现金流量表!J38</f>
        <v>0</v>
      </c>
      <c r="K14" s="409">
        <f>现金流量表!K38</f>
        <v>0</v>
      </c>
      <c r="L14" s="264" t="s">
        <v>749</v>
      </c>
    </row>
    <row r="15" spans="1:12">
      <c r="B15" s="442" t="s">
        <v>290</v>
      </c>
      <c r="C15" s="408"/>
      <c r="D15" s="408"/>
      <c r="E15" s="408"/>
      <c r="F15" s="408"/>
      <c r="G15" s="407">
        <f ca="1">SUM(G5:G14)</f>
        <v>219.77373745139937</v>
      </c>
      <c r="H15" s="407">
        <f t="shared" ref="H15:K15" ca="1" si="0">SUM(H5:H14)</f>
        <v>247.18981227438232</v>
      </c>
      <c r="I15" s="407">
        <f t="shared" ca="1" si="0"/>
        <v>273.90186571692726</v>
      </c>
      <c r="J15" s="407">
        <f t="shared" ca="1" si="0"/>
        <v>291.6257204727026</v>
      </c>
      <c r="K15" s="407">
        <f t="shared" ca="1" si="0"/>
        <v>303.60422352136419</v>
      </c>
    </row>
    <row r="16" spans="1:12">
      <c r="B16" s="404" t="s">
        <v>291</v>
      </c>
      <c r="C16" s="376"/>
      <c r="D16" s="376"/>
      <c r="E16" s="376"/>
      <c r="F16" s="376"/>
      <c r="G16" s="377">
        <f>债务!G29</f>
        <v>121.42590521279999</v>
      </c>
      <c r="H16" s="377">
        <f>债务!H29</f>
        <v>121.42590521279999</v>
      </c>
      <c r="I16" s="377">
        <f>债务!I29</f>
        <v>121.42590521279999</v>
      </c>
      <c r="J16" s="377">
        <f>债务!J29</f>
        <v>121.42590521279999</v>
      </c>
      <c r="K16" s="377">
        <f>债务!K29</f>
        <v>121.42590521279999</v>
      </c>
    </row>
    <row r="17" spans="2:13">
      <c r="B17" s="439" t="s">
        <v>293</v>
      </c>
      <c r="C17" s="440"/>
      <c r="D17" s="440"/>
      <c r="E17" s="440"/>
      <c r="F17" s="440"/>
      <c r="G17" s="441">
        <f ca="1">IF(循环开关="on",MIN(G15-G16,0),0)</f>
        <v>0</v>
      </c>
      <c r="H17" s="441">
        <f ca="1">IF(循环开关="on",MIN(H15-H16,0),0)</f>
        <v>0</v>
      </c>
      <c r="I17" s="441">
        <f ca="1">IF(循环开关="on",MIN(I15-I16,0),0)</f>
        <v>0</v>
      </c>
      <c r="J17" s="441">
        <f ca="1">IF(循环开关="on",MIN(J15-J16,0),0)</f>
        <v>0</v>
      </c>
      <c r="K17" s="441">
        <f ca="1">IF(循环开关="on",MIN(K15-K16,0),0)</f>
        <v>0</v>
      </c>
      <c r="L17" s="7" t="s">
        <v>737</v>
      </c>
      <c r="M17" s="7" t="s">
        <v>1834</v>
      </c>
    </row>
    <row r="18" spans="2:13">
      <c r="G18" s="546">
        <f ca="1">IF(循环开关="on",MIN(G15-G16,0),0)</f>
        <v>0</v>
      </c>
    </row>
    <row r="19" spans="2:13">
      <c r="G19" s="7">
        <f ca="1">IF(循环开关="on",G15-G16,0)</f>
        <v>98.347832238599381</v>
      </c>
    </row>
  </sheetData>
  <phoneticPr fontId="20" type="noConversion"/>
  <printOptions horizontalCentered="1"/>
  <pageMargins left="0.70866141732283472" right="0.70866141732283472" top="0.74803149606299213" bottom="0.74803149606299213" header="0.31496062992125984" footer="0.31496062992125984"/>
  <pageSetup paperSize="9" orientation="landscape"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7">
    <tabColor theme="8" tint="-0.249977111117893"/>
  </sheetPr>
  <dimension ref="A1"/>
  <sheetViews>
    <sheetView showGridLines="0" workbookViewId="0">
      <selection activeCell="K8" sqref="K8"/>
    </sheetView>
  </sheetViews>
  <sheetFormatPr defaultRowHeight="14.4"/>
  <sheetData/>
  <phoneticPr fontId="20" type="noConversion"/>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16">
    <tabColor theme="9" tint="0.59999389629810485"/>
    <pageSetUpPr fitToPage="1"/>
  </sheetPr>
  <dimension ref="A1:Q69"/>
  <sheetViews>
    <sheetView showGridLines="0" zoomScaleNormal="100" zoomScalePageLayoutView="70" workbookViewId="0">
      <pane xSplit="2" ySplit="3" topLeftCell="E91" activePane="bottomRight" state="frozen"/>
      <selection activeCell="K8" sqref="K8"/>
      <selection pane="topRight" activeCell="K8" sqref="K8"/>
      <selection pane="bottomLeft" activeCell="K8" sqref="K8"/>
      <selection pane="bottomRight" activeCell="B3" sqref="B3:P147"/>
    </sheetView>
  </sheetViews>
  <sheetFormatPr defaultColWidth="8.77734375" defaultRowHeight="15" outlineLevelCol="1"/>
  <cols>
    <col min="1" max="1" width="6.44140625" style="1192" customWidth="1"/>
    <col min="2" max="2" width="50.6640625" style="1192" bestFit="1" customWidth="1"/>
    <col min="3" max="4" width="13.77734375" style="1192" hidden="1" customWidth="1" outlineLevel="1"/>
    <col min="5" max="5" width="13.77734375" style="1192" customWidth="1" collapsed="1"/>
    <col min="6" max="8" width="13.77734375" style="1192" customWidth="1"/>
    <col min="9" max="16" width="13.77734375" style="1192" hidden="1" customWidth="1" outlineLevel="1"/>
    <col min="17" max="17" width="15.6640625" style="1192" customWidth="1" collapsed="1"/>
    <col min="18" max="16384" width="8.77734375" style="1192"/>
  </cols>
  <sheetData>
    <row r="1" spans="1:16">
      <c r="A1" s="1191"/>
      <c r="B1" s="1003" t="s">
        <v>693</v>
      </c>
      <c r="C1" s="1235"/>
      <c r="D1" s="1191"/>
      <c r="E1" s="1191"/>
      <c r="F1" s="1191"/>
      <c r="G1" s="1191"/>
      <c r="H1" s="1191"/>
      <c r="I1" s="1191"/>
      <c r="J1" s="1191"/>
      <c r="K1" s="1191"/>
      <c r="L1" s="1191"/>
      <c r="M1" s="1191"/>
      <c r="N1" s="1191"/>
      <c r="O1" s="1191"/>
      <c r="P1" s="1191"/>
    </row>
    <row r="2" spans="1:16" ht="15.6">
      <c r="A2" s="1193"/>
      <c r="B2" s="1194"/>
      <c r="C2" s="1195"/>
      <c r="D2" s="1195"/>
      <c r="E2" s="1195"/>
      <c r="F2" s="1195"/>
      <c r="G2" s="1195"/>
      <c r="H2" s="1242" t="s">
        <v>1170</v>
      </c>
      <c r="I2" s="1195"/>
      <c r="J2" s="1195"/>
    </row>
    <row r="3" spans="1:16" s="1199" customFormat="1" ht="15.6">
      <c r="A3" s="1242" t="s">
        <v>1013</v>
      </c>
      <c r="B3" s="1197" t="s">
        <v>314</v>
      </c>
      <c r="C3" s="1198">
        <v>2012</v>
      </c>
      <c r="D3" s="1198">
        <v>2013</v>
      </c>
      <c r="E3" s="1198">
        <v>2014</v>
      </c>
      <c r="F3" s="1198">
        <v>2015</v>
      </c>
      <c r="G3" s="1198">
        <v>2016</v>
      </c>
      <c r="H3" s="1198">
        <v>2017</v>
      </c>
      <c r="I3" s="1198">
        <v>2018</v>
      </c>
      <c r="J3" s="1198">
        <v>2019</v>
      </c>
      <c r="K3" s="1198">
        <v>2020</v>
      </c>
      <c r="L3" s="1198">
        <v>2021</v>
      </c>
      <c r="M3" s="1198">
        <v>2022</v>
      </c>
      <c r="N3" s="1198">
        <v>2023</v>
      </c>
      <c r="O3" s="1198">
        <v>2024</v>
      </c>
      <c r="P3" s="1198">
        <v>2025</v>
      </c>
    </row>
    <row r="4" spans="1:16" s="1204" customFormat="1" ht="15.6">
      <c r="A4" s="1334"/>
      <c r="B4" s="1341" t="s">
        <v>73</v>
      </c>
      <c r="C4" s="1240"/>
      <c r="D4" s="1240"/>
      <c r="E4" s="1240">
        <v>0</v>
      </c>
      <c r="F4" s="1240">
        <v>0</v>
      </c>
      <c r="G4" s="1255">
        <v>0</v>
      </c>
      <c r="H4" s="1359">
        <v>0</v>
      </c>
      <c r="I4" s="1350"/>
      <c r="J4" s="1350"/>
      <c r="K4" s="1350"/>
      <c r="L4" s="1350"/>
      <c r="M4" s="1350"/>
      <c r="N4" s="1350"/>
      <c r="O4" s="1350"/>
      <c r="P4" s="1350"/>
    </row>
    <row r="5" spans="1:16">
      <c r="A5" s="1338" t="s">
        <v>1031</v>
      </c>
      <c r="B5" s="1342" t="s">
        <v>6</v>
      </c>
      <c r="C5" s="1331"/>
      <c r="D5" s="1331"/>
      <c r="E5" s="1331">
        <v>89.522596727199996</v>
      </c>
      <c r="F5" s="1331">
        <v>107.65935087850001</v>
      </c>
      <c r="G5" s="1331">
        <v>126.23381364069999</v>
      </c>
      <c r="H5" s="1331">
        <v>162.28785960479999</v>
      </c>
      <c r="I5" s="1241"/>
      <c r="J5" s="1241"/>
      <c r="K5" s="1241"/>
      <c r="L5" s="1241"/>
      <c r="M5" s="1241"/>
      <c r="N5" s="1241"/>
      <c r="O5" s="1241"/>
      <c r="P5" s="1241"/>
    </row>
    <row r="6" spans="1:16" s="1204" customFormat="1" ht="15.6">
      <c r="A6" s="1338" t="s">
        <v>1031</v>
      </c>
      <c r="B6" s="1342" t="s">
        <v>335</v>
      </c>
      <c r="C6" s="1331"/>
      <c r="D6" s="1331"/>
      <c r="E6" s="1331">
        <v>5.3954805315000005</v>
      </c>
      <c r="F6" s="1331">
        <v>3.4855679111</v>
      </c>
      <c r="G6" s="1331">
        <v>4.2035258193999994</v>
      </c>
      <c r="H6" s="1331">
        <v>4.7360659083999996</v>
      </c>
      <c r="I6" s="1238"/>
      <c r="J6" s="1238"/>
      <c r="K6" s="1238"/>
      <c r="L6" s="1238"/>
      <c r="M6" s="1238"/>
      <c r="N6" s="1238"/>
      <c r="O6" s="1238"/>
      <c r="P6" s="1238"/>
    </row>
    <row r="7" spans="1:16">
      <c r="A7" s="1338" t="s">
        <v>1031</v>
      </c>
      <c r="B7" s="1342" t="s">
        <v>160</v>
      </c>
      <c r="C7" s="1331"/>
      <c r="D7" s="1331"/>
      <c r="E7" s="1331">
        <v>3.7662921479000002</v>
      </c>
      <c r="F7" s="1331">
        <v>17.036731602</v>
      </c>
      <c r="G7" s="1331">
        <v>2.3471658267</v>
      </c>
      <c r="H7" s="1331">
        <v>2.6679724946999999</v>
      </c>
      <c r="I7" s="1241"/>
      <c r="J7" s="1241"/>
      <c r="K7" s="1241"/>
      <c r="L7" s="1241"/>
      <c r="M7" s="1241"/>
      <c r="N7" s="1241"/>
      <c r="O7" s="1241"/>
      <c r="P7" s="1241"/>
    </row>
    <row r="8" spans="1:16">
      <c r="A8" s="1338" t="s">
        <v>1031</v>
      </c>
      <c r="B8" s="1342" t="s">
        <v>396</v>
      </c>
      <c r="C8" s="1331"/>
      <c r="D8" s="1331"/>
      <c r="E8" s="1331">
        <v>32.228979067099999</v>
      </c>
      <c r="F8" s="1331">
        <v>36.706841884299998</v>
      </c>
      <c r="G8" s="1331">
        <v>56.0319517549</v>
      </c>
      <c r="H8" s="1331">
        <v>30.355245955800001</v>
      </c>
      <c r="I8" s="1241"/>
      <c r="J8" s="1241"/>
      <c r="K8" s="1241"/>
      <c r="L8" s="1241"/>
      <c r="M8" s="1241"/>
      <c r="N8" s="1241"/>
      <c r="O8" s="1241"/>
      <c r="P8" s="1241"/>
    </row>
    <row r="9" spans="1:16">
      <c r="A9" s="1338" t="s">
        <v>1031</v>
      </c>
      <c r="B9" s="1342" t="s">
        <v>8</v>
      </c>
      <c r="C9" s="1331"/>
      <c r="D9" s="1331"/>
      <c r="E9" s="1331">
        <v>6.6785011347000003</v>
      </c>
      <c r="F9" s="1331">
        <v>5.1855814192</v>
      </c>
      <c r="G9" s="1331">
        <v>4.6764850181000002</v>
      </c>
      <c r="H9" s="1331">
        <v>4.0062520119</v>
      </c>
      <c r="I9" s="1241"/>
      <c r="J9" s="1241"/>
      <c r="K9" s="1241"/>
      <c r="L9" s="1241"/>
      <c r="M9" s="1241"/>
      <c r="N9" s="1241"/>
      <c r="O9" s="1241"/>
      <c r="P9" s="1241"/>
    </row>
    <row r="10" spans="1:16">
      <c r="A10" s="1338" t="s">
        <v>1010</v>
      </c>
      <c r="B10" s="1358" t="s">
        <v>1944</v>
      </c>
      <c r="C10" s="1331"/>
      <c r="D10" s="1331"/>
      <c r="E10" s="1331">
        <v>0</v>
      </c>
      <c r="F10" s="1331">
        <v>0</v>
      </c>
      <c r="G10" s="1331">
        <v>2</v>
      </c>
      <c r="H10" s="1331">
        <v>29</v>
      </c>
      <c r="I10" s="1241"/>
      <c r="J10" s="1241"/>
      <c r="K10" s="1241"/>
      <c r="L10" s="1241"/>
      <c r="M10" s="1241"/>
      <c r="N10" s="1241"/>
      <c r="O10" s="1241"/>
      <c r="P10" s="1241"/>
    </row>
    <row r="11" spans="1:16">
      <c r="A11" s="1338" t="s">
        <v>1034</v>
      </c>
      <c r="B11" s="1342" t="s">
        <v>161</v>
      </c>
      <c r="C11" s="1361"/>
      <c r="D11" s="1361"/>
      <c r="E11" s="1362">
        <v>0</v>
      </c>
      <c r="F11" s="1362">
        <v>0</v>
      </c>
      <c r="G11" s="1362">
        <v>0.36885559070000001</v>
      </c>
      <c r="H11" s="1362">
        <v>0.34329129609999998</v>
      </c>
      <c r="I11" s="1351">
        <f t="shared" ref="I11:P11" si="0">I12-SUM(I5:I9)</f>
        <v>0</v>
      </c>
      <c r="J11" s="1351">
        <f t="shared" si="0"/>
        <v>0</v>
      </c>
      <c r="K11" s="1351">
        <f t="shared" si="0"/>
        <v>0</v>
      </c>
      <c r="L11" s="1351">
        <f t="shared" si="0"/>
        <v>0</v>
      </c>
      <c r="M11" s="1351">
        <f t="shared" si="0"/>
        <v>0</v>
      </c>
      <c r="N11" s="1351">
        <f t="shared" si="0"/>
        <v>0</v>
      </c>
      <c r="O11" s="1351">
        <f t="shared" si="0"/>
        <v>0</v>
      </c>
      <c r="P11" s="1351">
        <f t="shared" si="0"/>
        <v>0</v>
      </c>
    </row>
    <row r="12" spans="1:16" ht="15.6">
      <c r="A12" s="1338" t="s">
        <v>1031</v>
      </c>
      <c r="B12" s="1343" t="s">
        <v>180</v>
      </c>
      <c r="C12" s="1331"/>
      <c r="D12" s="1331"/>
      <c r="E12" s="1331">
        <v>137.5918496084</v>
      </c>
      <c r="F12" s="1331">
        <v>170.0740736951</v>
      </c>
      <c r="G12" s="1331">
        <v>195.86179765049999</v>
      </c>
      <c r="H12" s="1331">
        <v>233.39668727169999</v>
      </c>
      <c r="I12" s="1241"/>
      <c r="J12" s="1241"/>
      <c r="K12" s="1241"/>
      <c r="L12" s="1241"/>
      <c r="M12" s="1241"/>
      <c r="N12" s="1241"/>
      <c r="O12" s="1241"/>
      <c r="P12" s="1241"/>
    </row>
    <row r="13" spans="1:16" ht="15.6">
      <c r="A13" s="1334"/>
      <c r="B13" s="1344" t="s">
        <v>714</v>
      </c>
      <c r="C13" s="1240"/>
      <c r="D13" s="1240"/>
      <c r="E13" s="1240">
        <v>0</v>
      </c>
      <c r="F13" s="1240">
        <v>0</v>
      </c>
      <c r="G13" s="1255">
        <v>0</v>
      </c>
      <c r="H13" s="1360">
        <v>0</v>
      </c>
      <c r="I13" s="1241"/>
      <c r="J13" s="1241"/>
      <c r="K13" s="1241"/>
      <c r="L13" s="1241"/>
      <c r="M13" s="1241"/>
      <c r="N13" s="1241"/>
      <c r="O13" s="1241"/>
      <c r="P13" s="1241"/>
    </row>
    <row r="14" spans="1:16">
      <c r="A14" s="1338" t="s">
        <v>1031</v>
      </c>
      <c r="B14" s="1345" t="s">
        <v>132</v>
      </c>
      <c r="C14" s="1331"/>
      <c r="D14" s="1331"/>
      <c r="E14" s="1331">
        <v>5.7030332894000004</v>
      </c>
      <c r="F14" s="1331">
        <v>5.9390722779999994</v>
      </c>
      <c r="G14" s="1331">
        <v>6.8351227810999999</v>
      </c>
      <c r="H14" s="1331">
        <v>7.0235327811000001</v>
      </c>
      <c r="I14" s="1241"/>
      <c r="J14" s="1241"/>
      <c r="K14" s="1241"/>
      <c r="L14" s="1241"/>
      <c r="M14" s="1241"/>
      <c r="N14" s="1241"/>
      <c r="O14" s="1241"/>
      <c r="P14" s="1241"/>
    </row>
    <row r="15" spans="1:16">
      <c r="A15" s="1338" t="s">
        <v>1031</v>
      </c>
      <c r="B15" s="1345" t="s">
        <v>27</v>
      </c>
      <c r="C15" s="1331"/>
      <c r="D15" s="1331"/>
      <c r="E15" s="1331">
        <v>40</v>
      </c>
      <c r="F15" s="1331">
        <v>38</v>
      </c>
      <c r="G15" s="1331">
        <v>29</v>
      </c>
      <c r="H15" s="1331">
        <v>2</v>
      </c>
      <c r="I15" s="1241"/>
      <c r="J15" s="1241"/>
      <c r="K15" s="1241"/>
      <c r="L15" s="1241"/>
      <c r="M15" s="1241"/>
      <c r="N15" s="1241"/>
      <c r="O15" s="1241"/>
      <c r="P15" s="1241"/>
    </row>
    <row r="16" spans="1:16">
      <c r="A16" s="1338" t="s">
        <v>1031</v>
      </c>
      <c r="B16" s="1345" t="s">
        <v>99</v>
      </c>
      <c r="C16" s="1331"/>
      <c r="D16" s="1331"/>
      <c r="E16" s="1331">
        <v>18.805424873699998</v>
      </c>
      <c r="F16" s="1331">
        <v>19.846321312499999</v>
      </c>
      <c r="G16" s="1331">
        <v>20.902917016</v>
      </c>
      <c r="H16" s="1331">
        <v>19.554463674400001</v>
      </c>
      <c r="I16" s="1241"/>
      <c r="J16" s="1241"/>
      <c r="K16" s="1241"/>
      <c r="L16" s="1241"/>
      <c r="M16" s="1241"/>
      <c r="N16" s="1241"/>
      <c r="O16" s="1241"/>
      <c r="P16" s="1241"/>
    </row>
    <row r="17" spans="1:16">
      <c r="A17" s="1338" t="s">
        <v>1010</v>
      </c>
      <c r="B17" s="1363" t="s">
        <v>1945</v>
      </c>
      <c r="C17" s="1331"/>
      <c r="D17" s="1331"/>
      <c r="E17" s="1331">
        <v>1.0950547556999999</v>
      </c>
      <c r="F17" s="1331">
        <v>0.98421689180000005</v>
      </c>
      <c r="G17" s="1331">
        <v>0.89942380919999998</v>
      </c>
      <c r="H17" s="1331">
        <v>0.81490690060000004</v>
      </c>
      <c r="I17" s="1241"/>
      <c r="J17" s="1241"/>
      <c r="K17" s="1241"/>
      <c r="L17" s="1241"/>
      <c r="M17" s="1241"/>
      <c r="N17" s="1241"/>
      <c r="O17" s="1241"/>
      <c r="P17" s="1241"/>
    </row>
    <row r="18" spans="1:16">
      <c r="A18" s="1338" t="s">
        <v>1010</v>
      </c>
      <c r="B18" s="1345" t="s">
        <v>22</v>
      </c>
      <c r="C18" s="1331"/>
      <c r="D18" s="1331"/>
      <c r="E18" s="1331">
        <v>2410.1879499509</v>
      </c>
      <c r="F18" s="1331">
        <v>2607.7860514785002</v>
      </c>
      <c r="G18" s="1331">
        <v>2895.7713315095002</v>
      </c>
      <c r="H18" s="1331">
        <v>2985.2999820478999</v>
      </c>
      <c r="I18" s="1241"/>
      <c r="J18" s="1241"/>
      <c r="K18" s="1241"/>
      <c r="L18" s="1241"/>
      <c r="M18" s="1241"/>
      <c r="N18" s="1241"/>
      <c r="O18" s="1241"/>
      <c r="P18" s="1241"/>
    </row>
    <row r="19" spans="1:16">
      <c r="A19" s="1338" t="s">
        <v>1010</v>
      </c>
      <c r="B19" s="1346" t="s">
        <v>26</v>
      </c>
      <c r="C19" s="1331"/>
      <c r="D19" s="1331"/>
      <c r="E19" s="1331">
        <v>1212.7171050228999</v>
      </c>
      <c r="F19" s="1331">
        <v>1337.9460916466999</v>
      </c>
      <c r="G19" s="1331">
        <v>1464.9090454992001</v>
      </c>
      <c r="H19" s="1331">
        <v>1607.5122100370002</v>
      </c>
      <c r="I19" s="1241"/>
      <c r="J19" s="1241"/>
      <c r="K19" s="1241"/>
      <c r="L19" s="1241"/>
      <c r="M19" s="1241"/>
      <c r="N19" s="1241"/>
      <c r="O19" s="1241"/>
      <c r="P19" s="1241"/>
    </row>
    <row r="20" spans="1:16">
      <c r="A20" s="1338" t="s">
        <v>1010</v>
      </c>
      <c r="B20" s="1346" t="s">
        <v>24</v>
      </c>
      <c r="C20" s="1331"/>
      <c r="D20" s="1331"/>
      <c r="E20" s="1331">
        <v>1197.4708449280001</v>
      </c>
      <c r="F20" s="1331">
        <v>1269.8399598317999</v>
      </c>
      <c r="G20" s="1331">
        <v>1430.8622860103001</v>
      </c>
      <c r="H20" s="1331">
        <v>1377.7877720109</v>
      </c>
      <c r="I20" s="1241"/>
      <c r="J20" s="1241"/>
      <c r="K20" s="1241"/>
      <c r="L20" s="1241"/>
      <c r="M20" s="1241"/>
      <c r="N20" s="1241"/>
      <c r="O20" s="1241"/>
      <c r="P20" s="1241"/>
    </row>
    <row r="21" spans="1:16">
      <c r="A21" s="1338" t="s">
        <v>1010</v>
      </c>
      <c r="B21" s="1346" t="s">
        <v>133</v>
      </c>
      <c r="C21" s="1331"/>
      <c r="D21" s="1331"/>
      <c r="E21" s="1331">
        <v>0.13129785250000001</v>
      </c>
      <c r="F21" s="1331">
        <v>0.13129785250000001</v>
      </c>
      <c r="G21" s="1331">
        <v>0.13129785250000001</v>
      </c>
      <c r="H21" s="1331">
        <v>0.13129785250000001</v>
      </c>
      <c r="I21" s="1241"/>
      <c r="J21" s="1241"/>
      <c r="K21" s="1241"/>
      <c r="L21" s="1241"/>
      <c r="M21" s="1241"/>
      <c r="N21" s="1241"/>
      <c r="O21" s="1241"/>
      <c r="P21" s="1241"/>
    </row>
    <row r="22" spans="1:16">
      <c r="A22" s="1338" t="s">
        <v>1010</v>
      </c>
      <c r="B22" s="1346" t="s">
        <v>11</v>
      </c>
      <c r="C22" s="1331"/>
      <c r="D22" s="1331"/>
      <c r="E22" s="1331">
        <v>1197.3395470754999</v>
      </c>
      <c r="F22" s="1331">
        <v>1269.7086619792999</v>
      </c>
      <c r="G22" s="1331">
        <v>1430.7309881578001</v>
      </c>
      <c r="H22" s="1331">
        <f>1377.6564741584+0.00279611650012157</f>
        <v>1377.6592702749001</v>
      </c>
      <c r="I22" s="1241"/>
      <c r="J22" s="1241"/>
      <c r="K22" s="1241"/>
      <c r="L22" s="1241"/>
      <c r="M22" s="1241"/>
      <c r="N22" s="1241"/>
      <c r="O22" s="1241"/>
      <c r="P22" s="1241"/>
    </row>
    <row r="23" spans="1:16">
      <c r="A23" s="1338" t="s">
        <v>1010</v>
      </c>
      <c r="B23" s="1364" t="s">
        <v>1946</v>
      </c>
      <c r="C23" s="1331"/>
      <c r="D23" s="1331"/>
      <c r="E23" s="1331">
        <v>0.35542515060000002</v>
      </c>
      <c r="F23" s="1331">
        <v>2.9650549543999998</v>
      </c>
      <c r="G23" s="1331">
        <v>2.7096246299999998E-2</v>
      </c>
      <c r="H23" s="1331">
        <v>2.4070785899999999E-2</v>
      </c>
      <c r="I23" s="1241"/>
      <c r="J23" s="1241"/>
      <c r="K23" s="1241"/>
      <c r="L23" s="1241"/>
      <c r="M23" s="1241"/>
      <c r="N23" s="1241"/>
      <c r="O23" s="1241"/>
      <c r="P23" s="1241"/>
    </row>
    <row r="24" spans="1:16">
      <c r="A24" s="1338" t="s">
        <v>1031</v>
      </c>
      <c r="B24" s="1345" t="s">
        <v>12</v>
      </c>
      <c r="C24" s="1331"/>
      <c r="D24" s="1331"/>
      <c r="E24" s="1331">
        <v>192.4820082693</v>
      </c>
      <c r="F24" s="1331">
        <v>291.88806595569997</v>
      </c>
      <c r="G24" s="1331">
        <v>219.95465513869999</v>
      </c>
      <c r="H24" s="1331">
        <v>232.11039270720002</v>
      </c>
      <c r="I24" s="1241"/>
      <c r="J24" s="1241"/>
      <c r="K24" s="1241"/>
      <c r="L24" s="1241"/>
      <c r="M24" s="1241"/>
      <c r="N24" s="1241"/>
      <c r="O24" s="1241"/>
      <c r="P24" s="1241"/>
    </row>
    <row r="25" spans="1:16">
      <c r="A25" s="1338" t="s">
        <v>1031</v>
      </c>
      <c r="B25" s="1345" t="s">
        <v>13</v>
      </c>
      <c r="C25" s="1331"/>
      <c r="D25" s="1331"/>
      <c r="E25" s="1331">
        <v>2.6763003272999999</v>
      </c>
      <c r="F25" s="1331">
        <v>2.6546278390999998</v>
      </c>
      <c r="G25" s="1331">
        <v>2.9005864921</v>
      </c>
      <c r="H25" s="1331">
        <v>2.8764600336999999</v>
      </c>
      <c r="I25" s="1241"/>
      <c r="J25" s="1241"/>
      <c r="K25" s="1241"/>
      <c r="L25" s="1241"/>
      <c r="M25" s="1241"/>
      <c r="N25" s="1241"/>
      <c r="O25" s="1241"/>
      <c r="P25" s="1241"/>
    </row>
    <row r="26" spans="1:16">
      <c r="A26" s="1338" t="s">
        <v>1010</v>
      </c>
      <c r="B26" s="1363" t="s">
        <v>1947</v>
      </c>
      <c r="C26" s="1331"/>
      <c r="D26" s="1331"/>
      <c r="E26" s="1331">
        <v>0.12110991939999999</v>
      </c>
      <c r="F26" s="1331">
        <v>8.7317911499999998E-2</v>
      </c>
      <c r="G26" s="1331">
        <v>4.8842389999999999E-2</v>
      </c>
      <c r="H26" s="1331">
        <v>0.1225035736</v>
      </c>
      <c r="I26" s="1241"/>
      <c r="J26" s="1241"/>
      <c r="K26" s="1241"/>
      <c r="L26" s="1241"/>
      <c r="M26" s="1241"/>
      <c r="N26" s="1241"/>
      <c r="O26" s="1241"/>
      <c r="P26" s="1241"/>
    </row>
    <row r="27" spans="1:16">
      <c r="A27" s="1338" t="s">
        <v>1010</v>
      </c>
      <c r="B27" s="1363" t="s">
        <v>1948</v>
      </c>
      <c r="C27" s="1331"/>
      <c r="D27" s="1331"/>
      <c r="E27" s="1331">
        <v>4.1294795283000001</v>
      </c>
      <c r="F27" s="1331">
        <v>4.1608683447999999</v>
      </c>
      <c r="G27" s="1331">
        <v>4.3125470448000005</v>
      </c>
      <c r="H27" s="1331">
        <v>4.4901149124000002</v>
      </c>
      <c r="I27" s="1241"/>
      <c r="J27" s="1241"/>
      <c r="K27" s="1241"/>
      <c r="L27" s="1241"/>
      <c r="M27" s="1241"/>
      <c r="N27" s="1241"/>
      <c r="O27" s="1241"/>
      <c r="P27" s="1241"/>
    </row>
    <row r="28" spans="1:16">
      <c r="A28" s="1338" t="s">
        <v>1034</v>
      </c>
      <c r="B28" s="1345" t="s">
        <v>92</v>
      </c>
      <c r="C28" s="1351">
        <f>C29-SUM(C14:C16,C22:C25)</f>
        <v>0</v>
      </c>
      <c r="D28" s="1351">
        <f t="shared" ref="D28" si="1">D29-SUM(D14:D16,D22:D25)</f>
        <v>0</v>
      </c>
      <c r="E28" s="1351">
        <v>0</v>
      </c>
      <c r="F28" s="1351">
        <v>0</v>
      </c>
      <c r="G28" s="1351">
        <v>0</v>
      </c>
      <c r="H28" s="1100">
        <v>0</v>
      </c>
      <c r="I28" s="1351">
        <f t="shared" ref="I28:P28" si="2">I29-SUM(I14:I16,I22:I25)</f>
        <v>0</v>
      </c>
      <c r="J28" s="1351">
        <f t="shared" si="2"/>
        <v>0</v>
      </c>
      <c r="K28" s="1351">
        <f t="shared" si="2"/>
        <v>0</v>
      </c>
      <c r="L28" s="1351">
        <f t="shared" si="2"/>
        <v>0</v>
      </c>
      <c r="M28" s="1351">
        <f t="shared" si="2"/>
        <v>0</v>
      </c>
      <c r="N28" s="1351">
        <f t="shared" si="2"/>
        <v>0</v>
      </c>
      <c r="O28" s="1351">
        <f t="shared" si="2"/>
        <v>0</v>
      </c>
      <c r="P28" s="1351">
        <f t="shared" si="2"/>
        <v>0</v>
      </c>
    </row>
    <row r="29" spans="1:16" ht="15.6">
      <c r="A29" s="1338" t="s">
        <v>1031</v>
      </c>
      <c r="B29" s="1341" t="s">
        <v>74</v>
      </c>
      <c r="C29" s="1331"/>
      <c r="D29" s="1331"/>
      <c r="E29" s="1331">
        <v>1462.7073831892001</v>
      </c>
      <c r="F29" s="1331">
        <v>1636.2342074670998</v>
      </c>
      <c r="G29" s="1331">
        <v>1715.6121790760001</v>
      </c>
      <c r="H29" s="1331">
        <v>1646.6757156438</v>
      </c>
      <c r="I29" s="1241"/>
      <c r="J29" s="1241"/>
      <c r="K29" s="1241"/>
      <c r="L29" s="1241"/>
      <c r="M29" s="1241"/>
      <c r="N29" s="1241"/>
      <c r="O29" s="1241"/>
      <c r="P29" s="1241"/>
    </row>
    <row r="30" spans="1:16" ht="15.6">
      <c r="A30" s="1338" t="s">
        <v>1031</v>
      </c>
      <c r="B30" s="1343" t="s">
        <v>316</v>
      </c>
      <c r="C30" s="1331"/>
      <c r="D30" s="1331"/>
      <c r="E30" s="1331">
        <v>1600.2992327976001</v>
      </c>
      <c r="F30" s="1331">
        <v>1806.3082811622</v>
      </c>
      <c r="G30" s="1331">
        <v>1911.4739767265</v>
      </c>
      <c r="H30" s="1331">
        <v>1880.0724029154999</v>
      </c>
      <c r="I30" s="1241"/>
      <c r="J30" s="1241"/>
      <c r="K30" s="1241"/>
      <c r="L30" s="1241"/>
      <c r="M30" s="1241"/>
      <c r="N30" s="1241"/>
      <c r="O30" s="1241"/>
      <c r="P30" s="1241"/>
    </row>
    <row r="31" spans="1:16">
      <c r="A31" s="1201"/>
      <c r="B31" s="1347"/>
      <c r="C31" s="1240"/>
      <c r="D31" s="1240"/>
      <c r="E31" s="1240"/>
      <c r="F31" s="1240"/>
      <c r="G31" s="1240"/>
      <c r="H31" s="1285"/>
      <c r="I31" s="1241"/>
      <c r="J31" s="1241"/>
      <c r="K31" s="1241"/>
      <c r="L31" s="1241"/>
      <c r="M31" s="1241"/>
      <c r="N31" s="1241"/>
      <c r="O31" s="1241"/>
      <c r="P31" s="1241"/>
    </row>
    <row r="32" spans="1:16" ht="15.6">
      <c r="A32" s="1365"/>
      <c r="B32" s="1366" t="s">
        <v>75</v>
      </c>
      <c r="C32" s="1367"/>
      <c r="D32" s="1367"/>
      <c r="E32" s="1367">
        <v>0</v>
      </c>
      <c r="F32" s="1367">
        <v>0</v>
      </c>
      <c r="G32" s="1367">
        <v>0</v>
      </c>
      <c r="H32" s="1368">
        <v>0</v>
      </c>
      <c r="I32" s="1241"/>
      <c r="J32" s="1241"/>
      <c r="K32" s="1241"/>
      <c r="L32" s="1241"/>
      <c r="M32" s="1241"/>
      <c r="N32" s="1241"/>
      <c r="O32" s="1241"/>
      <c r="P32" s="1241"/>
    </row>
    <row r="33" spans="1:17">
      <c r="A33" s="1338" t="s">
        <v>1031</v>
      </c>
      <c r="B33" s="1342" t="s">
        <v>14</v>
      </c>
      <c r="C33" s="1331"/>
      <c r="D33" s="1331"/>
      <c r="E33" s="1331">
        <v>0</v>
      </c>
      <c r="F33" s="1331">
        <v>0</v>
      </c>
      <c r="G33" s="1331">
        <v>0</v>
      </c>
      <c r="H33" s="1331">
        <v>0</v>
      </c>
      <c r="I33" s="1241"/>
      <c r="J33" s="1241"/>
      <c r="K33" s="1241"/>
      <c r="L33" s="1241"/>
      <c r="M33" s="1241"/>
      <c r="N33" s="1241"/>
      <c r="O33" s="1241"/>
      <c r="P33" s="1241"/>
      <c r="Q33" s="2113">
        <f>H33+H40+H44+H45</f>
        <v>11.888970967900001</v>
      </c>
    </row>
    <row r="34" spans="1:17">
      <c r="A34" s="1338" t="s">
        <v>1031</v>
      </c>
      <c r="B34" s="1342" t="s">
        <v>181</v>
      </c>
      <c r="C34" s="1331"/>
      <c r="D34" s="1331"/>
      <c r="E34" s="1331">
        <v>77.712229931400003</v>
      </c>
      <c r="F34" s="1331">
        <v>105.63760728129999</v>
      </c>
      <c r="G34" s="1331">
        <v>74.178976668600001</v>
      </c>
      <c r="H34" s="1331">
        <v>80.1626164356</v>
      </c>
      <c r="I34" s="1241"/>
      <c r="J34" s="1241"/>
      <c r="K34" s="1241"/>
      <c r="L34" s="1241"/>
      <c r="M34" s="1241"/>
      <c r="N34" s="1241"/>
      <c r="O34" s="1241"/>
      <c r="P34" s="1241"/>
    </row>
    <row r="35" spans="1:17">
      <c r="A35" s="1338" t="s">
        <v>1031</v>
      </c>
      <c r="B35" s="1342" t="s">
        <v>340</v>
      </c>
      <c r="C35" s="1331"/>
      <c r="D35" s="1331"/>
      <c r="E35" s="1331">
        <v>29.8013003033</v>
      </c>
      <c r="F35" s="1331">
        <v>34.717300991199998</v>
      </c>
      <c r="G35" s="1331">
        <v>50.190198178900005</v>
      </c>
      <c r="H35" s="1331">
        <v>52.999565051600001</v>
      </c>
      <c r="I35" s="1241"/>
      <c r="J35" s="1241"/>
      <c r="K35" s="1241"/>
      <c r="L35" s="1241"/>
      <c r="M35" s="1241"/>
      <c r="N35" s="1241"/>
      <c r="O35" s="1241"/>
      <c r="P35" s="1241"/>
    </row>
    <row r="36" spans="1:17">
      <c r="A36" s="1338" t="s">
        <v>1031</v>
      </c>
      <c r="B36" s="1342" t="s">
        <v>93</v>
      </c>
      <c r="C36" s="1331"/>
      <c r="D36" s="1331"/>
      <c r="E36" s="1331">
        <v>1.5038346653000001</v>
      </c>
      <c r="F36" s="1331">
        <v>1.5185370650999999</v>
      </c>
      <c r="G36" s="1331">
        <v>0.86527297910000001</v>
      </c>
      <c r="H36" s="1331">
        <v>1.0857833706</v>
      </c>
      <c r="I36" s="1241"/>
      <c r="J36" s="1241"/>
      <c r="K36" s="1241"/>
      <c r="L36" s="1241"/>
      <c r="M36" s="1241"/>
      <c r="N36" s="1241"/>
      <c r="O36" s="1241"/>
      <c r="P36" s="1241"/>
    </row>
    <row r="37" spans="1:17">
      <c r="A37" s="1338" t="s">
        <v>1031</v>
      </c>
      <c r="B37" s="1348" t="s">
        <v>146</v>
      </c>
      <c r="C37" s="1331"/>
      <c r="D37" s="1331"/>
      <c r="E37" s="1331">
        <v>13.6157706968</v>
      </c>
      <c r="F37" s="1331">
        <v>9.9872529684</v>
      </c>
      <c r="G37" s="1331">
        <v>15.828548062399999</v>
      </c>
      <c r="H37" s="1331">
        <v>27.846580056200001</v>
      </c>
      <c r="I37" s="1241"/>
      <c r="J37" s="1241"/>
      <c r="K37" s="1241"/>
      <c r="L37" s="1241"/>
      <c r="M37" s="1241"/>
      <c r="N37" s="1241"/>
      <c r="O37" s="1241"/>
      <c r="P37" s="1241"/>
    </row>
    <row r="38" spans="1:17">
      <c r="A38" s="1338" t="s">
        <v>1035</v>
      </c>
      <c r="B38" s="1342" t="s">
        <v>17</v>
      </c>
      <c r="C38" s="1331"/>
      <c r="D38" s="1331"/>
      <c r="E38" s="1331">
        <v>3.0769231000000001E-3</v>
      </c>
      <c r="F38" s="1331">
        <v>4.98852459E-2</v>
      </c>
      <c r="G38" s="1331">
        <v>5.0021917899999997E-2</v>
      </c>
      <c r="H38" s="1331">
        <v>5.0021917800000003E-2</v>
      </c>
      <c r="I38" s="1241"/>
      <c r="J38" s="1241"/>
      <c r="K38" s="1241"/>
      <c r="L38" s="1241"/>
      <c r="M38" s="1241"/>
      <c r="N38" s="1241"/>
      <c r="O38" s="1241"/>
      <c r="P38" s="1241"/>
    </row>
    <row r="39" spans="1:17">
      <c r="A39" s="1338" t="s">
        <v>1031</v>
      </c>
      <c r="B39" s="1342" t="s">
        <v>28</v>
      </c>
      <c r="C39" s="1331"/>
      <c r="D39" s="1331"/>
      <c r="E39" s="1331">
        <v>266.76762009070001</v>
      </c>
      <c r="F39" s="1331">
        <v>316.42235483280001</v>
      </c>
      <c r="G39" s="1331">
        <v>343.82479675349998</v>
      </c>
      <c r="H39" s="1331">
        <v>335.59874685</v>
      </c>
      <c r="I39" s="1241"/>
      <c r="J39" s="1241"/>
      <c r="K39" s="1241"/>
      <c r="L39" s="1241"/>
      <c r="M39" s="1241"/>
      <c r="N39" s="1241"/>
      <c r="O39" s="1241"/>
      <c r="P39" s="1241"/>
    </row>
    <row r="40" spans="1:17">
      <c r="A40" s="1338" t="s">
        <v>1031</v>
      </c>
      <c r="B40" s="1342" t="s">
        <v>147</v>
      </c>
      <c r="C40" s="1331"/>
      <c r="D40" s="1331"/>
      <c r="E40" s="1331">
        <v>0.15384615439999999</v>
      </c>
      <c r="F40" s="1331">
        <v>9</v>
      </c>
      <c r="G40" s="1331">
        <v>0</v>
      </c>
      <c r="H40" s="1331">
        <v>11.454000000000001</v>
      </c>
      <c r="I40" s="1241"/>
      <c r="J40" s="1241"/>
      <c r="K40" s="1241"/>
      <c r="L40" s="1241"/>
      <c r="M40" s="1241"/>
      <c r="N40" s="1241"/>
      <c r="O40" s="1241"/>
      <c r="P40" s="1241"/>
    </row>
    <row r="41" spans="1:17">
      <c r="A41" s="1338" t="s">
        <v>1034</v>
      </c>
      <c r="B41" s="1342" t="s">
        <v>94</v>
      </c>
      <c r="C41" s="1351">
        <f t="shared" ref="C41:D41" si="3">C42-SUM(C33:C40)</f>
        <v>0</v>
      </c>
      <c r="D41" s="1351">
        <f t="shared" si="3"/>
        <v>0</v>
      </c>
      <c r="E41" s="1351">
        <v>0</v>
      </c>
      <c r="F41" s="1351">
        <v>0</v>
      </c>
      <c r="G41" s="1351">
        <v>0</v>
      </c>
      <c r="H41" s="1100">
        <v>0</v>
      </c>
      <c r="I41" s="1351">
        <f t="shared" ref="I41:P41" si="4">I42-SUM(I33:I40)</f>
        <v>0</v>
      </c>
      <c r="J41" s="1351">
        <f t="shared" si="4"/>
        <v>0</v>
      </c>
      <c r="K41" s="1351">
        <f t="shared" si="4"/>
        <v>0</v>
      </c>
      <c r="L41" s="1351">
        <f t="shared" si="4"/>
        <v>0</v>
      </c>
      <c r="M41" s="1351">
        <f t="shared" si="4"/>
        <v>0</v>
      </c>
      <c r="N41" s="1351">
        <f t="shared" si="4"/>
        <v>0</v>
      </c>
      <c r="O41" s="1351">
        <f t="shared" si="4"/>
        <v>0</v>
      </c>
      <c r="P41" s="1351">
        <f t="shared" si="4"/>
        <v>0</v>
      </c>
    </row>
    <row r="42" spans="1:17" ht="15.6">
      <c r="A42" s="1338" t="s">
        <v>1031</v>
      </c>
      <c r="B42" s="1343" t="s">
        <v>76</v>
      </c>
      <c r="C42" s="1331"/>
      <c r="D42" s="1331"/>
      <c r="E42" s="1331">
        <v>389.55767876499999</v>
      </c>
      <c r="F42" s="1331">
        <v>477.33293838470001</v>
      </c>
      <c r="G42" s="1331">
        <v>484.9378145604</v>
      </c>
      <c r="H42" s="1331">
        <v>509.19731368179998</v>
      </c>
      <c r="I42" s="1241"/>
      <c r="J42" s="1241"/>
      <c r="K42" s="1241"/>
      <c r="L42" s="1241"/>
      <c r="M42" s="1241"/>
      <c r="N42" s="1241"/>
      <c r="O42" s="1241"/>
      <c r="P42" s="1241"/>
    </row>
    <row r="43" spans="1:17" ht="15.6">
      <c r="A43" s="1201"/>
      <c r="B43" s="1341" t="s">
        <v>77</v>
      </c>
      <c r="C43" s="1255"/>
      <c r="D43" s="1255"/>
      <c r="E43" s="1255">
        <v>0</v>
      </c>
      <c r="F43" s="1255">
        <v>0</v>
      </c>
      <c r="G43" s="1255">
        <v>0</v>
      </c>
      <c r="H43" s="1285">
        <v>0</v>
      </c>
      <c r="I43" s="1241"/>
      <c r="J43" s="1241"/>
      <c r="K43" s="1241"/>
      <c r="L43" s="1241"/>
      <c r="M43" s="1241"/>
      <c r="N43" s="1241"/>
      <c r="O43" s="1241"/>
      <c r="P43" s="1241"/>
    </row>
    <row r="44" spans="1:17">
      <c r="A44" s="1338" t="s">
        <v>1031</v>
      </c>
      <c r="B44" s="1345" t="s">
        <v>18</v>
      </c>
      <c r="C44" s="1331"/>
      <c r="D44" s="1331"/>
      <c r="E44" s="1331">
        <v>0</v>
      </c>
      <c r="F44" s="1331">
        <v>1.43</v>
      </c>
      <c r="G44" s="1331">
        <v>2.2810999999999999</v>
      </c>
      <c r="H44" s="1331">
        <v>0.4471</v>
      </c>
      <c r="I44" s="1241"/>
      <c r="J44" s="1241"/>
      <c r="K44" s="1241"/>
      <c r="L44" s="1241"/>
      <c r="M44" s="1241"/>
      <c r="N44" s="1241"/>
      <c r="O44" s="1241"/>
      <c r="P44" s="1241"/>
    </row>
    <row r="45" spans="1:17">
      <c r="A45" s="1338" t="s">
        <v>1031</v>
      </c>
      <c r="B45" s="1345" t="s">
        <v>19</v>
      </c>
      <c r="C45" s="1331"/>
      <c r="D45" s="1331"/>
      <c r="E45" s="1331">
        <v>9</v>
      </c>
      <c r="F45" s="1331">
        <v>9.961889254099999</v>
      </c>
      <c r="G45" s="1331">
        <v>9.9745717235000004</v>
      </c>
      <c r="H45" s="1331">
        <v>-1.2129032099999999E-2</v>
      </c>
      <c r="I45" s="1241"/>
      <c r="J45" s="1241"/>
      <c r="K45" s="1241"/>
      <c r="L45" s="1241"/>
      <c r="M45" s="1241"/>
      <c r="N45" s="1241"/>
      <c r="O45" s="1241"/>
      <c r="P45" s="1241"/>
    </row>
    <row r="46" spans="1:17">
      <c r="A46" s="1338" t="s">
        <v>1031</v>
      </c>
      <c r="B46" s="1345" t="s">
        <v>20</v>
      </c>
      <c r="C46" s="1331"/>
      <c r="D46" s="1331"/>
      <c r="E46" s="1331">
        <v>0</v>
      </c>
      <c r="F46" s="1331">
        <v>1.6298227299999999E-2</v>
      </c>
      <c r="G46" s="1331">
        <v>0</v>
      </c>
      <c r="H46" s="1331">
        <v>0</v>
      </c>
      <c r="I46" s="1241"/>
      <c r="J46" s="1241"/>
      <c r="K46" s="1241"/>
      <c r="L46" s="1241"/>
      <c r="M46" s="1241"/>
      <c r="N46" s="1241"/>
      <c r="O46" s="1241"/>
      <c r="P46" s="1241"/>
    </row>
    <row r="47" spans="1:17">
      <c r="A47" s="1338"/>
      <c r="B47" s="1363" t="s">
        <v>1949</v>
      </c>
      <c r="C47" s="1331"/>
      <c r="D47" s="1331"/>
      <c r="E47" s="1331">
        <v>0</v>
      </c>
      <c r="F47" s="1331">
        <v>7.5680251384000004</v>
      </c>
      <c r="G47" s="1331">
        <v>8.3626603819999996</v>
      </c>
      <c r="H47" s="1331">
        <v>8.3626603819999996</v>
      </c>
      <c r="I47" s="1241"/>
      <c r="J47" s="1241"/>
      <c r="K47" s="1241"/>
      <c r="L47" s="1241"/>
      <c r="M47" s="1241"/>
      <c r="N47" s="1241"/>
      <c r="O47" s="1241"/>
      <c r="P47" s="1241"/>
    </row>
    <row r="48" spans="1:17">
      <c r="A48" s="1338" t="s">
        <v>1031</v>
      </c>
      <c r="B48" s="1345" t="s">
        <v>95</v>
      </c>
      <c r="C48" s="1331"/>
      <c r="D48" s="1331"/>
      <c r="E48" s="1331">
        <v>1.1353581699999999</v>
      </c>
      <c r="F48" s="1331">
        <v>1.1864594739000001</v>
      </c>
      <c r="G48" s="1331">
        <v>1.1866191329</v>
      </c>
      <c r="H48" s="1331">
        <v>0.93630807220000001</v>
      </c>
      <c r="I48" s="1241"/>
      <c r="J48" s="1241"/>
      <c r="K48" s="1241"/>
      <c r="L48" s="1241"/>
      <c r="M48" s="1241"/>
      <c r="N48" s="1241"/>
      <c r="O48" s="1241"/>
      <c r="P48" s="1241"/>
    </row>
    <row r="49" spans="1:16">
      <c r="A49" s="1338"/>
      <c r="B49" s="1363" t="s">
        <v>1950</v>
      </c>
      <c r="C49" s="1331"/>
      <c r="D49" s="1331"/>
      <c r="E49" s="1331">
        <v>0</v>
      </c>
      <c r="F49" s="1331">
        <v>7.4003232039999993</v>
      </c>
      <c r="G49" s="1331">
        <v>14.907801611400002</v>
      </c>
      <c r="H49" s="1331">
        <v>35.356419853200002</v>
      </c>
      <c r="I49" s="1241"/>
      <c r="J49" s="1241"/>
      <c r="K49" s="1241"/>
      <c r="L49" s="1241"/>
      <c r="M49" s="1241"/>
      <c r="N49" s="1241"/>
      <c r="O49" s="1241"/>
      <c r="P49" s="1241"/>
    </row>
    <row r="50" spans="1:16">
      <c r="A50" s="1338"/>
      <c r="B50" s="1363" t="s">
        <v>1951</v>
      </c>
      <c r="C50" s="1331"/>
      <c r="D50" s="1331"/>
      <c r="E50" s="1331">
        <v>3.0997321899999999E-2</v>
      </c>
      <c r="F50" s="1331">
        <v>3.74320691E-2</v>
      </c>
      <c r="G50" s="1331">
        <v>2.7568266400000003E-2</v>
      </c>
      <c r="H50" s="1331">
        <v>2.7568266400000003E-2</v>
      </c>
      <c r="I50" s="1241"/>
      <c r="J50" s="1241"/>
      <c r="K50" s="1241"/>
      <c r="L50" s="1241"/>
      <c r="M50" s="1241"/>
      <c r="N50" s="1241"/>
      <c r="O50" s="1241"/>
      <c r="P50" s="1241"/>
    </row>
    <row r="51" spans="1:16">
      <c r="A51" s="1338" t="s">
        <v>1034</v>
      </c>
      <c r="B51" s="1345" t="s">
        <v>96</v>
      </c>
      <c r="C51" s="1362"/>
      <c r="D51" s="1362"/>
      <c r="E51" s="1362">
        <v>7.5880956523999998</v>
      </c>
      <c r="F51" s="1362">
        <v>0</v>
      </c>
      <c r="G51" s="1362">
        <v>0</v>
      </c>
      <c r="H51" s="1362">
        <v>0</v>
      </c>
      <c r="I51" s="1351">
        <f t="shared" ref="I51:P51" si="5">I52-SUM(I44:I48)</f>
        <v>0</v>
      </c>
      <c r="J51" s="1351">
        <f t="shared" si="5"/>
        <v>0</v>
      </c>
      <c r="K51" s="1351">
        <f t="shared" si="5"/>
        <v>0</v>
      </c>
      <c r="L51" s="1351">
        <f t="shared" si="5"/>
        <v>0</v>
      </c>
      <c r="M51" s="1351">
        <f t="shared" si="5"/>
        <v>0</v>
      </c>
      <c r="N51" s="1351">
        <f t="shared" si="5"/>
        <v>0</v>
      </c>
      <c r="O51" s="1351">
        <f t="shared" si="5"/>
        <v>0</v>
      </c>
      <c r="P51" s="1351">
        <f t="shared" si="5"/>
        <v>0</v>
      </c>
    </row>
    <row r="52" spans="1:16" ht="15.6">
      <c r="A52" s="1338" t="s">
        <v>1031</v>
      </c>
      <c r="B52" s="1343" t="s">
        <v>78</v>
      </c>
      <c r="C52" s="1331"/>
      <c r="D52" s="1331"/>
      <c r="E52" s="1331">
        <v>17.754451144299999</v>
      </c>
      <c r="F52" s="1331">
        <v>27.600427366799998</v>
      </c>
      <c r="G52" s="1331">
        <v>36.740321116200001</v>
      </c>
      <c r="H52" s="1331">
        <v>45.117927541699999</v>
      </c>
      <c r="I52" s="1241"/>
      <c r="J52" s="1241"/>
      <c r="K52" s="1241"/>
      <c r="L52" s="1241"/>
      <c r="M52" s="1241"/>
      <c r="N52" s="1241"/>
      <c r="O52" s="1241"/>
      <c r="P52" s="1241"/>
    </row>
    <row r="53" spans="1:16" ht="15.6">
      <c r="A53" s="1338" t="s">
        <v>1031</v>
      </c>
      <c r="B53" s="1343" t="s">
        <v>318</v>
      </c>
      <c r="C53" s="1331"/>
      <c r="D53" s="1331"/>
      <c r="E53" s="1331">
        <v>407.31212990929998</v>
      </c>
      <c r="F53" s="1331">
        <v>504.93336575149999</v>
      </c>
      <c r="G53" s="1331">
        <v>521.67813567660005</v>
      </c>
      <c r="H53" s="1331">
        <v>554.31524122350004</v>
      </c>
      <c r="I53" s="1241"/>
      <c r="J53" s="1241"/>
      <c r="K53" s="1241"/>
      <c r="L53" s="1241"/>
      <c r="M53" s="1241"/>
      <c r="N53" s="1241"/>
      <c r="O53" s="1241"/>
      <c r="P53" s="1241"/>
    </row>
    <row r="54" spans="1:16" ht="15.6">
      <c r="A54" s="1201"/>
      <c r="B54" s="1349" t="s">
        <v>79</v>
      </c>
      <c r="C54" s="1255"/>
      <c r="D54" s="1255"/>
      <c r="E54" s="1255">
        <v>0</v>
      </c>
      <c r="F54" s="1255">
        <v>0</v>
      </c>
      <c r="G54" s="1255">
        <v>0</v>
      </c>
      <c r="H54" s="1285">
        <v>0</v>
      </c>
      <c r="I54" s="1241"/>
      <c r="J54" s="1241"/>
      <c r="K54" s="1241"/>
      <c r="L54" s="1241"/>
      <c r="M54" s="1241"/>
      <c r="N54" s="1241"/>
      <c r="O54" s="1241"/>
      <c r="P54" s="1241"/>
    </row>
    <row r="55" spans="1:16">
      <c r="A55" s="1338" t="s">
        <v>1031</v>
      </c>
      <c r="B55" s="1346" t="s">
        <v>343</v>
      </c>
      <c r="C55" s="1331"/>
      <c r="D55" s="1331"/>
      <c r="E55" s="1331">
        <v>57.634912300000003</v>
      </c>
      <c r="F55" s="1331">
        <v>1091.7142063088002</v>
      </c>
      <c r="G55" s="1331">
        <v>1251.331770815</v>
      </c>
      <c r="H55" s="1331">
        <v>1289.246215744</v>
      </c>
      <c r="I55" s="1241"/>
      <c r="J55" s="1241"/>
      <c r="K55" s="1241"/>
      <c r="L55" s="1241"/>
      <c r="M55" s="1241"/>
      <c r="N55" s="1241"/>
      <c r="O55" s="1241"/>
      <c r="P55" s="1241"/>
    </row>
    <row r="56" spans="1:16">
      <c r="A56" s="1338" t="s">
        <v>1010</v>
      </c>
      <c r="B56" s="1364" t="s">
        <v>1952</v>
      </c>
      <c r="C56" s="1331"/>
      <c r="D56" s="1331"/>
      <c r="E56" s="1331">
        <v>0</v>
      </c>
      <c r="F56" s="1331">
        <v>0.1076453874</v>
      </c>
      <c r="G56" s="1331">
        <v>7.87605324E-2</v>
      </c>
      <c r="H56" s="1331">
        <v>7.3923964199999997E-2</v>
      </c>
      <c r="I56" s="1241"/>
      <c r="J56" s="1241"/>
      <c r="K56" s="1241"/>
      <c r="L56" s="1241"/>
      <c r="M56" s="1241"/>
      <c r="N56" s="1241"/>
      <c r="O56" s="1241"/>
      <c r="P56" s="1241"/>
    </row>
    <row r="57" spans="1:16">
      <c r="A57" s="1338" t="s">
        <v>1010</v>
      </c>
      <c r="B57" s="1364" t="s">
        <v>1953</v>
      </c>
      <c r="C57" s="1331"/>
      <c r="D57" s="1331"/>
      <c r="E57" s="1331">
        <v>-2.6567334000000002E-3</v>
      </c>
      <c r="F57" s="1331">
        <v>0</v>
      </c>
      <c r="G57" s="1331">
        <v>0</v>
      </c>
      <c r="H57" s="1331">
        <v>0</v>
      </c>
      <c r="I57" s="1241"/>
      <c r="J57" s="1241"/>
      <c r="K57" s="1241"/>
      <c r="L57" s="1241"/>
      <c r="M57" s="1241"/>
      <c r="N57" s="1241"/>
      <c r="O57" s="1241"/>
      <c r="P57" s="1241"/>
    </row>
    <row r="58" spans="1:16">
      <c r="A58" s="1338" t="s">
        <v>1031</v>
      </c>
      <c r="B58" s="1345" t="s">
        <v>173</v>
      </c>
      <c r="C58" s="1331"/>
      <c r="D58" s="1331"/>
      <c r="E58" s="1331">
        <v>1074.1098979547</v>
      </c>
      <c r="F58" s="1331">
        <v>150.40444705850001</v>
      </c>
      <c r="G58" s="1331">
        <v>62.318596923999998</v>
      </c>
      <c r="H58" s="1331">
        <v>3.7780997376999998</v>
      </c>
      <c r="I58" s="1241"/>
      <c r="J58" s="1241"/>
      <c r="K58" s="1241"/>
      <c r="L58" s="1241"/>
      <c r="M58" s="1241"/>
      <c r="N58" s="1241"/>
      <c r="O58" s="1241"/>
      <c r="P58" s="1241"/>
    </row>
    <row r="59" spans="1:16">
      <c r="A59" s="1338" t="s">
        <v>1031</v>
      </c>
      <c r="B59" s="1345" t="s">
        <v>174</v>
      </c>
      <c r="C59" s="1331"/>
      <c r="D59" s="1331"/>
      <c r="E59" s="1331">
        <v>51.788661799899998</v>
      </c>
      <c r="F59" s="1331">
        <v>48.8242599445</v>
      </c>
      <c r="G59" s="1331">
        <v>63.527013580200006</v>
      </c>
      <c r="H59" s="1331">
        <v>65.473048491400007</v>
      </c>
      <c r="I59" s="1241"/>
      <c r="J59" s="1241"/>
      <c r="K59" s="1241"/>
      <c r="L59" s="1241"/>
      <c r="M59" s="1241"/>
      <c r="N59" s="1241"/>
      <c r="O59" s="1241"/>
      <c r="P59" s="1241"/>
    </row>
    <row r="60" spans="1:16">
      <c r="A60" s="1338" t="s">
        <v>1031</v>
      </c>
      <c r="B60" s="1345" t="s">
        <v>175</v>
      </c>
      <c r="C60" s="1331"/>
      <c r="D60" s="1331"/>
      <c r="E60" s="1331">
        <v>9.2038732285000009</v>
      </c>
      <c r="F60" s="1331">
        <v>10.0033449381</v>
      </c>
      <c r="G60" s="1331">
        <v>12.204274005699999</v>
      </c>
      <c r="H60" s="1331">
        <v>-33.160468528300001</v>
      </c>
      <c r="I60" s="1241"/>
      <c r="J60" s="1241"/>
      <c r="K60" s="1241"/>
      <c r="L60" s="1241"/>
      <c r="M60" s="1241"/>
      <c r="N60" s="1241"/>
      <c r="O60" s="1241"/>
      <c r="P60" s="1241"/>
    </row>
    <row r="61" spans="1:16">
      <c r="A61" s="1338" t="s">
        <v>1034</v>
      </c>
      <c r="B61" s="1345" t="s">
        <v>402</v>
      </c>
      <c r="C61" s="1351">
        <f>(C64-SUM(C55:C60))</f>
        <v>0</v>
      </c>
      <c r="D61" s="1351">
        <f t="shared" ref="D61:P61" si="6">(D64-SUM(D55:D60))</f>
        <v>0</v>
      </c>
      <c r="E61" s="1351">
        <v>0</v>
      </c>
      <c r="F61" s="1351">
        <v>0</v>
      </c>
      <c r="G61" s="1351">
        <v>0</v>
      </c>
      <c r="H61" s="1100">
        <v>0</v>
      </c>
      <c r="I61" s="1351">
        <f t="shared" si="6"/>
        <v>0</v>
      </c>
      <c r="J61" s="1351">
        <f t="shared" si="6"/>
        <v>0</v>
      </c>
      <c r="K61" s="1351">
        <f t="shared" si="6"/>
        <v>0</v>
      </c>
      <c r="L61" s="1351">
        <f t="shared" si="6"/>
        <v>0</v>
      </c>
      <c r="M61" s="1351">
        <f t="shared" si="6"/>
        <v>0</v>
      </c>
      <c r="N61" s="1351">
        <f t="shared" si="6"/>
        <v>0</v>
      </c>
      <c r="O61" s="1351">
        <f t="shared" si="6"/>
        <v>0</v>
      </c>
      <c r="P61" s="1351">
        <f t="shared" si="6"/>
        <v>0</v>
      </c>
    </row>
    <row r="62" spans="1:16" ht="15.6">
      <c r="A62" s="1338" t="s">
        <v>1034</v>
      </c>
      <c r="B62" s="1343" t="s">
        <v>80</v>
      </c>
      <c r="C62" s="1331"/>
      <c r="D62" s="1331"/>
      <c r="E62" s="1331">
        <v>1192.7346885497</v>
      </c>
      <c r="F62" s="1331">
        <v>1301.0539036373</v>
      </c>
      <c r="G62" s="1331">
        <v>1389.4604158573002</v>
      </c>
      <c r="H62" s="1331">
        <v>1325.4108194089999</v>
      </c>
      <c r="I62" s="1241"/>
      <c r="J62" s="1241"/>
      <c r="K62" s="1241"/>
      <c r="L62" s="1241"/>
      <c r="M62" s="1241"/>
      <c r="N62" s="1241"/>
      <c r="O62" s="1241"/>
      <c r="P62" s="1241"/>
    </row>
    <row r="63" spans="1:16">
      <c r="A63" s="1338" t="s">
        <v>1031</v>
      </c>
      <c r="B63" s="1345" t="s">
        <v>21</v>
      </c>
      <c r="C63" s="1331"/>
      <c r="D63" s="1331"/>
      <c r="E63" s="1331">
        <v>0.25241433860000001</v>
      </c>
      <c r="F63" s="1331">
        <v>0.32101177339999998</v>
      </c>
      <c r="G63" s="1331">
        <v>0.33542519260000003</v>
      </c>
      <c r="H63" s="1331">
        <v>0.34634228299999997</v>
      </c>
      <c r="I63" s="1241"/>
      <c r="J63" s="1241"/>
      <c r="K63" s="1241"/>
      <c r="L63" s="1241"/>
      <c r="M63" s="1241"/>
      <c r="N63" s="1241"/>
      <c r="O63" s="1241"/>
      <c r="P63" s="1241"/>
    </row>
    <row r="64" spans="1:16" ht="15.6">
      <c r="A64" s="1338" t="s">
        <v>1031</v>
      </c>
      <c r="B64" s="1343" t="s">
        <v>81</v>
      </c>
      <c r="C64" s="1331"/>
      <c r="D64" s="1331"/>
      <c r="E64" s="1331">
        <v>1192.9871028883001</v>
      </c>
      <c r="F64" s="1331">
        <v>1301.3749154107002</v>
      </c>
      <c r="G64" s="1331">
        <v>1389.7958410499</v>
      </c>
      <c r="H64" s="1331">
        <v>1325.757161692</v>
      </c>
      <c r="I64" s="1241"/>
      <c r="J64" s="1241"/>
      <c r="K64" s="1241"/>
      <c r="L64" s="1241"/>
      <c r="M64" s="1241"/>
      <c r="N64" s="1241"/>
      <c r="O64" s="1241"/>
      <c r="P64" s="1241"/>
    </row>
    <row r="65" spans="1:16" ht="15.6">
      <c r="A65" s="1338" t="s">
        <v>1031</v>
      </c>
      <c r="B65" s="1343" t="s">
        <v>82</v>
      </c>
      <c r="C65" s="1331"/>
      <c r="D65" s="1331"/>
      <c r="E65" s="1331">
        <v>1600.2992327976001</v>
      </c>
      <c r="F65" s="1331">
        <v>1806.3082811622</v>
      </c>
      <c r="G65" s="1331">
        <v>1911.4739767265</v>
      </c>
      <c r="H65" s="1331">
        <v>1880.0724029154999</v>
      </c>
      <c r="I65" s="1241"/>
      <c r="J65" s="1241"/>
      <c r="K65" s="1241"/>
      <c r="L65" s="1241"/>
      <c r="M65" s="1241"/>
      <c r="N65" s="1241"/>
      <c r="O65" s="1241"/>
      <c r="P65" s="1241"/>
    </row>
    <row r="66" spans="1:16">
      <c r="C66" s="1251"/>
      <c r="D66" s="1251"/>
      <c r="E66" s="1251"/>
      <c r="F66" s="1251"/>
      <c r="G66" s="1240"/>
      <c r="H66" s="1251"/>
      <c r="I66" s="1251"/>
      <c r="J66" s="1251"/>
      <c r="K66" s="1251"/>
      <c r="L66" s="1251"/>
      <c r="M66" s="1251"/>
      <c r="N66" s="1251"/>
      <c r="O66" s="1251"/>
      <c r="P66" s="1251"/>
    </row>
    <row r="67" spans="1:16">
      <c r="G67" s="1340"/>
    </row>
    <row r="68" spans="1:16">
      <c r="G68" s="1340"/>
    </row>
    <row r="69" spans="1:16">
      <c r="G69" s="1340"/>
    </row>
  </sheetData>
  <phoneticPr fontId="20" type="noConversion"/>
  <pageMargins left="0.70866141732283472" right="0.70866141732283472" top="0.74803149606299213" bottom="0.74803149606299213" header="0.31496062992125984" footer="0.31496062992125984"/>
  <pageSetup paperSize="9" scale="66" orientation="landscape"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15">
    <tabColor theme="9" tint="0.59999389629810485"/>
    <pageSetUpPr fitToPage="1"/>
  </sheetPr>
  <dimension ref="A1:Q55"/>
  <sheetViews>
    <sheetView showGridLines="0" zoomScaleNormal="100" zoomScalePageLayoutView="85" workbookViewId="0">
      <pane xSplit="2" ySplit="3" topLeftCell="C25" activePane="bottomRight" state="frozen"/>
      <selection activeCell="K8" sqref="K8"/>
      <selection pane="topRight" activeCell="K8" sqref="K8"/>
      <selection pane="bottomLeft" activeCell="K8" sqref="K8"/>
      <selection pane="bottomRight" activeCell="A39" sqref="A39:XFD39"/>
    </sheetView>
  </sheetViews>
  <sheetFormatPr defaultColWidth="8.77734375" defaultRowHeight="15" outlineLevelCol="1"/>
  <cols>
    <col min="1" max="1" width="6.44140625" style="1192" customWidth="1"/>
    <col min="2" max="2" width="43" style="1192" bestFit="1" customWidth="1"/>
    <col min="3" max="4" width="14.109375" style="1192" hidden="1" customWidth="1" outlineLevel="1"/>
    <col min="5" max="5" width="14.109375" style="1192" bestFit="1" customWidth="1" collapsed="1"/>
    <col min="6" max="6" width="14.109375" style="1192" bestFit="1" customWidth="1"/>
    <col min="7" max="7" width="11.6640625" style="1192" bestFit="1" customWidth="1" collapsed="1"/>
    <col min="8" max="8" width="13.77734375" style="1192" customWidth="1"/>
    <col min="9" max="16" width="13.77734375" style="1192" hidden="1" customWidth="1" outlineLevel="1"/>
    <col min="17" max="17" width="8.77734375" style="1192" collapsed="1"/>
    <col min="18" max="16384" width="8.77734375" style="1192"/>
  </cols>
  <sheetData>
    <row r="1" spans="1:16">
      <c r="A1" s="1191"/>
      <c r="B1" s="1003" t="s">
        <v>692</v>
      </c>
      <c r="C1" s="1235"/>
      <c r="D1" s="1191"/>
      <c r="E1" s="1191"/>
      <c r="F1" s="1191"/>
      <c r="G1" s="1191"/>
      <c r="H1" s="1191"/>
      <c r="I1" s="1191"/>
      <c r="J1" s="1191"/>
      <c r="K1" s="1191"/>
      <c r="L1" s="1191"/>
      <c r="M1" s="1191"/>
      <c r="N1" s="1191"/>
      <c r="O1" s="1191"/>
      <c r="P1" s="1191"/>
    </row>
    <row r="2" spans="1:16" ht="15.6">
      <c r="A2" s="1193"/>
      <c r="B2" s="1194"/>
      <c r="C2" s="1195"/>
      <c r="D2" s="1195"/>
      <c r="E2" s="1195"/>
      <c r="F2" s="1195"/>
      <c r="G2" s="1195"/>
      <c r="H2" s="1189" t="s">
        <v>1169</v>
      </c>
      <c r="I2" s="1195"/>
      <c r="J2" s="1195"/>
      <c r="K2" s="1195"/>
      <c r="L2" s="1195"/>
      <c r="M2" s="1195"/>
      <c r="N2" s="1195"/>
      <c r="O2" s="1195"/>
      <c r="P2" s="1195"/>
    </row>
    <row r="3" spans="1:16" s="1329" customFormat="1" ht="15.6">
      <c r="A3" s="1326" t="s">
        <v>1013</v>
      </c>
      <c r="B3" s="1327" t="s">
        <v>354</v>
      </c>
      <c r="C3" s="1352">
        <v>2012</v>
      </c>
      <c r="D3" s="1352">
        <v>2013</v>
      </c>
      <c r="E3" s="1352">
        <v>2014</v>
      </c>
      <c r="F3" s="1352">
        <v>2015</v>
      </c>
      <c r="G3" s="1352">
        <v>2016</v>
      </c>
      <c r="H3" s="1352">
        <v>2017</v>
      </c>
      <c r="I3" s="1328">
        <v>2018</v>
      </c>
      <c r="J3" s="1328">
        <v>2019</v>
      </c>
      <c r="K3" s="1328">
        <v>2020</v>
      </c>
      <c r="L3" s="1328">
        <v>2021</v>
      </c>
      <c r="M3" s="1328">
        <v>2022</v>
      </c>
      <c r="N3" s="1328">
        <v>2023</v>
      </c>
      <c r="O3" s="1328">
        <v>2024</v>
      </c>
      <c r="P3" s="1328">
        <v>2025</v>
      </c>
    </row>
    <row r="4" spans="1:16" s="1204" customFormat="1" ht="15.6">
      <c r="A4" s="1330" t="s">
        <v>1010</v>
      </c>
      <c r="B4" s="1109" t="s">
        <v>353</v>
      </c>
      <c r="C4" s="1331"/>
      <c r="D4" s="1331"/>
      <c r="E4" s="1331">
        <v>796.60442812539998</v>
      </c>
      <c r="F4" s="1331">
        <v>810.2762171503</v>
      </c>
      <c r="G4" s="1331">
        <v>852.73232172429994</v>
      </c>
      <c r="H4" s="1331">
        <v>882.71881000960002</v>
      </c>
      <c r="I4" s="1238"/>
      <c r="J4" s="1332"/>
      <c r="K4" s="1238"/>
      <c r="L4" s="1238"/>
      <c r="M4" s="1238"/>
      <c r="N4" s="1238"/>
      <c r="O4" s="1238"/>
      <c r="P4" s="1238"/>
    </row>
    <row r="5" spans="1:16">
      <c r="A5" s="1330" t="s">
        <v>1010</v>
      </c>
      <c r="B5" s="1333" t="s">
        <v>51</v>
      </c>
      <c r="C5" s="1331"/>
      <c r="D5" s="1331"/>
      <c r="E5" s="1331">
        <v>796.60442812540009</v>
      </c>
      <c r="F5" s="1331">
        <v>810.2762171503</v>
      </c>
      <c r="G5" s="1331">
        <v>852.73232172429994</v>
      </c>
      <c r="H5" s="1331">
        <v>882.71881000959991</v>
      </c>
      <c r="I5" s="1241"/>
      <c r="J5" s="1241"/>
      <c r="K5" s="1241"/>
      <c r="L5" s="1241"/>
      <c r="M5" s="1241"/>
      <c r="N5" s="1241"/>
      <c r="O5" s="1241"/>
      <c r="P5" s="1241"/>
    </row>
    <row r="6" spans="1:16" s="1204" customFormat="1" ht="15.6">
      <c r="A6" s="1334"/>
      <c r="B6" s="1335" t="s">
        <v>52</v>
      </c>
      <c r="C6" s="1331"/>
      <c r="D6" s="1331"/>
      <c r="E6" s="1331">
        <v>792.27198945320004</v>
      </c>
      <c r="F6" s="1331">
        <v>806.94497566359996</v>
      </c>
      <c r="G6" s="1331">
        <v>848.14058530979992</v>
      </c>
      <c r="H6" s="1331">
        <v>877.30407756419993</v>
      </c>
      <c r="I6" s="1238"/>
      <c r="J6" s="1238"/>
      <c r="K6" s="1238"/>
      <c r="L6" s="1238"/>
      <c r="M6" s="1238"/>
      <c r="N6" s="1238"/>
      <c r="O6" s="1238"/>
      <c r="P6" s="1238"/>
    </row>
    <row r="7" spans="1:16">
      <c r="A7" s="1334"/>
      <c r="B7" s="1336" t="s">
        <v>53</v>
      </c>
      <c r="C7" s="1331"/>
      <c r="D7" s="1331"/>
      <c r="E7" s="1331">
        <v>4.3324386722000003</v>
      </c>
      <c r="F7" s="1331">
        <v>3.3312414867000002</v>
      </c>
      <c r="G7" s="1331">
        <v>4.5917364144999997</v>
      </c>
      <c r="H7" s="1331">
        <v>5.4147324453999994</v>
      </c>
      <c r="I7" s="1241"/>
      <c r="J7" s="1241"/>
      <c r="K7" s="1241"/>
      <c r="L7" s="1241"/>
      <c r="M7" s="1241"/>
      <c r="N7" s="1241"/>
      <c r="O7" s="1241"/>
      <c r="P7" s="1241"/>
    </row>
    <row r="8" spans="1:16">
      <c r="A8" s="1334"/>
      <c r="B8" s="1333" t="s">
        <v>323</v>
      </c>
      <c r="C8" s="1331"/>
      <c r="D8" s="1331"/>
      <c r="E8" s="1331">
        <v>0</v>
      </c>
      <c r="F8" s="1331">
        <v>0</v>
      </c>
      <c r="G8" s="1331">
        <v>0</v>
      </c>
      <c r="H8" s="1331">
        <v>0</v>
      </c>
      <c r="I8" s="1331">
        <v>0</v>
      </c>
      <c r="J8" s="1331">
        <v>0</v>
      </c>
      <c r="K8" s="1331">
        <v>0</v>
      </c>
      <c r="L8" s="1331">
        <v>0</v>
      </c>
      <c r="M8" s="1331">
        <v>0</v>
      </c>
      <c r="N8" s="1331">
        <v>0</v>
      </c>
      <c r="O8" s="1331">
        <v>0</v>
      </c>
      <c r="P8" s="1331">
        <v>0</v>
      </c>
    </row>
    <row r="9" spans="1:16">
      <c r="A9" s="1334"/>
      <c r="B9" s="1333" t="s">
        <v>321</v>
      </c>
      <c r="C9" s="1331"/>
      <c r="D9" s="1331"/>
      <c r="E9" s="1331">
        <v>0</v>
      </c>
      <c r="F9" s="1331">
        <v>0</v>
      </c>
      <c r="G9" s="1331">
        <v>0</v>
      </c>
      <c r="H9" s="1331">
        <v>0</v>
      </c>
      <c r="I9" s="1241"/>
      <c r="J9" s="1241"/>
      <c r="K9" s="1241"/>
      <c r="L9" s="1241"/>
      <c r="M9" s="1241"/>
      <c r="N9" s="1241"/>
      <c r="O9" s="1241"/>
      <c r="P9" s="1241"/>
    </row>
    <row r="10" spans="1:16">
      <c r="A10" s="1334"/>
      <c r="B10" s="1333" t="s">
        <v>322</v>
      </c>
      <c r="C10" s="1331"/>
      <c r="D10" s="1331"/>
      <c r="E10" s="1331">
        <v>0</v>
      </c>
      <c r="F10" s="1331">
        <v>0</v>
      </c>
      <c r="G10" s="1331">
        <v>0</v>
      </c>
      <c r="H10" s="1331">
        <v>0</v>
      </c>
      <c r="I10" s="1241"/>
      <c r="J10" s="1241"/>
      <c r="K10" s="1241"/>
      <c r="L10" s="1241"/>
      <c r="M10" s="1241"/>
      <c r="N10" s="1241"/>
      <c r="O10" s="1241"/>
      <c r="P10" s="1241"/>
    </row>
    <row r="11" spans="1:16" ht="15.6">
      <c r="A11" s="1330" t="s">
        <v>1010</v>
      </c>
      <c r="B11" s="1337" t="s">
        <v>44</v>
      </c>
      <c r="C11" s="1331"/>
      <c r="D11" s="1331"/>
      <c r="E11" s="1331">
        <v>768.13423680829999</v>
      </c>
      <c r="F11" s="1331">
        <v>783.09630905929998</v>
      </c>
      <c r="G11" s="1331">
        <v>819.15922779520008</v>
      </c>
      <c r="H11" s="1331">
        <v>852.41506452470003</v>
      </c>
      <c r="I11" s="1241"/>
      <c r="J11" s="1241"/>
      <c r="K11" s="1241"/>
      <c r="L11" s="1241"/>
      <c r="M11" s="1241"/>
      <c r="N11" s="1241"/>
      <c r="O11" s="1241"/>
      <c r="P11" s="1241"/>
    </row>
    <row r="12" spans="1:16">
      <c r="A12" s="1330" t="s">
        <v>1010</v>
      </c>
      <c r="B12" s="1333" t="s">
        <v>55</v>
      </c>
      <c r="C12" s="1331"/>
      <c r="D12" s="1331"/>
      <c r="E12" s="1331">
        <v>765.46425773670001</v>
      </c>
      <c r="F12" s="1331">
        <v>778.64127223560001</v>
      </c>
      <c r="G12" s="1331">
        <v>813.95038584740007</v>
      </c>
      <c r="H12" s="1331">
        <v>844.62453204029998</v>
      </c>
      <c r="I12" s="1241"/>
      <c r="J12" s="1241"/>
      <c r="K12" s="1241"/>
      <c r="L12" s="1241"/>
      <c r="M12" s="1241"/>
      <c r="N12" s="1241"/>
      <c r="O12" s="1241"/>
      <c r="P12" s="1241"/>
    </row>
    <row r="13" spans="1:16">
      <c r="A13" s="1334"/>
      <c r="B13" s="1335" t="s">
        <v>56</v>
      </c>
      <c r="C13" s="1331"/>
      <c r="D13" s="1331"/>
      <c r="E13" s="1331">
        <v>762.87745358910001</v>
      </c>
      <c r="F13" s="1331">
        <v>776.54062832960005</v>
      </c>
      <c r="G13" s="1331">
        <v>812.09118482949998</v>
      </c>
      <c r="H13" s="1331">
        <v>842.79490279779998</v>
      </c>
      <c r="I13" s="1241"/>
      <c r="J13" s="1241"/>
      <c r="K13" s="1241"/>
      <c r="L13" s="1241"/>
      <c r="M13" s="1241"/>
      <c r="N13" s="1241"/>
      <c r="O13" s="1241"/>
      <c r="P13" s="1241"/>
    </row>
    <row r="14" spans="1:16">
      <c r="A14" s="1334"/>
      <c r="B14" s="1336" t="s">
        <v>57</v>
      </c>
      <c r="C14" s="1331"/>
      <c r="D14" s="1331"/>
      <c r="E14" s="1331">
        <v>2.5868041476000001</v>
      </c>
      <c r="F14" s="1331">
        <v>2.1006439059999997</v>
      </c>
      <c r="G14" s="1331">
        <v>1.8592010178999998</v>
      </c>
      <c r="H14" s="1331">
        <v>1.8296292425</v>
      </c>
      <c r="I14" s="1241"/>
      <c r="J14" s="1241"/>
      <c r="K14" s="1241"/>
      <c r="L14" s="1241"/>
      <c r="M14" s="1241"/>
      <c r="N14" s="1241"/>
      <c r="O14" s="1241"/>
      <c r="P14" s="1241"/>
    </row>
    <row r="15" spans="1:16">
      <c r="A15" s="1334"/>
      <c r="B15" s="1333" t="s">
        <v>324</v>
      </c>
      <c r="C15" s="1331"/>
      <c r="D15" s="1331"/>
      <c r="E15" s="1331">
        <v>0</v>
      </c>
      <c r="F15" s="1331">
        <v>0</v>
      </c>
      <c r="G15" s="1331">
        <v>0</v>
      </c>
      <c r="H15" s="1331">
        <v>0</v>
      </c>
      <c r="I15" s="1241"/>
      <c r="J15" s="1241"/>
      <c r="K15" s="1241"/>
      <c r="L15" s="1241"/>
      <c r="M15" s="1241"/>
      <c r="N15" s="1241"/>
      <c r="O15" s="1241"/>
      <c r="P15" s="1241"/>
    </row>
    <row r="16" spans="1:16">
      <c r="A16" s="1334"/>
      <c r="B16" s="1333" t="s">
        <v>325</v>
      </c>
      <c r="C16" s="1331"/>
      <c r="D16" s="1331"/>
      <c r="E16" s="1331">
        <v>0</v>
      </c>
      <c r="F16" s="1331">
        <v>0</v>
      </c>
      <c r="G16" s="1331">
        <v>0</v>
      </c>
      <c r="H16" s="1331">
        <v>0</v>
      </c>
      <c r="I16" s="1241"/>
      <c r="J16" s="1241"/>
      <c r="K16" s="1241"/>
      <c r="L16" s="1241"/>
      <c r="M16" s="1241"/>
      <c r="N16" s="1241"/>
      <c r="O16" s="1241"/>
      <c r="P16" s="1241"/>
    </row>
    <row r="17" spans="1:16">
      <c r="A17" s="1334"/>
      <c r="B17" s="1333" t="s">
        <v>326</v>
      </c>
      <c r="C17" s="1331"/>
      <c r="D17" s="1331"/>
      <c r="E17" s="1331">
        <v>0</v>
      </c>
      <c r="F17" s="1331">
        <v>0</v>
      </c>
      <c r="G17" s="1331">
        <v>0</v>
      </c>
      <c r="H17" s="1331">
        <v>0</v>
      </c>
      <c r="I17" s="1241"/>
      <c r="J17" s="1241"/>
      <c r="K17" s="1241"/>
      <c r="L17" s="1241"/>
      <c r="M17" s="1241"/>
      <c r="N17" s="1241"/>
      <c r="O17" s="1241"/>
      <c r="P17" s="1241"/>
    </row>
    <row r="18" spans="1:16">
      <c r="A18" s="1334"/>
      <c r="B18" s="1333" t="s">
        <v>327</v>
      </c>
      <c r="C18" s="1331"/>
      <c r="D18" s="1331"/>
      <c r="E18" s="1331">
        <v>0</v>
      </c>
      <c r="F18" s="1331">
        <v>0</v>
      </c>
      <c r="G18" s="1331">
        <v>0</v>
      </c>
      <c r="H18" s="1331">
        <v>0</v>
      </c>
      <c r="I18" s="1241"/>
      <c r="J18" s="1241"/>
      <c r="K18" s="1241"/>
      <c r="L18" s="1241"/>
      <c r="M18" s="1241"/>
      <c r="N18" s="1241"/>
      <c r="O18" s="1241"/>
      <c r="P18" s="1241"/>
    </row>
    <row r="19" spans="1:16" s="1204" customFormat="1" ht="15.6">
      <c r="A19" s="1334"/>
      <c r="B19" s="1333" t="s">
        <v>328</v>
      </c>
      <c r="C19" s="1331"/>
      <c r="D19" s="1331"/>
      <c r="E19" s="1331">
        <v>0</v>
      </c>
      <c r="F19" s="1331">
        <v>0</v>
      </c>
      <c r="G19" s="1331">
        <v>0</v>
      </c>
      <c r="H19" s="1331">
        <v>0</v>
      </c>
      <c r="I19" s="1238"/>
      <c r="J19" s="1238"/>
      <c r="K19" s="1238"/>
      <c r="L19" s="1238"/>
      <c r="M19" s="1238"/>
      <c r="N19" s="1238"/>
      <c r="O19" s="1238"/>
      <c r="P19" s="1238"/>
    </row>
    <row r="20" spans="1:16">
      <c r="A20" s="1334"/>
      <c r="B20" s="1333" t="s">
        <v>329</v>
      </c>
      <c r="C20" s="1331"/>
      <c r="D20" s="1331"/>
      <c r="E20" s="1331">
        <v>0</v>
      </c>
      <c r="F20" s="1331">
        <v>0</v>
      </c>
      <c r="G20" s="1331">
        <v>0</v>
      </c>
      <c r="H20" s="1331">
        <v>0</v>
      </c>
      <c r="I20" s="1241"/>
      <c r="J20" s="1241"/>
      <c r="K20" s="1241"/>
      <c r="L20" s="1241"/>
      <c r="M20" s="1241"/>
      <c r="N20" s="1241"/>
      <c r="O20" s="1241"/>
      <c r="P20" s="1241"/>
    </row>
    <row r="21" spans="1:16">
      <c r="A21" s="1334"/>
      <c r="B21" s="1333" t="s">
        <v>330</v>
      </c>
      <c r="C21" s="1331"/>
      <c r="D21" s="1331"/>
      <c r="E21" s="1331">
        <v>0</v>
      </c>
      <c r="F21" s="1331">
        <v>0</v>
      </c>
      <c r="G21" s="1331">
        <v>0</v>
      </c>
      <c r="H21" s="1331">
        <v>0</v>
      </c>
      <c r="I21" s="1241"/>
      <c r="J21" s="1241"/>
      <c r="K21" s="1241"/>
      <c r="L21" s="1241"/>
      <c r="M21" s="1241"/>
      <c r="N21" s="1241"/>
      <c r="O21" s="1241"/>
      <c r="P21" s="1241"/>
    </row>
    <row r="22" spans="1:16" s="1204" customFormat="1" ht="15.6">
      <c r="A22" s="1330" t="s">
        <v>1010</v>
      </c>
      <c r="B22" s="1333" t="s">
        <v>352</v>
      </c>
      <c r="C22" s="1331"/>
      <c r="D22" s="1331"/>
      <c r="E22" s="1331">
        <v>3.5867487117000003</v>
      </c>
      <c r="F22" s="1331">
        <v>3.2671226669000002</v>
      </c>
      <c r="G22" s="1331">
        <v>3.7404287943000001</v>
      </c>
      <c r="H22" s="1331">
        <v>6.1103996416999999</v>
      </c>
      <c r="I22" s="1238"/>
      <c r="J22" s="1238"/>
      <c r="K22" s="1238"/>
      <c r="L22" s="1238"/>
      <c r="M22" s="1238"/>
      <c r="N22" s="1238"/>
      <c r="O22" s="1238"/>
      <c r="P22" s="1238"/>
    </row>
    <row r="23" spans="1:16">
      <c r="A23" s="1334"/>
      <c r="B23" s="1335" t="s">
        <v>59</v>
      </c>
      <c r="C23" s="1331"/>
      <c r="D23" s="1331"/>
      <c r="E23" s="1331">
        <v>3.3345254093999999</v>
      </c>
      <c r="F23" s="1331">
        <v>3.0669297576000001</v>
      </c>
      <c r="G23" s="1331">
        <v>3.6455762995000001</v>
      </c>
      <c r="H23" s="1331">
        <v>5.4553337730999996</v>
      </c>
      <c r="I23" s="1241"/>
      <c r="J23" s="1241"/>
      <c r="K23" s="1241"/>
      <c r="L23" s="1241"/>
      <c r="M23" s="1241"/>
      <c r="N23" s="1241"/>
      <c r="O23" s="1241"/>
      <c r="P23" s="1241"/>
    </row>
    <row r="24" spans="1:16" s="1204" customFormat="1" ht="15.6">
      <c r="A24" s="1330" t="s">
        <v>1010</v>
      </c>
      <c r="B24" s="1333" t="s">
        <v>60</v>
      </c>
      <c r="C24" s="1331"/>
      <c r="D24" s="1331"/>
      <c r="E24" s="1331">
        <v>9.84728609E-2</v>
      </c>
      <c r="F24" s="1331">
        <v>0.55166360170000006</v>
      </c>
      <c r="G24" s="1331">
        <v>0.91817756150000007</v>
      </c>
      <c r="H24" s="1331">
        <v>0.64244614759999996</v>
      </c>
      <c r="I24" s="1238"/>
      <c r="J24" s="1238"/>
      <c r="K24" s="1238"/>
      <c r="L24" s="1238"/>
      <c r="M24" s="1238"/>
      <c r="N24" s="1238"/>
      <c r="O24" s="1238"/>
      <c r="P24" s="1238"/>
    </row>
    <row r="25" spans="1:16">
      <c r="A25" s="1330" t="s">
        <v>1010</v>
      </c>
      <c r="B25" s="1333" t="s">
        <v>61</v>
      </c>
      <c r="C25" s="1331"/>
      <c r="D25" s="1331"/>
      <c r="E25" s="1331">
        <v>1.5190390368</v>
      </c>
      <c r="F25" s="1331">
        <v>1.3818965437999999</v>
      </c>
      <c r="G25" s="1331">
        <v>1.3719273333999999</v>
      </c>
      <c r="H25" s="1331">
        <v>1.6626269233000002</v>
      </c>
      <c r="I25" s="1241"/>
      <c r="J25" s="1241"/>
      <c r="K25" s="1241"/>
      <c r="L25" s="1241"/>
      <c r="M25" s="1241"/>
      <c r="N25" s="1241"/>
      <c r="O25" s="1241"/>
      <c r="P25" s="1241"/>
    </row>
    <row r="26" spans="1:16">
      <c r="A26" s="1330" t="s">
        <v>1010</v>
      </c>
      <c r="B26" s="1333" t="s">
        <v>62</v>
      </c>
      <c r="C26" s="1331"/>
      <c r="D26" s="1331"/>
      <c r="E26" s="1331">
        <v>-0.63414611840000001</v>
      </c>
      <c r="F26" s="1331">
        <v>-0.81544300219999999</v>
      </c>
      <c r="G26" s="1331">
        <v>-0.64352519419999998</v>
      </c>
      <c r="H26" s="1331">
        <v>-0.6535169556</v>
      </c>
      <c r="I26" s="1241"/>
      <c r="J26" s="1241"/>
      <c r="K26" s="1241"/>
      <c r="L26" s="1241"/>
      <c r="M26" s="1241"/>
      <c r="N26" s="1241"/>
      <c r="O26" s="1241"/>
      <c r="P26" s="1241"/>
    </row>
    <row r="27" spans="1:16">
      <c r="A27" s="1330" t="s">
        <v>1010</v>
      </c>
      <c r="B27" s="1333" t="s">
        <v>63</v>
      </c>
      <c r="C27" s="1331"/>
      <c r="D27" s="1331"/>
      <c r="E27" s="1331">
        <v>-1.9001354194</v>
      </c>
      <c r="F27" s="1331">
        <v>6.9797013499999991E-2</v>
      </c>
      <c r="G27" s="1331">
        <v>-0.1781665472</v>
      </c>
      <c r="H27" s="1331">
        <v>2.8576727400000002E-2</v>
      </c>
      <c r="I27" s="1241"/>
      <c r="J27" s="1241"/>
      <c r="K27" s="1241"/>
      <c r="L27" s="1241"/>
      <c r="M27" s="1241"/>
      <c r="N27" s="1241"/>
      <c r="O27" s="1241"/>
      <c r="P27" s="1241"/>
    </row>
    <row r="28" spans="1:16">
      <c r="A28" s="1338"/>
      <c r="B28" s="1333" t="s">
        <v>64</v>
      </c>
      <c r="C28" s="1331"/>
      <c r="D28" s="1331"/>
      <c r="E28" s="1331">
        <v>0</v>
      </c>
      <c r="F28" s="1331">
        <v>0</v>
      </c>
      <c r="G28" s="1331">
        <v>0</v>
      </c>
      <c r="H28" s="1331">
        <v>0</v>
      </c>
      <c r="I28" s="1241"/>
      <c r="J28" s="1241"/>
      <c r="K28" s="1241"/>
      <c r="L28" s="1241"/>
      <c r="M28" s="1241"/>
      <c r="N28" s="1241"/>
      <c r="O28" s="1241"/>
      <c r="P28" s="1241"/>
    </row>
    <row r="29" spans="1:16">
      <c r="A29" s="1201"/>
      <c r="B29" s="1333" t="s">
        <v>348</v>
      </c>
      <c r="C29" s="1331"/>
      <c r="D29" s="1331"/>
      <c r="E29" s="1331">
        <v>0</v>
      </c>
      <c r="F29" s="1331">
        <v>0</v>
      </c>
      <c r="G29" s="1331">
        <v>0</v>
      </c>
      <c r="H29" s="1331">
        <v>0</v>
      </c>
      <c r="I29" s="1241"/>
      <c r="J29" s="1241"/>
      <c r="K29" s="1241"/>
      <c r="L29" s="1241"/>
      <c r="M29" s="1241"/>
      <c r="N29" s="1241"/>
      <c r="O29" s="1241"/>
      <c r="P29" s="1241"/>
    </row>
    <row r="30" spans="1:16">
      <c r="A30" s="1330" t="s">
        <v>1010</v>
      </c>
      <c r="B30" s="1335" t="s">
        <v>1163</v>
      </c>
      <c r="C30" s="1331"/>
      <c r="D30" s="1331"/>
      <c r="E30" s="1331">
        <v>3.7491075832999998</v>
      </c>
      <c r="F30" s="1331">
        <v>3.5344663863999997</v>
      </c>
      <c r="G30" s="1331">
        <v>3.0286453032999998</v>
      </c>
      <c r="H30" s="1331">
        <v>1.0948207815</v>
      </c>
      <c r="I30" s="1241"/>
      <c r="J30" s="1241"/>
      <c r="K30" s="1241"/>
      <c r="L30" s="1241"/>
      <c r="M30" s="1241"/>
      <c r="N30" s="1241"/>
      <c r="O30" s="1241"/>
      <c r="P30" s="1241"/>
    </row>
    <row r="31" spans="1:16">
      <c r="A31" s="1201"/>
      <c r="B31" s="1339" t="s">
        <v>65</v>
      </c>
      <c r="C31" s="1331"/>
      <c r="D31" s="1331"/>
      <c r="E31" s="1331">
        <v>0</v>
      </c>
      <c r="F31" s="1331">
        <v>0</v>
      </c>
      <c r="G31" s="1331">
        <v>0</v>
      </c>
      <c r="H31" s="1331">
        <v>0</v>
      </c>
      <c r="I31" s="1241"/>
      <c r="J31" s="1241"/>
      <c r="K31" s="1241"/>
      <c r="L31" s="1241"/>
      <c r="M31" s="1241"/>
      <c r="N31" s="1241"/>
      <c r="O31" s="1241"/>
      <c r="P31" s="1241"/>
    </row>
    <row r="32" spans="1:16">
      <c r="A32" s="1201"/>
      <c r="B32" s="1335" t="s">
        <v>1162</v>
      </c>
      <c r="C32" s="1331"/>
      <c r="D32" s="1331"/>
      <c r="E32" s="1331">
        <v>0</v>
      </c>
      <c r="F32" s="1331">
        <v>0</v>
      </c>
      <c r="G32" s="1331">
        <v>0</v>
      </c>
      <c r="H32" s="1331">
        <v>0</v>
      </c>
      <c r="I32" s="1241"/>
      <c r="J32" s="1241"/>
      <c r="K32" s="1241"/>
      <c r="L32" s="1241"/>
      <c r="M32" s="1241"/>
      <c r="N32" s="1241"/>
      <c r="O32" s="1241"/>
      <c r="P32" s="1241"/>
    </row>
    <row r="33" spans="1:16">
      <c r="A33" s="1201"/>
      <c r="B33" s="1335" t="s">
        <v>1164</v>
      </c>
      <c r="C33" s="1331"/>
      <c r="D33" s="1331"/>
      <c r="E33" s="1331">
        <v>0</v>
      </c>
      <c r="F33" s="1331">
        <v>0</v>
      </c>
      <c r="G33" s="1331">
        <v>0</v>
      </c>
      <c r="H33" s="1331">
        <v>0</v>
      </c>
      <c r="I33" s="1241"/>
      <c r="J33" s="1241"/>
      <c r="K33" s="1241"/>
      <c r="L33" s="1241"/>
      <c r="M33" s="1241"/>
      <c r="N33" s="1241"/>
      <c r="O33" s="1241"/>
      <c r="P33" s="1241"/>
    </row>
    <row r="34" spans="1:16" ht="15.6">
      <c r="A34" s="1201"/>
      <c r="B34" s="1109" t="s">
        <v>45</v>
      </c>
      <c r="C34" s="1331"/>
      <c r="D34" s="1331"/>
      <c r="E34" s="1331">
        <v>32.219298900399998</v>
      </c>
      <c r="F34" s="1331">
        <v>30.714374477399996</v>
      </c>
      <c r="G34" s="1331">
        <v>36.6017392324</v>
      </c>
      <c r="H34" s="1331">
        <v>32.888209167600003</v>
      </c>
      <c r="I34" s="1241"/>
      <c r="J34" s="1241"/>
      <c r="K34" s="1241"/>
      <c r="L34" s="1241"/>
      <c r="M34" s="1241"/>
      <c r="N34" s="1241"/>
      <c r="O34" s="1241"/>
      <c r="P34" s="1241"/>
    </row>
    <row r="35" spans="1:16">
      <c r="A35" s="1330" t="s">
        <v>1010</v>
      </c>
      <c r="B35" s="1333" t="s">
        <v>392</v>
      </c>
      <c r="C35" s="1331"/>
      <c r="D35" s="1331"/>
      <c r="E35" s="1331">
        <v>2.1129386902</v>
      </c>
      <c r="F35" s="1331">
        <v>1.1393394945999999</v>
      </c>
      <c r="G35" s="1331">
        <v>2.5897836813999997</v>
      </c>
      <c r="H35" s="1331">
        <v>1.1406059123000001</v>
      </c>
      <c r="I35" s="1241"/>
      <c r="J35" s="1241"/>
      <c r="K35" s="1241"/>
      <c r="L35" s="1241"/>
      <c r="M35" s="1241"/>
      <c r="N35" s="1241"/>
      <c r="O35" s="1241"/>
      <c r="P35" s="1241"/>
    </row>
    <row r="36" spans="1:16">
      <c r="A36" s="1330" t="s">
        <v>1010</v>
      </c>
      <c r="B36" s="1333" t="s">
        <v>393</v>
      </c>
      <c r="C36" s="1331"/>
      <c r="D36" s="1331"/>
      <c r="E36" s="1331">
        <v>1.1237603653000001</v>
      </c>
      <c r="F36" s="1331">
        <v>2.4446557372999997</v>
      </c>
      <c r="G36" s="1331">
        <v>4.4894937922000002</v>
      </c>
      <c r="H36" s="1331">
        <v>3.3925745897000001</v>
      </c>
      <c r="I36" s="1241"/>
      <c r="J36" s="1241"/>
      <c r="K36" s="1241"/>
      <c r="L36" s="1241"/>
      <c r="M36" s="1241"/>
      <c r="N36" s="1241"/>
      <c r="O36" s="1241"/>
      <c r="P36" s="1241"/>
    </row>
    <row r="37" spans="1:16" ht="15.6">
      <c r="A37" s="1330" t="s">
        <v>1030</v>
      </c>
      <c r="B37" s="1109" t="s">
        <v>46</v>
      </c>
      <c r="C37" s="1331"/>
      <c r="D37" s="1331"/>
      <c r="E37" s="1331">
        <v>33.208477225300001</v>
      </c>
      <c r="F37" s="1331">
        <v>29.409058234699998</v>
      </c>
      <c r="G37" s="1331">
        <v>34.702029121599999</v>
      </c>
      <c r="H37" s="1331">
        <v>30.636240490199999</v>
      </c>
      <c r="I37" s="1241"/>
      <c r="J37" s="1241"/>
      <c r="K37" s="1241"/>
      <c r="L37" s="1241"/>
      <c r="M37" s="1241"/>
      <c r="N37" s="1241"/>
      <c r="O37" s="1241"/>
      <c r="P37" s="1241"/>
    </row>
    <row r="38" spans="1:16">
      <c r="A38" s="1338" t="s">
        <v>1033</v>
      </c>
      <c r="B38" s="1333" t="s">
        <v>66</v>
      </c>
      <c r="C38" s="1331"/>
      <c r="D38" s="1331"/>
      <c r="E38" s="1331">
        <v>8.2392040361000003</v>
      </c>
      <c r="F38" s="1331">
        <v>7.1310452111</v>
      </c>
      <c r="G38" s="1331">
        <v>7.9657802373000006</v>
      </c>
      <c r="H38" s="1331">
        <v>7.5816064260999996</v>
      </c>
      <c r="I38" s="1241"/>
      <c r="J38" s="1241"/>
      <c r="K38" s="1241"/>
      <c r="L38" s="1241"/>
      <c r="M38" s="1241"/>
      <c r="N38" s="1241"/>
      <c r="O38" s="1241"/>
      <c r="P38" s="1241"/>
    </row>
    <row r="39" spans="1:16" ht="15.6">
      <c r="A39" s="1330" t="s">
        <v>1030</v>
      </c>
      <c r="B39" s="1109" t="s">
        <v>47</v>
      </c>
      <c r="C39" s="1331"/>
      <c r="D39" s="1331"/>
      <c r="E39" s="1331">
        <v>24.969273189199999</v>
      </c>
      <c r="F39" s="1331">
        <v>22.2780130236</v>
      </c>
      <c r="G39" s="1331">
        <v>26.736248884299997</v>
      </c>
      <c r="H39" s="1331">
        <v>23.0546340641</v>
      </c>
      <c r="I39" s="1241"/>
      <c r="J39" s="1241"/>
      <c r="K39" s="1241"/>
      <c r="L39" s="1241"/>
      <c r="M39" s="1241"/>
      <c r="N39" s="1241"/>
      <c r="O39" s="1241"/>
      <c r="P39" s="1241"/>
    </row>
    <row r="40" spans="1:16">
      <c r="A40" s="1201"/>
      <c r="B40" s="1333" t="s">
        <v>67</v>
      </c>
      <c r="C40" s="1331"/>
      <c r="D40" s="1331"/>
      <c r="E40" s="1331">
        <v>25.008490129600002</v>
      </c>
      <c r="F40" s="1331">
        <v>22.254057325799998</v>
      </c>
      <c r="G40" s="1331">
        <v>26.721835465100003</v>
      </c>
      <c r="H40" s="1331">
        <v>23.0437169737</v>
      </c>
      <c r="I40" s="1241"/>
      <c r="J40" s="1241"/>
      <c r="K40" s="1241"/>
      <c r="L40" s="1241"/>
      <c r="M40" s="1241"/>
      <c r="N40" s="1241"/>
      <c r="O40" s="1241"/>
      <c r="P40" s="1241"/>
    </row>
    <row r="41" spans="1:16">
      <c r="A41" s="1201"/>
      <c r="B41" s="1333" t="s">
        <v>68</v>
      </c>
      <c r="C41" s="1331"/>
      <c r="D41" s="1331"/>
      <c r="E41" s="1331">
        <v>-3.9216940399999997E-2</v>
      </c>
      <c r="F41" s="1331">
        <v>2.3955697799999998E-2</v>
      </c>
      <c r="G41" s="1331">
        <v>1.4413419199999999E-2</v>
      </c>
      <c r="H41" s="1331">
        <v>1.0917090400000001E-2</v>
      </c>
      <c r="I41" s="1241"/>
      <c r="J41" s="1241"/>
      <c r="K41" s="1241"/>
      <c r="L41" s="1241"/>
      <c r="M41" s="1241"/>
      <c r="N41" s="1241"/>
      <c r="O41" s="1241"/>
      <c r="P41" s="1241"/>
    </row>
    <row r="42" spans="1:16" ht="15.6">
      <c r="A42" s="1201"/>
      <c r="B42" s="1109" t="s">
        <v>48</v>
      </c>
      <c r="C42" s="1331"/>
      <c r="D42" s="1331"/>
      <c r="E42" s="1331">
        <v>3.4235386399999998E-2</v>
      </c>
      <c r="F42" s="1331">
        <v>1.8507101200000001E-2</v>
      </c>
      <c r="G42" s="1331">
        <v>4.7950639000000003E-3</v>
      </c>
      <c r="H42" s="1331">
        <v>-1.0393125000000001E-3</v>
      </c>
      <c r="I42" s="1241"/>
      <c r="J42" s="1241"/>
      <c r="K42" s="1241"/>
      <c r="L42" s="1241"/>
      <c r="M42" s="1241"/>
      <c r="N42" s="1241"/>
      <c r="O42" s="1241"/>
      <c r="P42" s="1241"/>
    </row>
    <row r="43" spans="1:16" ht="15.6">
      <c r="A43" s="1201"/>
      <c r="B43" s="1109" t="s">
        <v>49</v>
      </c>
      <c r="C43" s="1331"/>
      <c r="D43" s="1331"/>
      <c r="E43" s="1331">
        <v>25.003508575599998</v>
      </c>
      <c r="F43" s="1331">
        <v>22.296520124800001</v>
      </c>
      <c r="G43" s="1331">
        <v>26.741043948200002</v>
      </c>
      <c r="H43" s="1331">
        <v>23.053594751599999</v>
      </c>
      <c r="I43" s="1241"/>
      <c r="J43" s="1241"/>
      <c r="K43" s="1241"/>
      <c r="L43" s="1241"/>
      <c r="M43" s="1241"/>
      <c r="N43" s="1241"/>
      <c r="O43" s="1241"/>
      <c r="P43" s="1241"/>
    </row>
    <row r="44" spans="1:16">
      <c r="A44" s="1201"/>
      <c r="B44" s="1333" t="s">
        <v>69</v>
      </c>
      <c r="C44" s="1331"/>
      <c r="D44" s="1331"/>
      <c r="E44" s="1331">
        <v>25.042725515999997</v>
      </c>
      <c r="F44" s="1331">
        <v>22.272564426999999</v>
      </c>
      <c r="G44" s="1331">
        <v>26.726630529000001</v>
      </c>
      <c r="H44" s="1331">
        <v>23.042677661199999</v>
      </c>
      <c r="I44" s="1241"/>
      <c r="J44" s="1241"/>
      <c r="K44" s="1241"/>
      <c r="L44" s="1241"/>
      <c r="M44" s="1241"/>
      <c r="N44" s="1241"/>
      <c r="O44" s="1241"/>
      <c r="P44" s="1241"/>
    </row>
    <row r="45" spans="1:16">
      <c r="A45" s="1201"/>
      <c r="B45" s="1333" t="s">
        <v>70</v>
      </c>
      <c r="C45" s="1331"/>
      <c r="D45" s="1331"/>
      <c r="E45" s="1331">
        <v>-3.9216940399999997E-2</v>
      </c>
      <c r="F45" s="1331">
        <v>2.3955697799999998E-2</v>
      </c>
      <c r="G45" s="1331">
        <v>1.4413419199999999E-2</v>
      </c>
      <c r="H45" s="1331">
        <v>1.0917090400000001E-2</v>
      </c>
      <c r="I45" s="1241"/>
      <c r="J45" s="1241"/>
      <c r="K45" s="1241"/>
      <c r="L45" s="1241"/>
      <c r="M45" s="1241"/>
      <c r="N45" s="1241"/>
      <c r="O45" s="1241"/>
      <c r="P45" s="1241"/>
    </row>
    <row r="46" spans="1:16" ht="15.6">
      <c r="A46" s="1201"/>
      <c r="B46" s="1109" t="s">
        <v>50</v>
      </c>
      <c r="C46" s="1331"/>
      <c r="D46" s="1331"/>
      <c r="E46" s="1331">
        <v>0</v>
      </c>
      <c r="F46" s="1331">
        <v>0</v>
      </c>
      <c r="G46" s="1331">
        <v>0</v>
      </c>
      <c r="H46" s="1331">
        <v>0</v>
      </c>
      <c r="I46" s="1241"/>
      <c r="J46" s="1241"/>
      <c r="K46" s="1241"/>
      <c r="L46" s="1241"/>
      <c r="M46" s="1241"/>
      <c r="N46" s="1241"/>
      <c r="O46" s="1241"/>
      <c r="P46" s="1241"/>
    </row>
    <row r="47" spans="1:16">
      <c r="A47" s="1201"/>
      <c r="B47" s="1333" t="s">
        <v>71</v>
      </c>
      <c r="C47" s="1331"/>
      <c r="D47" s="1331"/>
      <c r="E47" s="1331">
        <v>0</v>
      </c>
      <c r="F47" s="1331">
        <v>0</v>
      </c>
      <c r="G47" s="1331">
        <v>0</v>
      </c>
      <c r="H47" s="1331">
        <v>0</v>
      </c>
      <c r="I47" s="1241"/>
      <c r="J47" s="1241"/>
      <c r="K47" s="1241"/>
      <c r="L47" s="1241"/>
      <c r="M47" s="1241"/>
      <c r="N47" s="1241"/>
      <c r="O47" s="1241"/>
      <c r="P47" s="1241"/>
    </row>
    <row r="48" spans="1:16">
      <c r="A48" s="1201"/>
      <c r="B48" s="1333" t="s">
        <v>72</v>
      </c>
      <c r="C48" s="1331"/>
      <c r="D48" s="1331"/>
      <c r="E48" s="1331">
        <v>0</v>
      </c>
      <c r="F48" s="1331">
        <v>0</v>
      </c>
      <c r="G48" s="1331">
        <v>0</v>
      </c>
      <c r="H48" s="1331">
        <v>0</v>
      </c>
      <c r="I48" s="1241"/>
      <c r="J48" s="1241"/>
      <c r="K48" s="1241"/>
      <c r="L48" s="1241"/>
      <c r="M48" s="1241"/>
      <c r="N48" s="1241"/>
      <c r="O48" s="1241"/>
      <c r="P48" s="1241"/>
    </row>
    <row r="49" spans="7:7">
      <c r="G49" s="1340"/>
    </row>
    <row r="50" spans="7:7">
      <c r="G50" s="1340"/>
    </row>
    <row r="51" spans="7:7">
      <c r="G51" s="1340"/>
    </row>
    <row r="52" spans="7:7">
      <c r="G52" s="1340"/>
    </row>
    <row r="53" spans="7:7">
      <c r="G53" s="1340"/>
    </row>
    <row r="54" spans="7:7">
      <c r="G54" s="1340"/>
    </row>
    <row r="55" spans="7:7">
      <c r="G55" s="1340"/>
    </row>
  </sheetData>
  <phoneticPr fontId="20" type="noConversion"/>
  <printOptions horizontalCentered="1"/>
  <pageMargins left="0.70866141732283472" right="0.70866141732283472" top="0.74803149606299213" bottom="0.74803149606299213" header="0.31496062992125984" footer="0.31496062992125984"/>
  <pageSetup paperSize="9" scale="75" orientation="landscape"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17">
    <tabColor theme="9" tint="0.59999389629810485"/>
    <pageSetUpPr fitToPage="1"/>
  </sheetPr>
  <dimension ref="A1:R64"/>
  <sheetViews>
    <sheetView showGridLines="0" zoomScaleNormal="100" zoomScalePageLayoutView="85" workbookViewId="0">
      <pane xSplit="2" ySplit="3" topLeftCell="C52" activePane="bottomRight" state="frozen"/>
      <selection activeCell="K8" sqref="K8"/>
      <selection pane="topRight" activeCell="K8" sqref="K8"/>
      <selection pane="bottomLeft" activeCell="K8" sqref="K8"/>
      <selection pane="bottomRight" activeCell="F38" sqref="F38:I38"/>
    </sheetView>
  </sheetViews>
  <sheetFormatPr defaultColWidth="8.77734375" defaultRowHeight="15" outlineLevelCol="1"/>
  <cols>
    <col min="1" max="1" width="5" style="1192" hidden="1" customWidth="1"/>
    <col min="2" max="2" width="50.6640625" style="1192" bestFit="1" customWidth="1"/>
    <col min="3" max="3" width="6.88671875" style="1192" hidden="1" customWidth="1" outlineLevel="1"/>
    <col min="4" max="5" width="5.44140625" style="1192" hidden="1" customWidth="1" outlineLevel="1"/>
    <col min="6" max="6" width="9.77734375" style="1192" customWidth="1" collapsed="1"/>
    <col min="7" max="7" width="10.109375" style="1192" customWidth="1"/>
    <col min="8" max="8" width="9.33203125" style="1192" bestFit="1" customWidth="1"/>
    <col min="9" max="9" width="9.88671875" style="1192" bestFit="1" customWidth="1"/>
    <col min="10" max="17" width="5.44140625" style="1192" hidden="1" customWidth="1" outlineLevel="1"/>
    <col min="18" max="18" width="8.77734375" style="1192" collapsed="1"/>
    <col min="19" max="16384" width="8.77734375" style="1192"/>
  </cols>
  <sheetData>
    <row r="1" spans="1:17">
      <c r="A1" s="1191"/>
      <c r="B1" s="1003" t="s">
        <v>794</v>
      </c>
      <c r="C1" s="1003"/>
      <c r="D1" s="1235"/>
      <c r="E1" s="1191"/>
      <c r="F1" s="1191"/>
      <c r="G1" s="1191"/>
      <c r="H1" s="1191"/>
      <c r="I1" s="1191"/>
      <c r="J1" s="1191"/>
      <c r="K1" s="1191"/>
      <c r="L1" s="1191"/>
      <c r="M1" s="1191"/>
      <c r="N1" s="1191"/>
      <c r="O1" s="1191"/>
      <c r="P1" s="1191"/>
      <c r="Q1" s="1191"/>
    </row>
    <row r="2" spans="1:17" ht="15.6" hidden="1">
      <c r="A2" s="1193"/>
      <c r="B2" s="1194"/>
      <c r="C2" s="1194"/>
      <c r="D2" s="1195"/>
      <c r="E2" s="1195"/>
      <c r="F2" s="1195"/>
      <c r="G2" s="1195"/>
      <c r="H2" s="1195"/>
      <c r="I2" s="1195"/>
      <c r="J2" s="1195"/>
      <c r="K2" s="1195"/>
      <c r="L2" s="1195"/>
      <c r="M2" s="1195"/>
      <c r="N2" s="1195"/>
      <c r="O2" s="1195"/>
      <c r="P2" s="1195"/>
      <c r="Q2" s="1195"/>
    </row>
    <row r="3" spans="1:17" s="1199" customFormat="1" ht="15.6">
      <c r="A3" s="1196"/>
      <c r="B3" s="1197" t="s">
        <v>795</v>
      </c>
      <c r="C3" s="1197"/>
      <c r="D3" s="1198">
        <v>2012</v>
      </c>
      <c r="E3" s="1198">
        <v>2013</v>
      </c>
      <c r="F3" s="1198">
        <v>2014</v>
      </c>
      <c r="G3" s="1198">
        <v>2015</v>
      </c>
      <c r="H3" s="1198">
        <v>2016</v>
      </c>
      <c r="I3" s="1198">
        <v>2017</v>
      </c>
      <c r="J3" s="1198">
        <v>2018</v>
      </c>
      <c r="K3" s="1198">
        <v>2019</v>
      </c>
      <c r="L3" s="1198">
        <v>2020</v>
      </c>
      <c r="M3" s="1198">
        <v>2021</v>
      </c>
      <c r="N3" s="1198">
        <v>2022</v>
      </c>
      <c r="O3" s="1198">
        <v>2023</v>
      </c>
      <c r="P3" s="1198">
        <v>2024</v>
      </c>
      <c r="Q3" s="1198">
        <v>2025</v>
      </c>
    </row>
    <row r="4" spans="1:17" s="1204" customFormat="1" ht="15.6">
      <c r="A4" s="1236"/>
      <c r="B4" s="1226" t="s">
        <v>196</v>
      </c>
      <c r="C4" s="1226"/>
      <c r="D4" s="1237"/>
      <c r="E4" s="1237"/>
      <c r="F4" s="1800">
        <v>0</v>
      </c>
      <c r="G4" s="1800">
        <v>0</v>
      </c>
      <c r="H4" s="1800">
        <v>0</v>
      </c>
      <c r="I4" s="1800">
        <v>0</v>
      </c>
      <c r="J4" s="1238"/>
      <c r="K4" s="1238"/>
      <c r="L4" s="1238"/>
      <c r="M4" s="1238"/>
      <c r="N4" s="1238"/>
      <c r="O4" s="1238"/>
      <c r="P4" s="1238"/>
      <c r="Q4" s="1238"/>
    </row>
    <row r="5" spans="1:17">
      <c r="A5" s="1239"/>
      <c r="B5" s="1227" t="s">
        <v>207</v>
      </c>
      <c r="C5" s="1227"/>
      <c r="D5" s="1240"/>
      <c r="E5" s="1240"/>
      <c r="F5" s="1803">
        <v>1008.5289863397001</v>
      </c>
      <c r="G5" s="1800">
        <v>946.39398919399991</v>
      </c>
      <c r="H5" s="1801">
        <v>980.16704302259996</v>
      </c>
      <c r="I5" s="1800">
        <v>1014.0556727116</v>
      </c>
      <c r="J5" s="1241"/>
      <c r="K5" s="1241"/>
      <c r="L5" s="1241"/>
      <c r="M5" s="1241"/>
      <c r="N5" s="1241"/>
      <c r="O5" s="1241"/>
      <c r="P5" s="1241"/>
      <c r="Q5" s="1241"/>
    </row>
    <row r="6" spans="1:17">
      <c r="A6" s="1236"/>
      <c r="B6" s="1227" t="s">
        <v>208</v>
      </c>
      <c r="C6" s="1227"/>
      <c r="D6" s="1240"/>
      <c r="E6" s="1240"/>
      <c r="F6" s="1738"/>
      <c r="G6" s="1738"/>
      <c r="H6" s="1738"/>
      <c r="I6" s="1738"/>
      <c r="J6" s="1241"/>
      <c r="K6" s="1241"/>
      <c r="L6" s="1241"/>
      <c r="M6" s="1241"/>
      <c r="N6" s="1241"/>
      <c r="O6" s="1241"/>
      <c r="P6" s="1241"/>
      <c r="Q6" s="1241"/>
    </row>
    <row r="7" spans="1:17">
      <c r="A7" s="1236"/>
      <c r="B7" s="1227" t="s">
        <v>209</v>
      </c>
      <c r="C7" s="1227"/>
      <c r="D7" s="1240"/>
      <c r="E7" s="1240"/>
      <c r="F7" s="1738"/>
      <c r="G7" s="1738"/>
      <c r="H7" s="1738"/>
      <c r="I7" s="1738"/>
      <c r="J7" s="1241"/>
      <c r="K7" s="1241"/>
      <c r="L7" s="1241"/>
      <c r="M7" s="1241"/>
      <c r="N7" s="1241"/>
      <c r="O7" s="1241"/>
      <c r="P7" s="1241"/>
      <c r="Q7" s="1241"/>
    </row>
    <row r="8" spans="1:17">
      <c r="A8" s="1239"/>
      <c r="B8" s="1227" t="s">
        <v>210</v>
      </c>
      <c r="C8" s="1227"/>
      <c r="D8" s="1240"/>
      <c r="E8" s="1240"/>
      <c r="F8" s="1738"/>
      <c r="G8" s="1738"/>
      <c r="H8" s="1738"/>
      <c r="I8" s="1738"/>
      <c r="J8" s="1241"/>
      <c r="K8" s="1241"/>
      <c r="L8" s="1241"/>
      <c r="M8" s="1241"/>
      <c r="N8" s="1241"/>
      <c r="O8" s="1241"/>
      <c r="P8" s="1241"/>
      <c r="Q8" s="1241"/>
    </row>
    <row r="9" spans="1:17" s="1204" customFormat="1" ht="15.6">
      <c r="A9" s="1239"/>
      <c r="B9" s="1228" t="s">
        <v>206</v>
      </c>
      <c r="C9" s="1228"/>
      <c r="D9" s="1240"/>
      <c r="E9" s="1240"/>
      <c r="F9" s="1738"/>
      <c r="G9" s="1738"/>
      <c r="H9" s="1738"/>
      <c r="I9" s="1739"/>
      <c r="J9" s="1238"/>
      <c r="K9" s="1238"/>
      <c r="L9" s="1238"/>
      <c r="M9" s="1238"/>
      <c r="N9" s="1238"/>
      <c r="O9" s="1238"/>
      <c r="P9" s="1238"/>
      <c r="Q9" s="1238"/>
    </row>
    <row r="10" spans="1:17">
      <c r="A10" s="1236"/>
      <c r="B10" s="1227" t="s">
        <v>211</v>
      </c>
      <c r="C10" s="1227"/>
      <c r="D10" s="1240"/>
      <c r="E10" s="1240"/>
      <c r="F10" s="1738"/>
      <c r="G10" s="1738"/>
      <c r="H10" s="1738"/>
      <c r="I10" s="1738"/>
      <c r="J10" s="1241"/>
      <c r="K10" s="1241"/>
      <c r="L10" s="1241"/>
      <c r="M10" s="1241"/>
      <c r="N10" s="1241"/>
      <c r="O10" s="1241"/>
      <c r="P10" s="1241"/>
      <c r="Q10" s="1241"/>
    </row>
    <row r="11" spans="1:17" s="1204" customFormat="1" ht="15.6">
      <c r="A11" s="1236"/>
      <c r="B11" s="1227" t="s">
        <v>212</v>
      </c>
      <c r="C11" s="1227"/>
      <c r="D11" s="1240"/>
      <c r="E11" s="1240"/>
      <c r="F11" s="1738"/>
      <c r="G11" s="1738"/>
      <c r="H11" s="1738"/>
      <c r="I11" s="1739"/>
      <c r="J11" s="1238"/>
      <c r="K11" s="1238"/>
      <c r="L11" s="1238"/>
      <c r="M11" s="1238"/>
      <c r="N11" s="1238"/>
      <c r="O11" s="1238"/>
      <c r="P11" s="1238"/>
      <c r="Q11" s="1238"/>
    </row>
    <row r="12" spans="1:17">
      <c r="A12" s="1239"/>
      <c r="B12" s="1227" t="s">
        <v>213</v>
      </c>
      <c r="C12" s="1227"/>
      <c r="D12" s="1240"/>
      <c r="E12" s="1240"/>
      <c r="F12" s="1738"/>
      <c r="G12" s="1738"/>
      <c r="H12" s="1738"/>
      <c r="I12" s="1738"/>
      <c r="J12" s="1241"/>
      <c r="K12" s="1241"/>
      <c r="L12" s="1241"/>
      <c r="M12" s="1241"/>
      <c r="N12" s="1241"/>
      <c r="O12" s="1241"/>
      <c r="P12" s="1241"/>
      <c r="Q12" s="1241"/>
    </row>
    <row r="13" spans="1:17">
      <c r="A13" s="1236"/>
      <c r="B13" s="1227" t="s">
        <v>214</v>
      </c>
      <c r="C13" s="1227"/>
      <c r="D13" s="1240"/>
      <c r="E13" s="1240"/>
      <c r="F13" s="1738"/>
      <c r="G13" s="1738"/>
      <c r="H13" s="1738"/>
      <c r="I13" s="1738"/>
      <c r="J13" s="1241"/>
      <c r="K13" s="1241"/>
      <c r="L13" s="1241"/>
      <c r="M13" s="1241"/>
      <c r="N13" s="1241"/>
      <c r="O13" s="1241"/>
      <c r="P13" s="1241"/>
      <c r="Q13" s="1241"/>
    </row>
    <row r="14" spans="1:17">
      <c r="A14" s="1236"/>
      <c r="B14" s="1227" t="s">
        <v>215</v>
      </c>
      <c r="C14" s="1227"/>
      <c r="D14" s="1240"/>
      <c r="E14" s="1240"/>
      <c r="F14" s="1738"/>
      <c r="G14" s="1738"/>
      <c r="H14" s="1738"/>
      <c r="I14" s="1738"/>
      <c r="J14" s="1241"/>
      <c r="K14" s="1241"/>
      <c r="L14" s="1241"/>
      <c r="M14" s="1241"/>
      <c r="N14" s="1241"/>
      <c r="O14" s="1241"/>
      <c r="P14" s="1241"/>
      <c r="Q14" s="1241"/>
    </row>
    <row r="15" spans="1:17">
      <c r="A15" s="1236"/>
      <c r="B15" s="1227" t="s">
        <v>216</v>
      </c>
      <c r="C15" s="1227"/>
      <c r="D15" s="1240"/>
      <c r="E15" s="1240"/>
      <c r="F15" s="1738"/>
      <c r="G15" s="1738"/>
      <c r="H15" s="1738"/>
      <c r="I15" s="1738"/>
      <c r="J15" s="1241"/>
      <c r="K15" s="1241"/>
      <c r="L15" s="1241"/>
      <c r="M15" s="1241"/>
      <c r="N15" s="1241"/>
      <c r="O15" s="1241"/>
      <c r="P15" s="1241"/>
      <c r="Q15" s="1241"/>
    </row>
    <row r="16" spans="1:17">
      <c r="A16" s="1236"/>
      <c r="B16" s="1227" t="s">
        <v>217</v>
      </c>
      <c r="C16" s="1227"/>
      <c r="D16" s="1240"/>
      <c r="E16" s="1240"/>
      <c r="F16" s="1738"/>
      <c r="G16" s="1738"/>
      <c r="H16" s="1738"/>
      <c r="I16" s="1738"/>
      <c r="J16" s="1241"/>
      <c r="K16" s="1241"/>
      <c r="L16" s="1241"/>
      <c r="M16" s="1241"/>
      <c r="N16" s="1241"/>
      <c r="O16" s="1241"/>
      <c r="P16" s="1241"/>
      <c r="Q16" s="1241"/>
    </row>
    <row r="17" spans="1:17">
      <c r="A17" s="1236"/>
      <c r="B17" s="1227" t="s">
        <v>218</v>
      </c>
      <c r="C17" s="1227"/>
      <c r="D17" s="1240"/>
      <c r="E17" s="1240"/>
      <c r="F17" s="1800">
        <v>13.4506614424</v>
      </c>
      <c r="G17" s="1800">
        <v>80.826730845499995</v>
      </c>
      <c r="H17" s="1801">
        <v>85.475663877800002</v>
      </c>
      <c r="I17" s="1800">
        <v>62.710685830400003</v>
      </c>
      <c r="J17" s="1241"/>
      <c r="K17" s="1241"/>
      <c r="L17" s="1241"/>
      <c r="M17" s="1241"/>
      <c r="N17" s="1241"/>
      <c r="O17" s="1241"/>
      <c r="P17" s="1241"/>
      <c r="Q17" s="1241"/>
    </row>
    <row r="18" spans="1:17" ht="15.6">
      <c r="A18" s="1236"/>
      <c r="B18" s="1229" t="s">
        <v>197</v>
      </c>
      <c r="C18" s="1227"/>
      <c r="D18" s="1240"/>
      <c r="E18" s="1240"/>
      <c r="F18" s="1800">
        <v>1021.9796477821001</v>
      </c>
      <c r="G18" s="1800">
        <v>1027.2207200395001</v>
      </c>
      <c r="H18" s="1801">
        <v>1065.6427069003998</v>
      </c>
      <c r="I18" s="1800">
        <v>1076.766358542</v>
      </c>
      <c r="J18" s="1241"/>
      <c r="K18" s="1241"/>
      <c r="L18" s="1241"/>
      <c r="M18" s="1241"/>
      <c r="N18" s="1241"/>
      <c r="O18" s="1241"/>
      <c r="P18" s="1241"/>
      <c r="Q18" s="1241"/>
    </row>
    <row r="19" spans="1:17">
      <c r="A19" s="1236"/>
      <c r="B19" s="1227" t="s">
        <v>219</v>
      </c>
      <c r="C19" s="1227"/>
      <c r="D19" s="1240"/>
      <c r="E19" s="1240"/>
      <c r="F19" s="1800">
        <v>656.32210238139999</v>
      </c>
      <c r="G19" s="1800">
        <v>640.2585249581</v>
      </c>
      <c r="H19" s="1801">
        <v>674.1334915356</v>
      </c>
      <c r="I19" s="1800">
        <v>654.26142421330007</v>
      </c>
      <c r="J19" s="1241"/>
      <c r="K19" s="1241"/>
      <c r="L19" s="1241"/>
      <c r="M19" s="1241"/>
      <c r="N19" s="1241"/>
      <c r="O19" s="1241"/>
      <c r="P19" s="1241"/>
      <c r="Q19" s="1241"/>
    </row>
    <row r="20" spans="1:17">
      <c r="A20" s="1236"/>
      <c r="B20" s="1227" t="s">
        <v>220</v>
      </c>
      <c r="C20" s="1227"/>
      <c r="D20" s="1240"/>
      <c r="E20" s="1240"/>
      <c r="F20" s="1738"/>
      <c r="G20" s="1738"/>
      <c r="H20" s="1738"/>
      <c r="I20" s="1738"/>
      <c r="J20" s="1241"/>
      <c r="K20" s="1241"/>
      <c r="L20" s="1241"/>
      <c r="M20" s="1241"/>
      <c r="N20" s="1241"/>
      <c r="O20" s="1241"/>
      <c r="P20" s="1241"/>
      <c r="Q20" s="1241"/>
    </row>
    <row r="21" spans="1:17">
      <c r="A21" s="1236"/>
      <c r="B21" s="1227" t="s">
        <v>221</v>
      </c>
      <c r="C21" s="1227"/>
      <c r="D21" s="1240"/>
      <c r="E21" s="1240"/>
      <c r="F21" s="1738"/>
      <c r="G21" s="1738"/>
      <c r="H21" s="1738"/>
      <c r="I21" s="1738"/>
      <c r="J21" s="1241"/>
      <c r="K21" s="1241"/>
      <c r="L21" s="1241"/>
      <c r="M21" s="1241"/>
      <c r="N21" s="1241"/>
      <c r="O21" s="1241"/>
      <c r="P21" s="1241"/>
      <c r="Q21" s="1241"/>
    </row>
    <row r="22" spans="1:17">
      <c r="A22" s="1236"/>
      <c r="B22" s="1227" t="s">
        <v>222</v>
      </c>
      <c r="C22" s="1227"/>
      <c r="D22" s="1240"/>
      <c r="E22" s="1240"/>
      <c r="F22" s="1738"/>
      <c r="G22" s="1738"/>
      <c r="H22" s="1738"/>
      <c r="I22" s="1738"/>
      <c r="J22" s="1241"/>
      <c r="K22" s="1241"/>
      <c r="L22" s="1241"/>
      <c r="M22" s="1241"/>
      <c r="N22" s="1241"/>
      <c r="O22" s="1241"/>
      <c r="P22" s="1241"/>
      <c r="Q22" s="1241"/>
    </row>
    <row r="23" spans="1:17">
      <c r="A23" s="1236"/>
      <c r="B23" s="1227" t="s">
        <v>223</v>
      </c>
      <c r="C23" s="1227"/>
      <c r="D23" s="1240"/>
      <c r="E23" s="1240"/>
      <c r="F23" s="1738"/>
      <c r="G23" s="1738"/>
      <c r="H23" s="1738"/>
      <c r="I23" s="1738"/>
      <c r="J23" s="1241"/>
      <c r="K23" s="1241"/>
      <c r="L23" s="1241"/>
      <c r="M23" s="1241"/>
      <c r="N23" s="1241"/>
      <c r="O23" s="1241"/>
      <c r="P23" s="1241"/>
      <c r="Q23" s="1241"/>
    </row>
    <row r="24" spans="1:17">
      <c r="A24" s="1236"/>
      <c r="B24" s="1230" t="s">
        <v>224</v>
      </c>
      <c r="C24" s="1230"/>
      <c r="D24" s="1240"/>
      <c r="E24" s="1240"/>
      <c r="F24" s="1738"/>
      <c r="G24" s="1738"/>
      <c r="H24" s="1738"/>
      <c r="I24" s="1738"/>
      <c r="J24" s="1241"/>
      <c r="K24" s="1241"/>
      <c r="L24" s="1241"/>
      <c r="M24" s="1241"/>
      <c r="N24" s="1241"/>
      <c r="O24" s="1241"/>
      <c r="P24" s="1241"/>
      <c r="Q24" s="1241"/>
    </row>
    <row r="25" spans="1:17">
      <c r="A25" s="1236"/>
      <c r="B25" s="1230" t="s">
        <v>225</v>
      </c>
      <c r="C25" s="1230"/>
      <c r="D25" s="1240"/>
      <c r="E25" s="1240"/>
      <c r="F25" s="1800">
        <v>43.888878871800003</v>
      </c>
      <c r="G25" s="1800">
        <v>44.087861000699995</v>
      </c>
      <c r="H25" s="1801">
        <v>46.4956102282</v>
      </c>
      <c r="I25" s="1800">
        <v>49.228102347499998</v>
      </c>
      <c r="J25" s="1241"/>
      <c r="K25" s="1241"/>
      <c r="L25" s="1241"/>
      <c r="M25" s="1241"/>
      <c r="N25" s="1241"/>
      <c r="O25" s="1241"/>
      <c r="P25" s="1241"/>
      <c r="Q25" s="1241"/>
    </row>
    <row r="26" spans="1:17">
      <c r="A26" s="1236"/>
      <c r="B26" s="1230" t="s">
        <v>226</v>
      </c>
      <c r="C26" s="1230"/>
      <c r="D26" s="1240"/>
      <c r="E26" s="1240"/>
      <c r="F26" s="1800">
        <v>42.926495512199999</v>
      </c>
      <c r="G26" s="1800">
        <v>46.646553817299996</v>
      </c>
      <c r="H26" s="1801">
        <v>55.708519806200002</v>
      </c>
      <c r="I26" s="1800">
        <v>50.894595025900003</v>
      </c>
      <c r="J26" s="1241"/>
      <c r="K26" s="1241"/>
      <c r="L26" s="1241"/>
      <c r="M26" s="1241"/>
      <c r="N26" s="1241"/>
      <c r="O26" s="1241"/>
      <c r="P26" s="1241"/>
      <c r="Q26" s="1241"/>
    </row>
    <row r="27" spans="1:17">
      <c r="A27" s="1236"/>
      <c r="B27" s="1230" t="s">
        <v>227</v>
      </c>
      <c r="C27" s="1230"/>
      <c r="D27" s="1240"/>
      <c r="E27" s="1240"/>
      <c r="F27" s="1800">
        <v>122.7083568341</v>
      </c>
      <c r="G27" s="1800">
        <v>128.053134814</v>
      </c>
      <c r="H27" s="1801">
        <v>116.92575401100001</v>
      </c>
      <c r="I27" s="1800">
        <v>124.7533956657</v>
      </c>
      <c r="J27" s="1241"/>
      <c r="K27" s="1241"/>
      <c r="L27" s="1241"/>
      <c r="M27" s="1241"/>
      <c r="N27" s="1241"/>
      <c r="O27" s="1241"/>
      <c r="P27" s="1241"/>
      <c r="Q27" s="1241"/>
    </row>
    <row r="28" spans="1:17" ht="15.6">
      <c r="A28" s="1236"/>
      <c r="B28" s="1231" t="s">
        <v>198</v>
      </c>
      <c r="C28" s="1230"/>
      <c r="D28" s="1240"/>
      <c r="E28" s="1240"/>
      <c r="F28" s="1800">
        <v>865.8458335995</v>
      </c>
      <c r="G28" s="1800">
        <v>859.04607459009992</v>
      </c>
      <c r="H28" s="1801">
        <v>893.2633755810001</v>
      </c>
      <c r="I28" s="1800">
        <v>879.13751725240002</v>
      </c>
      <c r="J28" s="1241"/>
      <c r="K28" s="1241"/>
      <c r="L28" s="1241"/>
      <c r="M28" s="1241"/>
      <c r="N28" s="1241"/>
      <c r="O28" s="1241"/>
      <c r="P28" s="1241"/>
      <c r="Q28" s="1241"/>
    </row>
    <row r="29" spans="1:17" ht="15.6">
      <c r="A29" s="1236"/>
      <c r="B29" s="1231" t="s">
        <v>228</v>
      </c>
      <c r="C29" s="1230"/>
      <c r="D29" s="1240"/>
      <c r="E29" s="1240"/>
      <c r="F29" s="1800">
        <v>156.13381418259999</v>
      </c>
      <c r="G29" s="1800">
        <v>168.1746454494</v>
      </c>
      <c r="H29" s="1801">
        <v>172.37933131939999</v>
      </c>
      <c r="I29" s="1800">
        <v>197.62884128959999</v>
      </c>
      <c r="J29" s="1241"/>
      <c r="K29" s="1241"/>
      <c r="L29" s="1241"/>
      <c r="M29" s="1241"/>
      <c r="N29" s="1241"/>
      <c r="O29" s="1241"/>
      <c r="P29" s="1241"/>
      <c r="Q29" s="1241"/>
    </row>
    <row r="30" spans="1:17">
      <c r="A30" s="1236"/>
      <c r="B30" s="1232" t="s">
        <v>199</v>
      </c>
      <c r="C30" s="1232"/>
      <c r="D30" s="1240"/>
      <c r="E30" s="1240"/>
      <c r="F30" s="1800"/>
      <c r="G30" s="1802"/>
      <c r="H30" s="1800"/>
      <c r="I30" s="1800"/>
      <c r="J30" s="1241"/>
      <c r="K30" s="1241"/>
      <c r="L30" s="1241"/>
      <c r="M30" s="1241"/>
      <c r="N30" s="1241"/>
      <c r="O30" s="1241"/>
      <c r="P30" s="1241"/>
      <c r="Q30" s="1241"/>
    </row>
    <row r="31" spans="1:17">
      <c r="A31" s="1236"/>
      <c r="B31" s="1230" t="s">
        <v>229</v>
      </c>
      <c r="C31" s="1230"/>
      <c r="D31" s="1240"/>
      <c r="E31" s="1240"/>
      <c r="F31" s="1800">
        <v>8.0196778329999994</v>
      </c>
      <c r="G31" s="1800">
        <v>2</v>
      </c>
      <c r="H31" s="1801">
        <v>7</v>
      </c>
      <c r="I31" s="1800"/>
      <c r="J31" s="1241"/>
      <c r="K31" s="1241"/>
      <c r="L31" s="1241"/>
      <c r="M31" s="1241"/>
      <c r="N31" s="1241"/>
      <c r="O31" s="1241"/>
      <c r="P31" s="1241"/>
      <c r="Q31" s="1241"/>
    </row>
    <row r="32" spans="1:17">
      <c r="A32" s="1236"/>
      <c r="B32" s="1230" t="s">
        <v>230</v>
      </c>
      <c r="C32" s="1230"/>
      <c r="D32" s="1240"/>
      <c r="E32" s="1240"/>
      <c r="F32" s="1800">
        <v>0.19348799999999999</v>
      </c>
      <c r="G32" s="1800">
        <v>2.3793120650999997</v>
      </c>
      <c r="H32" s="1801">
        <v>1.6290847833000002</v>
      </c>
      <c r="I32" s="1800">
        <v>1.7131034024</v>
      </c>
      <c r="J32" s="1241"/>
      <c r="K32" s="1241"/>
      <c r="L32" s="1241"/>
      <c r="M32" s="1241"/>
      <c r="N32" s="1241"/>
      <c r="O32" s="1241"/>
      <c r="P32" s="1241"/>
      <c r="Q32" s="1241"/>
    </row>
    <row r="33" spans="1:17">
      <c r="A33" s="1236"/>
      <c r="B33" s="1230" t="s">
        <v>231</v>
      </c>
      <c r="C33" s="1230"/>
      <c r="D33" s="1240"/>
      <c r="E33" s="1240"/>
      <c r="F33" s="1800">
        <v>0.32021765159999999</v>
      </c>
      <c r="G33" s="1800">
        <v>6.2939217999999991E-2</v>
      </c>
      <c r="H33" s="1801">
        <v>2.1964300000000001E-3</v>
      </c>
      <c r="I33" s="1800">
        <v>3.8189690599999999E-2</v>
      </c>
      <c r="J33" s="1241"/>
      <c r="K33" s="1241"/>
      <c r="L33" s="1241"/>
      <c r="M33" s="1241"/>
      <c r="N33" s="1241"/>
      <c r="O33" s="1241"/>
      <c r="P33" s="1241"/>
      <c r="Q33" s="1241"/>
    </row>
    <row r="34" spans="1:17">
      <c r="A34" s="1236"/>
      <c r="B34" s="1233" t="s">
        <v>232</v>
      </c>
      <c r="C34" s="1233"/>
      <c r="D34" s="1240"/>
      <c r="E34" s="1240"/>
      <c r="F34" s="1800">
        <v>0</v>
      </c>
      <c r="G34" s="1800">
        <v>0</v>
      </c>
      <c r="H34" s="1800"/>
      <c r="I34" s="1800"/>
      <c r="J34" s="1241"/>
      <c r="K34" s="1241"/>
      <c r="L34" s="1241"/>
      <c r="M34" s="1241"/>
      <c r="N34" s="1241"/>
      <c r="O34" s="1241"/>
      <c r="P34" s="1241"/>
      <c r="Q34" s="1241"/>
    </row>
    <row r="35" spans="1:17">
      <c r="A35" s="1236"/>
      <c r="B35" s="1233" t="s">
        <v>233</v>
      </c>
      <c r="C35" s="1233"/>
      <c r="D35" s="1240"/>
      <c r="E35" s="1240"/>
      <c r="F35" s="1800">
        <v>2.0966605400000001E-2</v>
      </c>
      <c r="G35" s="1800">
        <v>124.91042179280001</v>
      </c>
      <c r="H35" s="1801">
        <v>115.8450075447</v>
      </c>
      <c r="I35" s="1800">
        <v>113.96167955680001</v>
      </c>
      <c r="J35" s="1241"/>
      <c r="K35" s="1241"/>
      <c r="L35" s="1241"/>
      <c r="M35" s="1241"/>
      <c r="N35" s="1241"/>
      <c r="O35" s="1241"/>
      <c r="P35" s="1241"/>
      <c r="Q35" s="1241"/>
    </row>
    <row r="36" spans="1:17">
      <c r="A36" s="1236"/>
      <c r="B36" s="1233" t="s">
        <v>234</v>
      </c>
      <c r="C36" s="1233"/>
      <c r="D36" s="1240"/>
      <c r="E36" s="1240"/>
      <c r="F36" s="1800"/>
      <c r="G36" s="1800">
        <v>117.23377214920001</v>
      </c>
      <c r="H36" s="1801">
        <v>108.41603009469999</v>
      </c>
      <c r="I36" s="1800">
        <v>106.8301065468</v>
      </c>
      <c r="J36" s="1241"/>
      <c r="K36" s="1241"/>
      <c r="L36" s="1241"/>
      <c r="M36" s="1241"/>
      <c r="N36" s="1241"/>
      <c r="O36" s="1241"/>
      <c r="P36" s="1241"/>
      <c r="Q36" s="1241"/>
    </row>
    <row r="37" spans="1:17">
      <c r="A37" s="1236"/>
      <c r="B37" s="1233" t="s">
        <v>200</v>
      </c>
      <c r="C37" s="1233"/>
      <c r="D37" s="1240"/>
      <c r="E37" s="1240"/>
      <c r="F37" s="1800">
        <v>8.5543500899999998</v>
      </c>
      <c r="G37" s="1800">
        <v>129.35267307590001</v>
      </c>
      <c r="H37" s="1801">
        <v>124.476288758</v>
      </c>
      <c r="I37" s="1800">
        <v>115.71297264979999</v>
      </c>
      <c r="J37" s="1241"/>
      <c r="K37" s="1241"/>
      <c r="L37" s="1241"/>
      <c r="M37" s="1241"/>
      <c r="N37" s="1241"/>
      <c r="O37" s="1241"/>
      <c r="P37" s="1241"/>
      <c r="Q37" s="1241"/>
    </row>
    <row r="38" spans="1:17">
      <c r="A38" s="1236"/>
      <c r="B38" s="1230" t="s">
        <v>235</v>
      </c>
      <c r="C38" s="1230"/>
      <c r="D38" s="1240"/>
      <c r="E38" s="1240"/>
      <c r="F38" s="1800">
        <v>244.83270820689998</v>
      </c>
      <c r="G38" s="1800">
        <v>253.84916571299999</v>
      </c>
      <c r="H38" s="1801">
        <v>240.55432031310002</v>
      </c>
      <c r="I38" s="1800">
        <v>202.78875645630001</v>
      </c>
      <c r="J38" s="1241"/>
      <c r="K38" s="1241"/>
      <c r="L38" s="1241"/>
      <c r="M38" s="1241"/>
      <c r="N38" s="1241"/>
      <c r="O38" s="1241"/>
      <c r="P38" s="1241"/>
      <c r="Q38" s="1241"/>
    </row>
    <row r="39" spans="1:17">
      <c r="A39" s="1236"/>
      <c r="B39" s="1230" t="s">
        <v>236</v>
      </c>
      <c r="C39" s="1230"/>
      <c r="D39" s="1240"/>
      <c r="E39" s="1240"/>
      <c r="F39" s="1800"/>
      <c r="G39" s="1800">
        <v>94.639417147700001</v>
      </c>
      <c r="H39" s="1801">
        <v>109.3803735624</v>
      </c>
      <c r="I39" s="1800">
        <v>93.746922334899992</v>
      </c>
      <c r="J39" s="1241"/>
      <c r="K39" s="1241"/>
      <c r="L39" s="1241"/>
      <c r="M39" s="1241"/>
      <c r="N39" s="1241"/>
      <c r="O39" s="1241"/>
      <c r="P39" s="1241"/>
      <c r="Q39" s="1241"/>
    </row>
    <row r="40" spans="1:17" s="1743" customFormat="1">
      <c r="A40" s="1740"/>
      <c r="B40" s="1363" t="s">
        <v>1971</v>
      </c>
      <c r="C40" s="1363"/>
      <c r="D40" s="1741"/>
      <c r="E40" s="1741"/>
      <c r="F40" s="1800"/>
      <c r="G40" s="1800"/>
      <c r="H40" s="1801">
        <v>131.1739467507</v>
      </c>
      <c r="I40" s="1800">
        <v>109.0418341214</v>
      </c>
      <c r="J40" s="1742"/>
      <c r="K40" s="1742"/>
      <c r="L40" s="1742"/>
      <c r="M40" s="1742"/>
      <c r="N40" s="1742"/>
      <c r="O40" s="1742"/>
      <c r="P40" s="1742"/>
      <c r="Q40" s="1742"/>
    </row>
    <row r="41" spans="1:17">
      <c r="A41" s="1236"/>
      <c r="B41" s="1230" t="s">
        <v>237</v>
      </c>
      <c r="C41" s="1230"/>
      <c r="D41" s="1240"/>
      <c r="E41" s="1240"/>
      <c r="F41" s="1800">
        <v>5.2719762020999994</v>
      </c>
      <c r="G41" s="1800">
        <v>0.21029999999999999</v>
      </c>
      <c r="H41" s="1801">
        <v>0.27750000000000002</v>
      </c>
      <c r="I41" s="1800">
        <v>0.33540999999999999</v>
      </c>
      <c r="J41" s="1241"/>
      <c r="K41" s="1241"/>
      <c r="L41" s="1241"/>
      <c r="M41" s="1241"/>
      <c r="N41" s="1241"/>
      <c r="O41" s="1241"/>
      <c r="P41" s="1241"/>
      <c r="Q41" s="1241"/>
    </row>
    <row r="42" spans="1:17">
      <c r="A42" s="1236"/>
      <c r="B42" s="1230" t="s">
        <v>238</v>
      </c>
      <c r="C42" s="1230"/>
      <c r="D42" s="1240"/>
      <c r="E42" s="1240"/>
      <c r="F42" s="1738"/>
      <c r="G42" s="1738"/>
      <c r="H42" s="1738"/>
      <c r="I42" s="1738"/>
      <c r="J42" s="1241"/>
      <c r="K42" s="1241"/>
      <c r="L42" s="1241"/>
      <c r="M42" s="1241"/>
      <c r="N42" s="1241"/>
      <c r="O42" s="1241"/>
      <c r="P42" s="1241"/>
      <c r="Q42" s="1241"/>
    </row>
    <row r="43" spans="1:17">
      <c r="B43" s="1230" t="s">
        <v>239</v>
      </c>
      <c r="C43" s="1230"/>
      <c r="D43" s="1240"/>
      <c r="E43" s="1240"/>
      <c r="F43" s="1738"/>
      <c r="G43" s="1738"/>
      <c r="H43" s="1738"/>
      <c r="I43" s="1738"/>
      <c r="J43" s="1241"/>
      <c r="K43" s="1241"/>
      <c r="L43" s="1241"/>
      <c r="M43" s="1241"/>
      <c r="N43" s="1241"/>
      <c r="O43" s="1241"/>
      <c r="P43" s="1241"/>
      <c r="Q43" s="1241"/>
    </row>
    <row r="44" spans="1:17">
      <c r="B44" s="1230" t="s">
        <v>240</v>
      </c>
      <c r="C44" s="1230"/>
      <c r="D44" s="1240"/>
      <c r="E44" s="1240"/>
      <c r="F44" s="1800">
        <v>33.9579706954</v>
      </c>
      <c r="G44" s="1800">
        <v>11.469968809600001</v>
      </c>
      <c r="H44" s="1800">
        <v>18.567291224000002</v>
      </c>
      <c r="I44" s="1800">
        <v>7.3902762692999993</v>
      </c>
      <c r="J44" s="1241"/>
      <c r="K44" s="1241"/>
      <c r="L44" s="1241"/>
      <c r="M44" s="1241"/>
      <c r="N44" s="1241"/>
      <c r="O44" s="1241"/>
      <c r="P44" s="1241"/>
      <c r="Q44" s="1241"/>
    </row>
    <row r="45" spans="1:17">
      <c r="B45" s="1230" t="s">
        <v>201</v>
      </c>
      <c r="C45" s="1230"/>
      <c r="D45" s="1240"/>
      <c r="E45" s="1240"/>
      <c r="F45" s="1800">
        <v>284.06265510439999</v>
      </c>
      <c r="G45" s="1800">
        <v>265.52943452259996</v>
      </c>
      <c r="H45" s="1800">
        <v>259.3991115371</v>
      </c>
      <c r="I45" s="1800">
        <v>210.51444272560002</v>
      </c>
      <c r="J45" s="1241"/>
      <c r="K45" s="1241"/>
      <c r="L45" s="1241"/>
      <c r="M45" s="1241"/>
      <c r="N45" s="1241"/>
      <c r="O45" s="1241"/>
      <c r="P45" s="1241"/>
      <c r="Q45" s="1241"/>
    </row>
    <row r="46" spans="1:17">
      <c r="B46" s="1230" t="s">
        <v>241</v>
      </c>
      <c r="C46" s="1230"/>
      <c r="D46" s="1240"/>
      <c r="E46" s="1240"/>
      <c r="F46" s="1800">
        <v>-275.50830501439998</v>
      </c>
      <c r="G46" s="1800">
        <v>-136.1767614467</v>
      </c>
      <c r="H46" s="1800">
        <v>-134.92282277909999</v>
      </c>
      <c r="I46" s="1800">
        <v>-94.801470075799998</v>
      </c>
      <c r="J46" s="1241"/>
      <c r="K46" s="1241"/>
      <c r="L46" s="1241"/>
      <c r="M46" s="1241"/>
      <c r="N46" s="1241"/>
      <c r="O46" s="1241"/>
      <c r="P46" s="1241"/>
      <c r="Q46" s="1241"/>
    </row>
    <row r="47" spans="1:17">
      <c r="B47" s="1232" t="s">
        <v>202</v>
      </c>
      <c r="C47" s="1232"/>
      <c r="D47" s="1240"/>
      <c r="E47" s="1240"/>
      <c r="F47" s="1738"/>
      <c r="G47" s="1738"/>
      <c r="H47" s="1738"/>
      <c r="I47" s="1738"/>
      <c r="J47" s="1241"/>
      <c r="K47" s="1241"/>
      <c r="L47" s="1241"/>
      <c r="M47" s="1241"/>
      <c r="N47" s="1241"/>
      <c r="O47" s="1241"/>
      <c r="P47" s="1241"/>
      <c r="Q47" s="1241"/>
    </row>
    <row r="48" spans="1:17">
      <c r="B48" s="1230" t="s">
        <v>242</v>
      </c>
      <c r="C48" s="1230"/>
      <c r="D48" s="1240"/>
      <c r="E48" s="1240"/>
      <c r="F48" s="1738"/>
      <c r="G48" s="1738"/>
      <c r="H48" s="1738"/>
      <c r="I48" s="1738"/>
      <c r="J48" s="1241"/>
      <c r="K48" s="1241"/>
      <c r="L48" s="1241"/>
      <c r="M48" s="1241"/>
      <c r="N48" s="1241"/>
      <c r="O48" s="1241"/>
      <c r="P48" s="1241"/>
      <c r="Q48" s="1241"/>
    </row>
    <row r="49" spans="2:17">
      <c r="B49" s="1230" t="s">
        <v>243</v>
      </c>
      <c r="C49" s="1230"/>
      <c r="D49" s="1240"/>
      <c r="E49" s="1240"/>
      <c r="F49" s="1738"/>
      <c r="G49" s="1738"/>
      <c r="H49" s="1738"/>
      <c r="I49" s="1738"/>
      <c r="J49" s="1241"/>
      <c r="K49" s="1241"/>
      <c r="L49" s="1241"/>
      <c r="M49" s="1241"/>
      <c r="N49" s="1241"/>
      <c r="O49" s="1241"/>
      <c r="P49" s="1241"/>
      <c r="Q49" s="1241"/>
    </row>
    <row r="50" spans="2:17">
      <c r="B50" s="1230" t="s">
        <v>244</v>
      </c>
      <c r="C50" s="1230"/>
      <c r="D50" s="1240"/>
      <c r="E50" s="1240"/>
      <c r="F50" s="1800"/>
      <c r="G50" s="1800">
        <v>11.39</v>
      </c>
      <c r="H50" s="1800">
        <v>0.85109999999999997</v>
      </c>
      <c r="I50" s="1800"/>
      <c r="J50" s="1241"/>
      <c r="K50" s="1241"/>
      <c r="L50" s="1241"/>
      <c r="M50" s="1241"/>
      <c r="N50" s="1241"/>
      <c r="O50" s="1241"/>
      <c r="P50" s="1241"/>
      <c r="Q50" s="1241"/>
    </row>
    <row r="51" spans="2:17">
      <c r="B51" s="1230" t="s">
        <v>245</v>
      </c>
      <c r="C51" s="1230"/>
      <c r="D51" s="1240"/>
      <c r="E51" s="1240"/>
      <c r="F51" s="1800"/>
      <c r="G51" s="1800"/>
      <c r="H51" s="1800"/>
      <c r="I51" s="1800"/>
      <c r="J51" s="1241"/>
      <c r="K51" s="1241"/>
      <c r="L51" s="1241"/>
      <c r="M51" s="1241"/>
      <c r="N51" s="1241"/>
      <c r="O51" s="1241"/>
      <c r="P51" s="1241"/>
      <c r="Q51" s="1241"/>
    </row>
    <row r="52" spans="2:17">
      <c r="B52" s="1230" t="s">
        <v>246</v>
      </c>
      <c r="C52" s="1230"/>
      <c r="D52" s="1240"/>
      <c r="E52" s="1240"/>
      <c r="F52" s="1800">
        <v>121.326080914</v>
      </c>
      <c r="G52" s="1800"/>
      <c r="H52" s="1800"/>
      <c r="I52" s="1800">
        <v>2.1887999999999999E-3</v>
      </c>
      <c r="J52" s="1241"/>
      <c r="K52" s="1241"/>
      <c r="L52" s="1241"/>
      <c r="M52" s="1241"/>
      <c r="N52" s="1241"/>
      <c r="O52" s="1241"/>
      <c r="P52" s="1241"/>
      <c r="Q52" s="1241"/>
    </row>
    <row r="53" spans="2:17">
      <c r="B53" s="1227" t="s">
        <v>203</v>
      </c>
      <c r="C53" s="1227"/>
      <c r="D53" s="1240"/>
      <c r="E53" s="1240"/>
      <c r="F53" s="1800">
        <v>121.326080914</v>
      </c>
      <c r="G53" s="1800">
        <v>11.39</v>
      </c>
      <c r="H53" s="1800">
        <v>0.85109999999999997</v>
      </c>
      <c r="I53" s="1800">
        <v>2.1887999999999999E-3</v>
      </c>
      <c r="J53" s="1241"/>
      <c r="K53" s="1241"/>
      <c r="L53" s="1241"/>
      <c r="M53" s="1241"/>
      <c r="N53" s="1241"/>
      <c r="O53" s="1241"/>
      <c r="P53" s="1241"/>
      <c r="Q53" s="1241"/>
    </row>
    <row r="54" spans="2:17">
      <c r="B54" s="1227" t="s">
        <v>247</v>
      </c>
      <c r="C54" s="1227"/>
      <c r="D54" s="1240"/>
      <c r="E54" s="1240"/>
      <c r="F54" s="1800">
        <v>1.2609797790000001</v>
      </c>
      <c r="G54" s="1800">
        <v>0.15384615439999999</v>
      </c>
      <c r="H54" s="1800">
        <v>9.8000000000000007</v>
      </c>
      <c r="I54" s="1800">
        <v>0.38</v>
      </c>
      <c r="J54" s="1241"/>
      <c r="K54" s="1241"/>
      <c r="L54" s="1241"/>
      <c r="M54" s="1241"/>
      <c r="N54" s="1241"/>
      <c r="O54" s="1241"/>
      <c r="P54" s="1241"/>
      <c r="Q54" s="1241"/>
    </row>
    <row r="55" spans="2:17">
      <c r="B55" s="1227" t="s">
        <v>248</v>
      </c>
      <c r="C55" s="1227"/>
      <c r="D55" s="1240"/>
      <c r="E55" s="1240"/>
      <c r="F55" s="1800">
        <v>17.2983665187</v>
      </c>
      <c r="G55" s="1800">
        <v>25.100886923099999</v>
      </c>
      <c r="H55" s="1800">
        <v>11.275656106</v>
      </c>
      <c r="I55" s="1800">
        <v>66.377944208900004</v>
      </c>
      <c r="J55" s="1241"/>
      <c r="K55" s="1241"/>
      <c r="L55" s="1241"/>
      <c r="M55" s="1241"/>
      <c r="N55" s="1241"/>
      <c r="O55" s="1241"/>
      <c r="P55" s="1241"/>
      <c r="Q55" s="1241"/>
    </row>
    <row r="56" spans="2:17">
      <c r="B56" s="1227" t="s">
        <v>249</v>
      </c>
      <c r="C56" s="1227"/>
      <c r="D56" s="1240"/>
      <c r="E56" s="1240"/>
      <c r="F56" s="1800"/>
      <c r="G56" s="1800">
        <v>0</v>
      </c>
      <c r="H56" s="1800">
        <v>0</v>
      </c>
      <c r="I56" s="1800">
        <v>0</v>
      </c>
      <c r="J56" s="1241"/>
      <c r="K56" s="1241"/>
      <c r="L56" s="1241"/>
      <c r="M56" s="1241"/>
      <c r="N56" s="1241"/>
      <c r="O56" s="1241"/>
      <c r="P56" s="1241"/>
      <c r="Q56" s="1241"/>
    </row>
    <row r="57" spans="2:17">
      <c r="B57" s="1358" t="s">
        <v>1970</v>
      </c>
      <c r="C57" s="1227"/>
      <c r="D57" s="1240"/>
      <c r="E57" s="1240"/>
      <c r="F57" s="1800"/>
      <c r="G57" s="1800">
        <v>0.43768692310000001</v>
      </c>
      <c r="H57" s="1800">
        <v>0.81405610599999989</v>
      </c>
      <c r="I57" s="1800">
        <v>6.9209698999999998E-3</v>
      </c>
      <c r="J57" s="1241"/>
      <c r="K57" s="1241"/>
      <c r="L57" s="1241"/>
      <c r="M57" s="1241"/>
      <c r="N57" s="1241"/>
      <c r="O57" s="1241"/>
      <c r="P57" s="1241"/>
      <c r="Q57" s="1241"/>
    </row>
    <row r="58" spans="2:17">
      <c r="B58" s="1227" t="s">
        <v>250</v>
      </c>
      <c r="C58" s="1227"/>
      <c r="D58" s="1240"/>
      <c r="E58" s="1240"/>
      <c r="F58" s="1800">
        <v>1.3624254636000002</v>
      </c>
      <c r="G58" s="1800"/>
      <c r="H58" s="1800"/>
      <c r="I58" s="1800"/>
      <c r="J58" s="1241"/>
      <c r="K58" s="1241"/>
      <c r="L58" s="1241"/>
      <c r="M58" s="1241"/>
      <c r="N58" s="1241"/>
      <c r="O58" s="1241"/>
      <c r="P58" s="1241"/>
      <c r="Q58" s="1241"/>
    </row>
    <row r="59" spans="2:17">
      <c r="B59" s="1227" t="s">
        <v>796</v>
      </c>
      <c r="C59" s="1227"/>
      <c r="D59" s="1240"/>
      <c r="E59" s="1240"/>
      <c r="F59" s="1800">
        <v>19.9217717613</v>
      </c>
      <c r="G59" s="1800">
        <v>25.254733077499999</v>
      </c>
      <c r="H59" s="1800">
        <v>21.075656106</v>
      </c>
      <c r="I59" s="1800">
        <v>66.7579442089</v>
      </c>
      <c r="J59" s="1241"/>
      <c r="K59" s="1241"/>
      <c r="L59" s="1241"/>
      <c r="M59" s="1241"/>
      <c r="N59" s="1241"/>
      <c r="O59" s="1241"/>
      <c r="P59" s="1241"/>
      <c r="Q59" s="1241"/>
    </row>
    <row r="60" spans="2:17">
      <c r="B60" s="1227" t="s">
        <v>251</v>
      </c>
      <c r="C60" s="1227"/>
      <c r="D60" s="1240"/>
      <c r="E60" s="1240"/>
      <c r="F60" s="1800">
        <v>101.40430915270001</v>
      </c>
      <c r="G60" s="1800">
        <v>-13.8647330775</v>
      </c>
      <c r="H60" s="1800">
        <v>-20.224556105999998</v>
      </c>
      <c r="I60" s="1800">
        <v>-66.755755408900001</v>
      </c>
      <c r="J60" s="1241"/>
      <c r="K60" s="1241"/>
      <c r="L60" s="1241"/>
      <c r="M60" s="1241"/>
      <c r="N60" s="1241"/>
      <c r="O60" s="1241"/>
      <c r="P60" s="1241"/>
      <c r="Q60" s="1241"/>
    </row>
    <row r="61" spans="2:17" ht="15.6">
      <c r="B61" s="1234" t="s">
        <v>204</v>
      </c>
      <c r="C61" s="1234"/>
      <c r="D61" s="1240"/>
      <c r="E61" s="1240"/>
      <c r="F61" s="1800">
        <v>1.1650592999999999E-3</v>
      </c>
      <c r="G61" s="1800">
        <v>3.6032260999999998E-3</v>
      </c>
      <c r="H61" s="1800">
        <v>1.7602850000000001E-3</v>
      </c>
      <c r="I61" s="1800">
        <v>-3.4725789000000003E-3</v>
      </c>
      <c r="J61" s="1241"/>
      <c r="K61" s="1241"/>
      <c r="L61" s="1241"/>
      <c r="M61" s="1241"/>
      <c r="N61" s="1241"/>
      <c r="O61" s="1241"/>
      <c r="P61" s="1241"/>
      <c r="Q61" s="1241"/>
    </row>
    <row r="62" spans="2:17" ht="15.6">
      <c r="B62" s="1234" t="s">
        <v>205</v>
      </c>
      <c r="C62" s="1234"/>
      <c r="D62" s="1240"/>
      <c r="E62" s="1240"/>
      <c r="F62" s="1800">
        <v>-17.969016619800001</v>
      </c>
      <c r="G62" s="1800">
        <v>18.1367541513</v>
      </c>
      <c r="H62" s="1800">
        <v>17.233712719300001</v>
      </c>
      <c r="I62" s="1800">
        <v>36.068143225999997</v>
      </c>
      <c r="J62" s="1241"/>
      <c r="K62" s="1241"/>
      <c r="L62" s="1241"/>
      <c r="M62" s="1241"/>
      <c r="N62" s="1241"/>
      <c r="O62" s="1241"/>
      <c r="P62" s="1241"/>
      <c r="Q62" s="1241"/>
    </row>
    <row r="63" spans="2:17">
      <c r="B63" s="1227" t="s">
        <v>252</v>
      </c>
      <c r="C63" s="1227"/>
      <c r="D63" s="1240"/>
      <c r="E63" s="1240"/>
      <c r="F63" s="1800">
        <v>107.49161334700001</v>
      </c>
      <c r="G63" s="1800">
        <v>89.522596727199996</v>
      </c>
      <c r="H63" s="1800">
        <v>109.00010092139999</v>
      </c>
      <c r="I63" s="1800">
        <v>126.21971637879999</v>
      </c>
      <c r="J63" s="1241"/>
      <c r="K63" s="1241"/>
      <c r="L63" s="1241"/>
      <c r="M63" s="1241"/>
      <c r="N63" s="1241"/>
      <c r="O63" s="1241"/>
      <c r="P63" s="1241"/>
      <c r="Q63" s="1241"/>
    </row>
    <row r="64" spans="2:17" ht="15.6">
      <c r="B64" s="1234" t="s">
        <v>1973</v>
      </c>
      <c r="C64" s="1234"/>
      <c r="D64" s="1240"/>
      <c r="E64" s="1240"/>
      <c r="F64" s="1800">
        <v>89.522596727199996</v>
      </c>
      <c r="G64" s="1800">
        <v>107.65935087850001</v>
      </c>
      <c r="H64" s="1800">
        <v>126.23381364069999</v>
      </c>
      <c r="I64" s="1800">
        <v>162.28785960479999</v>
      </c>
      <c r="J64" s="1241"/>
      <c r="K64" s="1241"/>
      <c r="L64" s="1241"/>
      <c r="M64" s="1241"/>
      <c r="N64" s="1241"/>
      <c r="O64" s="1241"/>
      <c r="P64" s="1241"/>
      <c r="Q64" s="1241"/>
    </row>
  </sheetData>
  <phoneticPr fontId="20" type="noConversion"/>
  <pageMargins left="0.70866141732283472" right="0.70866141732283472" top="0.74803149606299213" bottom="0.74803149606299213" header="0.31496062992125984" footer="0.31496062992125984"/>
  <pageSetup paperSize="9" scale="91"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19">
    <tabColor theme="9" tint="0.59999389629810485"/>
    <pageSetUpPr fitToPage="1"/>
  </sheetPr>
  <dimension ref="A1:R144"/>
  <sheetViews>
    <sheetView showGridLines="0" zoomScaleNormal="100" zoomScalePageLayoutView="85" workbookViewId="0">
      <pane xSplit="2" ySplit="3" topLeftCell="C4" activePane="bottomRight" state="frozen"/>
      <selection activeCell="K8" sqref="K8"/>
      <selection pane="topRight" activeCell="K8" sqref="K8"/>
      <selection pane="bottomLeft" activeCell="K8" sqref="K8"/>
      <selection pane="bottomRight" activeCell="A134" sqref="A134"/>
    </sheetView>
  </sheetViews>
  <sheetFormatPr defaultColWidth="8.77734375" defaultRowHeight="15" outlineLevelCol="2"/>
  <cols>
    <col min="1" max="1" width="10.33203125" style="1192" bestFit="1" customWidth="1"/>
    <col min="2" max="2" width="65.6640625" style="1192" bestFit="1" customWidth="1"/>
    <col min="3" max="4" width="13.77734375" style="1192" customWidth="1" outlineLevel="2"/>
    <col min="5" max="8" width="13.77734375" style="1192" customWidth="1"/>
    <col min="9" max="16" width="13.77734375" style="1192" customWidth="1" outlineLevel="1"/>
    <col min="17" max="17" width="21.88671875" style="1192" customWidth="1"/>
    <col min="18" max="16384" width="8.77734375" style="1192"/>
  </cols>
  <sheetData>
    <row r="1" spans="1:17">
      <c r="A1" s="1191"/>
      <c r="B1" s="1003" t="s">
        <v>683</v>
      </c>
      <c r="C1" s="1235"/>
      <c r="D1" s="1191"/>
      <c r="E1" s="1620">
        <v>860.19278598999995</v>
      </c>
      <c r="F1" s="1620">
        <v>873.60172241309999</v>
      </c>
      <c r="G1" s="1620">
        <v>926.77310446949991</v>
      </c>
      <c r="H1" s="1620">
        <v>932.55302891070005</v>
      </c>
      <c r="I1" s="1191"/>
      <c r="J1" s="1191"/>
      <c r="K1" s="1191"/>
      <c r="L1" s="1191"/>
      <c r="M1" s="1191"/>
      <c r="N1" s="1191"/>
      <c r="O1" s="1191"/>
      <c r="P1" s="1191"/>
      <c r="Q1" s="1373" t="s">
        <v>1965</v>
      </c>
    </row>
    <row r="2" spans="1:17" ht="15.6" hidden="1">
      <c r="A2" s="1193"/>
      <c r="B2" s="1194"/>
      <c r="C2" s="1195"/>
      <c r="D2" s="1195"/>
      <c r="E2" s="1195"/>
      <c r="F2" s="1195"/>
      <c r="G2" s="1195"/>
      <c r="H2" s="1195"/>
      <c r="I2" s="1195"/>
      <c r="J2" s="1195"/>
      <c r="K2" s="1195"/>
      <c r="L2" s="1195"/>
      <c r="M2" s="1195"/>
      <c r="N2" s="1195"/>
      <c r="O2" s="1195"/>
      <c r="P2" s="1195"/>
    </row>
    <row r="3" spans="1:17" s="1199" customFormat="1" ht="15.6">
      <c r="A3" s="1242" t="s">
        <v>1013</v>
      </c>
      <c r="B3" s="1197" t="s">
        <v>382</v>
      </c>
      <c r="C3" s="1198">
        <v>2012</v>
      </c>
      <c r="D3" s="1198">
        <v>2013</v>
      </c>
      <c r="E3" s="1198">
        <v>2014</v>
      </c>
      <c r="F3" s="1198">
        <v>2015</v>
      </c>
      <c r="G3" s="1198">
        <v>2016</v>
      </c>
      <c r="H3" s="1198">
        <v>2017</v>
      </c>
      <c r="I3" s="1198">
        <v>2018</v>
      </c>
      <c r="J3" s="1198">
        <v>2019</v>
      </c>
      <c r="K3" s="1198">
        <v>2020</v>
      </c>
      <c r="L3" s="1198">
        <v>2021</v>
      </c>
      <c r="M3" s="1198">
        <v>2022</v>
      </c>
      <c r="N3" s="1198">
        <v>2023</v>
      </c>
      <c r="O3" s="1198">
        <v>2024</v>
      </c>
      <c r="P3" s="1198">
        <v>2025</v>
      </c>
    </row>
    <row r="4" spans="1:17" s="1207" customFormat="1" ht="15.6">
      <c r="A4" s="1243" t="s">
        <v>1032</v>
      </c>
      <c r="B4" s="1244" t="s">
        <v>283</v>
      </c>
      <c r="C4" s="1245">
        <f>历史利润表!C4</f>
        <v>0</v>
      </c>
      <c r="D4" s="1245">
        <f>历史利润表!D4</f>
        <v>0</v>
      </c>
      <c r="E4" s="1245">
        <f>历史利润表!E4</f>
        <v>796.60442812539998</v>
      </c>
      <c r="F4" s="1245">
        <f>历史利润表!F4</f>
        <v>810.2762171503</v>
      </c>
      <c r="G4" s="1245">
        <f>历史利润表!G4</f>
        <v>852.73232172429994</v>
      </c>
      <c r="H4" s="1245">
        <f>历史利润表!H4</f>
        <v>882.71881000960002</v>
      </c>
    </row>
    <row r="5" spans="1:17" ht="15.6">
      <c r="A5" s="1243" t="s">
        <v>1032</v>
      </c>
      <c r="B5" s="1246" t="s">
        <v>287</v>
      </c>
      <c r="C5" s="1247">
        <f t="shared" ref="C5:F5" si="0">SUM(C6:C9)</f>
        <v>0</v>
      </c>
      <c r="D5" s="1247">
        <f t="shared" si="0"/>
        <v>0</v>
      </c>
      <c r="E5" s="1247">
        <f t="shared" si="0"/>
        <v>773.99013850559993</v>
      </c>
      <c r="F5" s="1247">
        <f t="shared" si="0"/>
        <v>789.55322507050005</v>
      </c>
      <c r="G5" s="1247">
        <f>SUM(G6:G9)</f>
        <v>816.92419375030011</v>
      </c>
      <c r="H5" s="1248">
        <f>SUM(H6:H9)</f>
        <v>847.14605800589982</v>
      </c>
      <c r="I5" s="1249"/>
      <c r="J5" s="1249"/>
      <c r="K5" s="1249"/>
      <c r="L5" s="1249"/>
      <c r="M5" s="1249"/>
      <c r="N5" s="1249"/>
      <c r="O5" s="1249"/>
      <c r="P5" s="1249"/>
    </row>
    <row r="6" spans="1:17">
      <c r="A6" s="1243" t="s">
        <v>1032</v>
      </c>
      <c r="B6" s="1250" t="s">
        <v>904</v>
      </c>
      <c r="C6" s="1188"/>
      <c r="D6" s="1320"/>
      <c r="E6" s="1320">
        <v>766.86859983339991</v>
      </c>
      <c r="F6" s="1320">
        <v>783.77298358380006</v>
      </c>
      <c r="G6" s="1320">
        <v>809.27550274780003</v>
      </c>
      <c r="H6" s="1320">
        <v>837.91702431259989</v>
      </c>
      <c r="I6" s="1251"/>
      <c r="J6" s="1251"/>
      <c r="K6" s="1251"/>
      <c r="L6" s="1251"/>
      <c r="M6" s="1251"/>
      <c r="N6" s="1251"/>
      <c r="O6" s="1251"/>
      <c r="P6" s="1251"/>
    </row>
    <row r="7" spans="1:17">
      <c r="A7" s="1243" t="s">
        <v>1032</v>
      </c>
      <c r="B7" s="1250" t="s">
        <v>84</v>
      </c>
      <c r="C7" s="1188"/>
      <c r="D7" s="1320"/>
      <c r="E7" s="1320">
        <v>2.7890999999999999</v>
      </c>
      <c r="F7" s="1320">
        <v>2.4489999999999998</v>
      </c>
      <c r="G7" s="1320">
        <v>3.056954588</v>
      </c>
      <c r="H7" s="1320">
        <v>3.8143012479</v>
      </c>
      <c r="I7" s="1251"/>
      <c r="J7" s="1251"/>
      <c r="K7" s="1251"/>
      <c r="L7" s="1251"/>
      <c r="M7" s="1251"/>
      <c r="N7" s="1251"/>
      <c r="O7" s="1251"/>
      <c r="P7" s="1251"/>
    </row>
    <row r="8" spans="1:17" hidden="1">
      <c r="B8" s="1250" t="s">
        <v>670</v>
      </c>
      <c r="C8" s="1188"/>
      <c r="D8" s="1188"/>
      <c r="E8" s="1320"/>
      <c r="F8" s="1320"/>
      <c r="G8" s="1320"/>
      <c r="H8" s="1320"/>
      <c r="I8" s="1251"/>
      <c r="J8" s="1251"/>
      <c r="K8" s="1251"/>
      <c r="L8" s="1251"/>
      <c r="M8" s="1251"/>
      <c r="N8" s="1251"/>
      <c r="O8" s="1251"/>
      <c r="P8" s="1251"/>
    </row>
    <row r="9" spans="1:17">
      <c r="A9" s="1252" t="s">
        <v>1036</v>
      </c>
      <c r="B9" s="1250" t="s">
        <v>53</v>
      </c>
      <c r="C9" s="1188"/>
      <c r="D9" s="1320"/>
      <c r="E9" s="1320">
        <v>4.3324386722000003</v>
      </c>
      <c r="F9" s="1320">
        <v>3.3312414867000002</v>
      </c>
      <c r="G9" s="1320">
        <v>4.5917364144999997</v>
      </c>
      <c r="H9" s="1320">
        <v>5.4147324453999994</v>
      </c>
      <c r="I9" s="1251"/>
      <c r="J9" s="1251"/>
      <c r="K9" s="1251"/>
      <c r="L9" s="1251"/>
      <c r="M9" s="1251"/>
      <c r="N9" s="1251"/>
      <c r="O9" s="1251"/>
      <c r="P9" s="1251"/>
    </row>
    <row r="10" spans="1:17">
      <c r="B10" s="1253"/>
      <c r="C10" s="1254"/>
      <c r="D10" s="1240"/>
      <c r="E10" s="1240"/>
      <c r="F10" s="1255"/>
      <c r="G10" s="1255"/>
      <c r="H10" s="1256"/>
      <c r="I10" s="1251"/>
      <c r="J10" s="1251"/>
      <c r="K10" s="1251"/>
      <c r="L10" s="1251"/>
      <c r="M10" s="1251"/>
      <c r="N10" s="1251"/>
      <c r="O10" s="1251"/>
      <c r="P10" s="1251"/>
    </row>
    <row r="11" spans="1:17" ht="15.6">
      <c r="B11" s="1257" t="s">
        <v>284</v>
      </c>
      <c r="C11" s="1258"/>
      <c r="D11" s="1258"/>
      <c r="E11" s="1258"/>
      <c r="F11" s="1255"/>
      <c r="G11" s="1259"/>
      <c r="H11" s="1321"/>
      <c r="I11" s="1260"/>
      <c r="J11" s="1251"/>
      <c r="K11" s="1251"/>
      <c r="L11" s="1251"/>
      <c r="M11" s="1251"/>
      <c r="N11" s="1251"/>
      <c r="O11" s="1251"/>
      <c r="P11" s="1251"/>
    </row>
    <row r="12" spans="1:17" ht="15.6">
      <c r="B12" s="1246" t="s">
        <v>705</v>
      </c>
      <c r="C12" s="1322"/>
      <c r="D12" s="1322"/>
      <c r="E12" s="1322">
        <v>749.65976261160006</v>
      </c>
      <c r="F12" s="1322">
        <v>765.30247323589992</v>
      </c>
      <c r="G12" s="1322">
        <v>785.95032516920003</v>
      </c>
      <c r="H12" s="1619">
        <v>817.75532362539991</v>
      </c>
      <c r="I12" s="1249"/>
      <c r="J12" s="1249"/>
      <c r="K12" s="1249"/>
      <c r="L12" s="1249"/>
      <c r="M12" s="1249"/>
      <c r="N12" s="1249"/>
      <c r="O12" s="1249"/>
      <c r="P12" s="1249"/>
      <c r="Q12" s="1207"/>
    </row>
    <row r="13" spans="1:17">
      <c r="A13" s="1243" t="s">
        <v>1032</v>
      </c>
      <c r="B13" s="1261" t="s">
        <v>527</v>
      </c>
      <c r="C13" s="1319"/>
      <c r="D13" s="1319"/>
      <c r="E13" s="1319">
        <v>0</v>
      </c>
      <c r="F13" s="1319">
        <v>520.23226242509998</v>
      </c>
      <c r="G13" s="1319">
        <v>526.3986235054</v>
      </c>
      <c r="H13" s="1618">
        <v>543.44229990040003</v>
      </c>
      <c r="I13" s="1251"/>
      <c r="J13" s="1251"/>
      <c r="K13" s="1251"/>
      <c r="L13" s="1251"/>
      <c r="M13" s="1251"/>
      <c r="N13" s="1251"/>
      <c r="O13" s="1251"/>
      <c r="P13" s="1251"/>
      <c r="Q13" s="1207"/>
    </row>
    <row r="14" spans="1:17">
      <c r="B14" s="1261" t="s">
        <v>526</v>
      </c>
      <c r="C14" s="1323"/>
      <c r="D14" s="1323"/>
      <c r="E14" s="1323">
        <v>0</v>
      </c>
      <c r="F14" s="1323">
        <v>0</v>
      </c>
      <c r="G14" s="1323">
        <v>0</v>
      </c>
      <c r="H14" s="1320">
        <v>0</v>
      </c>
      <c r="I14" s="1251"/>
      <c r="J14" s="1251"/>
      <c r="K14" s="1251"/>
      <c r="L14" s="1251"/>
      <c r="M14" s="1251"/>
      <c r="N14" s="1251"/>
      <c r="O14" s="1251"/>
      <c r="P14" s="1251"/>
    </row>
    <row r="15" spans="1:17">
      <c r="B15" s="1264" t="s">
        <v>1029</v>
      </c>
      <c r="C15" s="1319"/>
      <c r="D15" s="1319"/>
      <c r="E15" s="1319">
        <v>0</v>
      </c>
      <c r="F15" s="1319">
        <v>19.103699728800002</v>
      </c>
      <c r="G15" s="1319">
        <v>20.536985419100002</v>
      </c>
      <c r="H15" s="1618">
        <v>25.415139770900002</v>
      </c>
      <c r="I15" s="1251"/>
      <c r="J15" s="1251"/>
      <c r="K15" s="1251"/>
      <c r="L15" s="1251"/>
      <c r="M15" s="1251"/>
      <c r="N15" s="1251"/>
      <c r="O15" s="1251"/>
      <c r="P15" s="1251"/>
      <c r="Q15" s="1207"/>
    </row>
    <row r="16" spans="1:17">
      <c r="B16" s="1264" t="s">
        <v>520</v>
      </c>
      <c r="C16" s="1262"/>
      <c r="D16" s="1262">
        <f>SUM(D17:D20)</f>
        <v>0</v>
      </c>
      <c r="E16" s="1262">
        <f>SUM(E17:E20)</f>
        <v>0</v>
      </c>
      <c r="F16" s="1262">
        <f>SUM(F17:F20)</f>
        <v>33.461042688100001</v>
      </c>
      <c r="G16" s="1262">
        <f>SUM(G17:G21)</f>
        <v>33.985949285899999</v>
      </c>
      <c r="H16" s="1262">
        <f>SUM(H17:H21)</f>
        <v>36.522841977200002</v>
      </c>
      <c r="I16" s="1251"/>
      <c r="J16" s="1251"/>
      <c r="K16" s="1251"/>
      <c r="L16" s="1251"/>
      <c r="M16" s="1251"/>
      <c r="N16" s="1251"/>
      <c r="O16" s="1251"/>
      <c r="P16" s="1251"/>
      <c r="Q16" s="1207"/>
    </row>
    <row r="17" spans="1:17">
      <c r="A17" s="1252" t="s">
        <v>1037</v>
      </c>
      <c r="B17" s="1265" t="s">
        <v>285</v>
      </c>
      <c r="C17" s="1324"/>
      <c r="D17" s="1324"/>
      <c r="E17" s="1617">
        <v>0</v>
      </c>
      <c r="F17" s="1617">
        <v>28.3418952259</v>
      </c>
      <c r="G17" s="1617">
        <v>28.730967896399999</v>
      </c>
      <c r="H17" s="1618">
        <v>32.1751183306</v>
      </c>
      <c r="I17" s="1251"/>
      <c r="J17" s="1251"/>
      <c r="K17" s="1251"/>
      <c r="L17" s="1251"/>
      <c r="M17" s="1251"/>
      <c r="N17" s="1251"/>
      <c r="O17" s="1251"/>
      <c r="P17" s="1251"/>
      <c r="Q17" s="1207"/>
    </row>
    <row r="18" spans="1:17">
      <c r="A18" s="1252" t="s">
        <v>1037</v>
      </c>
      <c r="B18" s="1265" t="s">
        <v>286</v>
      </c>
      <c r="C18" s="1324"/>
      <c r="D18" s="1324"/>
      <c r="E18" s="1617">
        <v>0</v>
      </c>
      <c r="F18" s="1617">
        <v>3.301545945</v>
      </c>
      <c r="G18" s="1617">
        <v>3.4038760373999999</v>
      </c>
      <c r="H18" s="1618">
        <v>3.6647671326999998</v>
      </c>
      <c r="I18" s="1251"/>
      <c r="J18" s="1251"/>
      <c r="K18" s="1251"/>
      <c r="L18" s="1251"/>
      <c r="M18" s="1251"/>
      <c r="N18" s="1251"/>
      <c r="O18" s="1251"/>
      <c r="P18" s="1251"/>
      <c r="Q18" s="1207"/>
    </row>
    <row r="19" spans="1:17">
      <c r="A19" s="1252" t="s">
        <v>1037</v>
      </c>
      <c r="B19" s="1265" t="s">
        <v>282</v>
      </c>
      <c r="C19" s="1324"/>
      <c r="D19" s="1324"/>
      <c r="E19" s="1617">
        <v>0</v>
      </c>
      <c r="F19" s="1617">
        <v>0</v>
      </c>
      <c r="G19" s="1617">
        <v>0</v>
      </c>
      <c r="H19" s="1618">
        <v>0</v>
      </c>
      <c r="I19" s="1251"/>
      <c r="J19" s="1251"/>
      <c r="K19" s="1251"/>
      <c r="L19" s="1251"/>
      <c r="M19" s="1251"/>
      <c r="N19" s="1251"/>
      <c r="O19" s="1251"/>
      <c r="P19" s="1251"/>
      <c r="Q19" s="1207"/>
    </row>
    <row r="20" spans="1:17">
      <c r="A20" s="1252" t="s">
        <v>1037</v>
      </c>
      <c r="B20" s="1266" t="s">
        <v>156</v>
      </c>
      <c r="C20" s="1324"/>
      <c r="D20" s="1324"/>
      <c r="E20" s="1617">
        <v>0</v>
      </c>
      <c r="F20" s="1617">
        <v>1.8176015172</v>
      </c>
      <c r="G20" s="1617">
        <v>1.8511053520999998</v>
      </c>
      <c r="H20" s="1618">
        <v>0.68295651390000001</v>
      </c>
      <c r="I20" s="1251"/>
      <c r="J20" s="1251"/>
      <c r="K20" s="1251"/>
      <c r="L20" s="1251"/>
      <c r="M20" s="1251"/>
      <c r="N20" s="1251"/>
      <c r="O20" s="1251"/>
      <c r="P20" s="1251"/>
      <c r="Q20" s="1207"/>
    </row>
    <row r="21" spans="1:17">
      <c r="A21" s="1252" t="s">
        <v>1037</v>
      </c>
      <c r="B21" s="1265" t="s">
        <v>155</v>
      </c>
      <c r="C21" s="1324"/>
      <c r="D21" s="1324"/>
      <c r="E21" s="1617">
        <v>0</v>
      </c>
      <c r="F21" s="1617">
        <v>0</v>
      </c>
      <c r="G21" s="1617">
        <v>0</v>
      </c>
      <c r="H21" s="1618">
        <v>0</v>
      </c>
      <c r="I21" s="1251"/>
      <c r="J21" s="1251"/>
      <c r="K21" s="1251"/>
      <c r="L21" s="1251"/>
      <c r="M21" s="1251"/>
      <c r="N21" s="1251"/>
      <c r="O21" s="1251"/>
      <c r="P21" s="1251"/>
      <c r="Q21" s="1207"/>
    </row>
    <row r="22" spans="1:17">
      <c r="A22" s="1243" t="s">
        <v>1032</v>
      </c>
      <c r="B22" s="1261" t="s">
        <v>525</v>
      </c>
      <c r="C22" s="1319"/>
      <c r="D22" s="1319"/>
      <c r="E22" s="1617">
        <v>0</v>
      </c>
      <c r="F22" s="1617">
        <v>139.331353208</v>
      </c>
      <c r="G22" s="1617">
        <v>147.3459260523</v>
      </c>
      <c r="H22" s="1618">
        <v>156.66500829099999</v>
      </c>
      <c r="I22" s="1251"/>
      <c r="J22" s="1251"/>
      <c r="K22" s="1251"/>
      <c r="L22" s="1251"/>
      <c r="M22" s="1251"/>
      <c r="N22" s="1251"/>
      <c r="O22" s="1251"/>
      <c r="P22" s="1251"/>
      <c r="Q22" s="1207"/>
    </row>
    <row r="23" spans="1:17">
      <c r="B23" s="1261" t="s">
        <v>524</v>
      </c>
      <c r="C23" s="1319"/>
      <c r="D23" s="1319"/>
      <c r="E23" s="1617"/>
      <c r="F23" s="1852">
        <v>5.8260384032000001</v>
      </c>
      <c r="G23" s="1852">
        <v>5.2013202939999994</v>
      </c>
      <c r="H23" s="1853">
        <v>5.6890505909</v>
      </c>
      <c r="I23" s="1251"/>
      <c r="J23" s="1251"/>
      <c r="K23" s="1251"/>
      <c r="L23" s="1251"/>
      <c r="M23" s="1251"/>
      <c r="N23" s="1251"/>
      <c r="O23" s="1251"/>
      <c r="P23" s="1251"/>
      <c r="Q23" s="1207"/>
    </row>
    <row r="24" spans="1:17" ht="15.6">
      <c r="B24" s="1261" t="s">
        <v>1184</v>
      </c>
      <c r="C24" s="1262"/>
      <c r="D24" s="1262">
        <f>D12-D13-D14-D15-D16-D22-D23</f>
        <v>0</v>
      </c>
      <c r="E24" s="1617">
        <v>749.65976261160006</v>
      </c>
      <c r="F24" s="1617">
        <v>53.17411518589995</v>
      </c>
      <c r="G24" s="1618">
        <v>57.682840906500019</v>
      </c>
      <c r="H24" s="1618">
        <v>55.710033685899873</v>
      </c>
      <c r="I24" s="1325" t="s">
        <v>1185</v>
      </c>
      <c r="J24" s="1251"/>
      <c r="K24" s="1251"/>
      <c r="L24" s="1251"/>
      <c r="M24" s="1251"/>
      <c r="N24" s="1251"/>
      <c r="O24" s="1251"/>
      <c r="P24" s="1251"/>
    </row>
    <row r="25" spans="1:17">
      <c r="C25" s="1267"/>
      <c r="D25" s="1267"/>
      <c r="E25" s="1267"/>
      <c r="F25" s="1260"/>
      <c r="G25" s="1260"/>
      <c r="H25" s="1260"/>
      <c r="I25" s="1251"/>
      <c r="J25" s="1251"/>
      <c r="K25" s="1251"/>
      <c r="L25" s="1251"/>
      <c r="M25" s="1251"/>
      <c r="N25" s="1251"/>
      <c r="O25" s="1251"/>
      <c r="P25" s="1251"/>
    </row>
    <row r="26" spans="1:17" ht="15.6">
      <c r="B26" s="1257" t="s">
        <v>575</v>
      </c>
      <c r="C26" s="1258"/>
      <c r="D26" s="1258"/>
      <c r="E26" s="1258"/>
      <c r="F26" s="1258"/>
      <c r="G26" s="1269"/>
      <c r="H26" s="1270"/>
      <c r="I26" s="1258"/>
      <c r="J26" s="1258"/>
      <c r="K26" s="1258"/>
      <c r="L26" s="1258"/>
      <c r="M26" s="1258"/>
      <c r="N26" s="1258"/>
      <c r="O26" s="1258"/>
      <c r="P26" s="1258"/>
    </row>
    <row r="27" spans="1:17" ht="15.6">
      <c r="B27" s="1246" t="s">
        <v>514</v>
      </c>
      <c r="C27" s="1271"/>
      <c r="D27" s="1272" t="str">
        <f t="shared" ref="D27:H31" si="1">IFERROR(D5/C5-1,"")</f>
        <v/>
      </c>
      <c r="E27" s="1272" t="str">
        <f t="shared" si="1"/>
        <v/>
      </c>
      <c r="F27" s="1272">
        <f t="shared" si="1"/>
        <v>2.0107603173018296E-2</v>
      </c>
      <c r="G27" s="1272">
        <f t="shared" si="1"/>
        <v>3.4666400960310373E-2</v>
      </c>
      <c r="H27" s="1273">
        <f t="shared" si="1"/>
        <v>3.6994698512794022E-2</v>
      </c>
      <c r="I27" s="1251"/>
      <c r="J27" s="1251"/>
      <c r="K27" s="1251"/>
      <c r="L27" s="1251"/>
      <c r="M27" s="1251"/>
      <c r="N27" s="1251"/>
      <c r="O27" s="1251"/>
      <c r="P27" s="1251"/>
    </row>
    <row r="28" spans="1:17">
      <c r="B28" s="1250" t="s">
        <v>903</v>
      </c>
      <c r="C28" s="1274"/>
      <c r="D28" s="1275" t="str">
        <f t="shared" si="1"/>
        <v/>
      </c>
      <c r="E28" s="1275" t="str">
        <f t="shared" si="1"/>
        <v/>
      </c>
      <c r="F28" s="1275">
        <f t="shared" si="1"/>
        <v>2.2043390163676735E-2</v>
      </c>
      <c r="G28" s="1275">
        <f t="shared" si="1"/>
        <v>3.2538145225917026E-2</v>
      </c>
      <c r="H28" s="1276">
        <f t="shared" si="1"/>
        <v>3.5391558829534375E-2</v>
      </c>
      <c r="I28" s="1251"/>
      <c r="J28" s="1251"/>
      <c r="K28" s="1251"/>
      <c r="L28" s="1251"/>
      <c r="M28" s="1251"/>
      <c r="N28" s="1251"/>
      <c r="O28" s="1251"/>
      <c r="P28" s="1251"/>
    </row>
    <row r="29" spans="1:17">
      <c r="B29" s="1250" t="s">
        <v>84</v>
      </c>
      <c r="C29" s="1274"/>
      <c r="D29" s="1275" t="str">
        <f t="shared" si="1"/>
        <v/>
      </c>
      <c r="E29" s="1275" t="str">
        <f t="shared" si="1"/>
        <v/>
      </c>
      <c r="F29" s="1275">
        <f t="shared" si="1"/>
        <v>-0.12193897673084508</v>
      </c>
      <c r="G29" s="1275">
        <f t="shared" si="1"/>
        <v>0.24824605471621086</v>
      </c>
      <c r="H29" s="1276">
        <f t="shared" si="1"/>
        <v>0.24774547285489468</v>
      </c>
      <c r="I29" s="1251"/>
      <c r="J29" s="1251"/>
      <c r="K29" s="1251"/>
      <c r="L29" s="1251"/>
      <c r="M29" s="1251"/>
      <c r="N29" s="1251"/>
      <c r="O29" s="1251"/>
      <c r="P29" s="1251"/>
    </row>
    <row r="30" spans="1:17" hidden="1">
      <c r="B30" s="1250"/>
      <c r="C30" s="1274"/>
      <c r="D30" s="1275" t="str">
        <f t="shared" si="1"/>
        <v/>
      </c>
      <c r="E30" s="1275" t="str">
        <f t="shared" si="1"/>
        <v/>
      </c>
      <c r="F30" s="1275" t="str">
        <f t="shared" si="1"/>
        <v/>
      </c>
      <c r="G30" s="1275" t="str">
        <f t="shared" si="1"/>
        <v/>
      </c>
      <c r="H30" s="1276" t="str">
        <f t="shared" si="1"/>
        <v/>
      </c>
      <c r="I30" s="1251"/>
      <c r="J30" s="1251"/>
      <c r="K30" s="1251"/>
      <c r="L30" s="1251"/>
      <c r="M30" s="1251"/>
      <c r="N30" s="1251"/>
      <c r="O30" s="1251"/>
      <c r="P30" s="1251"/>
    </row>
    <row r="31" spans="1:17">
      <c r="B31" s="1250" t="s">
        <v>53</v>
      </c>
      <c r="C31" s="1274"/>
      <c r="D31" s="1275" t="str">
        <f t="shared" si="1"/>
        <v/>
      </c>
      <c r="E31" s="1275" t="str">
        <f t="shared" si="1"/>
        <v/>
      </c>
      <c r="F31" s="1275">
        <f t="shared" si="1"/>
        <v>-0.23109321591195076</v>
      </c>
      <c r="G31" s="1275">
        <f t="shared" si="1"/>
        <v>0.37838593594386127</v>
      </c>
      <c r="H31" s="1276">
        <f t="shared" si="1"/>
        <v>0.17923416254929281</v>
      </c>
      <c r="I31" s="1251"/>
      <c r="J31" s="1251"/>
      <c r="K31" s="1251"/>
      <c r="L31" s="1251"/>
      <c r="M31" s="1251"/>
      <c r="N31" s="1251"/>
      <c r="O31" s="1251"/>
      <c r="P31" s="1251"/>
    </row>
    <row r="32" spans="1:17">
      <c r="C32" s="1277"/>
      <c r="D32" s="1277"/>
      <c r="E32" s="1277"/>
      <c r="F32" s="1277"/>
      <c r="G32" s="1278"/>
      <c r="H32" s="1268"/>
      <c r="I32" s="1251"/>
      <c r="J32" s="1251"/>
      <c r="K32" s="1251"/>
      <c r="L32" s="1251"/>
      <c r="M32" s="1251"/>
      <c r="N32" s="1251"/>
      <c r="O32" s="1251"/>
      <c r="P32" s="1251"/>
    </row>
    <row r="33" spans="2:16" ht="15.6">
      <c r="B33" s="1257" t="s">
        <v>576</v>
      </c>
      <c r="C33" s="1279"/>
      <c r="D33" s="1279"/>
      <c r="E33" s="1279"/>
      <c r="F33" s="1279"/>
      <c r="G33" s="1280"/>
      <c r="H33" s="1270"/>
      <c r="I33" s="1258"/>
      <c r="J33" s="1258"/>
      <c r="K33" s="1258"/>
      <c r="L33" s="1258"/>
      <c r="M33" s="1258"/>
      <c r="N33" s="1258"/>
      <c r="O33" s="1258"/>
      <c r="P33" s="1258"/>
    </row>
    <row r="34" spans="2:16" ht="15.6">
      <c r="B34" s="1246" t="s">
        <v>669</v>
      </c>
      <c r="C34" s="1271"/>
      <c r="D34" s="1272" t="str">
        <f t="shared" ref="D34:H41" si="2">IFERROR(D12/C12-1,"")</f>
        <v/>
      </c>
      <c r="E34" s="1272" t="str">
        <f t="shared" si="2"/>
        <v/>
      </c>
      <c r="F34" s="1272">
        <f t="shared" si="2"/>
        <v>2.0866413544466056E-2</v>
      </c>
      <c r="G34" s="1272">
        <f t="shared" si="2"/>
        <v>2.6979988508328612E-2</v>
      </c>
      <c r="H34" s="1273">
        <f t="shared" si="2"/>
        <v>4.0466932117310117E-2</v>
      </c>
      <c r="I34" s="1251"/>
      <c r="J34" s="1251"/>
      <c r="K34" s="1251"/>
      <c r="L34" s="1251"/>
      <c r="M34" s="1251"/>
      <c r="N34" s="1251"/>
      <c r="O34" s="1251"/>
      <c r="P34" s="1251"/>
    </row>
    <row r="35" spans="2:16">
      <c r="B35" s="1250" t="s">
        <v>523</v>
      </c>
      <c r="C35" s="1274"/>
      <c r="D35" s="1275" t="str">
        <f t="shared" si="2"/>
        <v/>
      </c>
      <c r="E35" s="1275" t="str">
        <f t="shared" si="2"/>
        <v/>
      </c>
      <c r="F35" s="1275" t="str">
        <f t="shared" si="2"/>
        <v/>
      </c>
      <c r="G35" s="1275">
        <f t="shared" si="2"/>
        <v>1.1853092408292909E-2</v>
      </c>
      <c r="H35" s="1276">
        <f t="shared" si="2"/>
        <v>3.2377889367382062E-2</v>
      </c>
      <c r="I35" s="1251"/>
      <c r="J35" s="1251"/>
      <c r="K35" s="1251"/>
      <c r="L35" s="1251"/>
      <c r="M35" s="1251"/>
      <c r="N35" s="1251"/>
      <c r="O35" s="1251"/>
      <c r="P35" s="1251"/>
    </row>
    <row r="36" spans="2:16">
      <c r="B36" s="1250" t="s">
        <v>522</v>
      </c>
      <c r="C36" s="1274"/>
      <c r="D36" s="1275" t="str">
        <f t="shared" si="2"/>
        <v/>
      </c>
      <c r="E36" s="1275" t="str">
        <f t="shared" si="2"/>
        <v/>
      </c>
      <c r="F36" s="1275" t="str">
        <f t="shared" si="2"/>
        <v/>
      </c>
      <c r="G36" s="1275" t="str">
        <f t="shared" si="2"/>
        <v/>
      </c>
      <c r="H36" s="1276" t="str">
        <f t="shared" si="2"/>
        <v/>
      </c>
      <c r="I36" s="1251"/>
      <c r="J36" s="1251"/>
      <c r="K36" s="1251"/>
      <c r="L36" s="1251"/>
      <c r="M36" s="1251"/>
      <c r="N36" s="1251"/>
      <c r="O36" s="1251"/>
      <c r="P36" s="1251"/>
    </row>
    <row r="37" spans="2:16">
      <c r="B37" s="1250" t="s">
        <v>521</v>
      </c>
      <c r="C37" s="1274"/>
      <c r="D37" s="1275" t="str">
        <f t="shared" si="2"/>
        <v/>
      </c>
      <c r="E37" s="1275" t="str">
        <f t="shared" si="2"/>
        <v/>
      </c>
      <c r="F37" s="1275" t="str">
        <f t="shared" si="2"/>
        <v/>
      </c>
      <c r="G37" s="1275">
        <f t="shared" si="2"/>
        <v>7.5026602733879511E-2</v>
      </c>
      <c r="H37" s="1276">
        <f t="shared" si="2"/>
        <v>0.23753020476233933</v>
      </c>
      <c r="I37" s="1251"/>
      <c r="J37" s="1251"/>
      <c r="K37" s="1251"/>
      <c r="L37" s="1251"/>
      <c r="M37" s="1251"/>
      <c r="N37" s="1251"/>
      <c r="O37" s="1251"/>
      <c r="P37" s="1251"/>
    </row>
    <row r="38" spans="2:16">
      <c r="B38" s="1250" t="s">
        <v>520</v>
      </c>
      <c r="C38" s="1274"/>
      <c r="D38" s="1275" t="str">
        <f t="shared" si="2"/>
        <v/>
      </c>
      <c r="E38" s="1275" t="str">
        <f t="shared" si="2"/>
        <v/>
      </c>
      <c r="F38" s="1275" t="str">
        <f t="shared" si="2"/>
        <v/>
      </c>
      <c r="G38" s="1275">
        <f t="shared" si="2"/>
        <v>1.5687096265732059E-2</v>
      </c>
      <c r="H38" s="1276">
        <f>IFERROR(H16/G16-1,"")</f>
        <v>7.4645338576801334E-2</v>
      </c>
      <c r="I38" s="1251"/>
      <c r="J38" s="1251"/>
      <c r="K38" s="1251"/>
      <c r="L38" s="1251"/>
      <c r="M38" s="1251"/>
      <c r="N38" s="1251"/>
      <c r="O38" s="1251"/>
      <c r="P38" s="1251"/>
    </row>
    <row r="39" spans="2:16">
      <c r="B39" s="1264" t="s">
        <v>85</v>
      </c>
      <c r="C39" s="1274"/>
      <c r="D39" s="1275" t="str">
        <f t="shared" si="2"/>
        <v/>
      </c>
      <c r="E39" s="1275" t="str">
        <f t="shared" si="2"/>
        <v/>
      </c>
      <c r="F39" s="1275" t="str">
        <f t="shared" si="2"/>
        <v/>
      </c>
      <c r="G39" s="1275">
        <f t="shared" si="2"/>
        <v>1.3727828269735731E-2</v>
      </c>
      <c r="H39" s="1276">
        <f t="shared" si="2"/>
        <v>0.11987589303009716</v>
      </c>
      <c r="I39" s="1251"/>
      <c r="J39" s="1251"/>
      <c r="K39" s="1251"/>
      <c r="L39" s="1251"/>
      <c r="M39" s="1251"/>
      <c r="N39" s="1251"/>
      <c r="O39" s="1251"/>
      <c r="P39" s="1251"/>
    </row>
    <row r="40" spans="2:16">
      <c r="B40" s="1261" t="s">
        <v>586</v>
      </c>
      <c r="C40" s="1274"/>
      <c r="D40" s="1275" t="str">
        <f t="shared" si="2"/>
        <v/>
      </c>
      <c r="E40" s="1275" t="str">
        <f t="shared" si="2"/>
        <v/>
      </c>
      <c r="F40" s="1275" t="str">
        <f t="shared" si="2"/>
        <v/>
      </c>
      <c r="G40" s="1275">
        <f t="shared" si="2"/>
        <v>3.0994598925685901E-2</v>
      </c>
      <c r="H40" s="1276">
        <f t="shared" si="2"/>
        <v>7.6645298604727685E-2</v>
      </c>
      <c r="I40" s="1251"/>
      <c r="J40" s="1251"/>
      <c r="K40" s="1251"/>
      <c r="L40" s="1251"/>
      <c r="M40" s="1251"/>
      <c r="N40" s="1251"/>
      <c r="O40" s="1251"/>
      <c r="P40" s="1251"/>
    </row>
    <row r="41" spans="2:16">
      <c r="B41" s="1264" t="s">
        <v>588</v>
      </c>
      <c r="C41" s="1274"/>
      <c r="D41" s="1275" t="str">
        <f t="shared" si="2"/>
        <v/>
      </c>
      <c r="E41" s="1275" t="str">
        <f t="shared" si="2"/>
        <v/>
      </c>
      <c r="F41" s="1275" t="str">
        <f t="shared" si="2"/>
        <v/>
      </c>
      <c r="G41" s="1275" t="str">
        <f t="shared" si="2"/>
        <v/>
      </c>
      <c r="H41" s="1276" t="str">
        <f t="shared" si="2"/>
        <v/>
      </c>
      <c r="I41" s="1251"/>
      <c r="J41" s="1251"/>
      <c r="K41" s="1251"/>
      <c r="L41" s="1251"/>
      <c r="M41" s="1251"/>
      <c r="N41" s="1251"/>
      <c r="O41" s="1251"/>
      <c r="P41" s="1251"/>
    </row>
    <row r="42" spans="2:16">
      <c r="B42" s="1261" t="s">
        <v>590</v>
      </c>
      <c r="C42" s="1274"/>
      <c r="D42" s="1275" t="str">
        <f>IFERROR(D21/C21-1,"")</f>
        <v/>
      </c>
      <c r="E42" s="1275" t="str">
        <f>IFERROR(E21/D21-1,"")</f>
        <v/>
      </c>
      <c r="F42" s="1275" t="str">
        <f>IFERROR(F21/E21-1,"")</f>
        <v/>
      </c>
      <c r="G42" s="1275" t="str">
        <f>IFERROR(G21/F21-1,"")</f>
        <v/>
      </c>
      <c r="H42" s="1276" t="str">
        <f>IFERROR(H21/G21-1,"")</f>
        <v/>
      </c>
      <c r="I42" s="1251"/>
      <c r="J42" s="1251"/>
      <c r="K42" s="1251"/>
      <c r="L42" s="1251"/>
      <c r="M42" s="1251"/>
      <c r="N42" s="1251"/>
      <c r="O42" s="1251"/>
      <c r="P42" s="1251"/>
    </row>
    <row r="43" spans="2:16">
      <c r="B43" s="1261" t="s">
        <v>592</v>
      </c>
      <c r="C43" s="1274"/>
      <c r="D43" s="1275" t="str">
        <f>IFERROR(D20/C20-1,"")</f>
        <v/>
      </c>
      <c r="E43" s="1275" t="str">
        <f>IFERROR(E20/D20-1,"")</f>
        <v/>
      </c>
      <c r="F43" s="1275" t="str">
        <f>IFERROR(F20/E20-1,"")</f>
        <v/>
      </c>
      <c r="G43" s="1275">
        <f>IFERROR(G20/F20-1,"")</f>
        <v>1.8432992370963852E-2</v>
      </c>
      <c r="H43" s="1276">
        <f>IFERROR(H20/G20-1,"")</f>
        <v>-0.63105475702654357</v>
      </c>
      <c r="I43" s="1251"/>
      <c r="J43" s="1251"/>
      <c r="K43" s="1251"/>
      <c r="L43" s="1251"/>
      <c r="M43" s="1251"/>
      <c r="N43" s="1251"/>
      <c r="O43" s="1251"/>
      <c r="P43" s="1251"/>
    </row>
    <row r="44" spans="2:16">
      <c r="B44" s="1250" t="s">
        <v>519</v>
      </c>
      <c r="C44" s="1274"/>
      <c r="D44" s="1275" t="str">
        <f t="shared" ref="D44:H46" si="3">IFERROR(D22/C22-1,"")</f>
        <v/>
      </c>
      <c r="E44" s="1275" t="str">
        <f t="shared" si="3"/>
        <v/>
      </c>
      <c r="F44" s="1275" t="str">
        <f t="shared" si="3"/>
        <v/>
      </c>
      <c r="G44" s="1275">
        <f t="shared" si="3"/>
        <v>5.7521675199231792E-2</v>
      </c>
      <c r="H44" s="1276">
        <f t="shared" si="3"/>
        <v>6.3246283683420002E-2</v>
      </c>
      <c r="I44" s="1251"/>
      <c r="J44" s="1251"/>
      <c r="K44" s="1251"/>
      <c r="L44" s="1251"/>
      <c r="M44" s="1251"/>
      <c r="N44" s="1251"/>
      <c r="O44" s="1251"/>
      <c r="P44" s="1251"/>
    </row>
    <row r="45" spans="2:16">
      <c r="B45" s="1250" t="s">
        <v>518</v>
      </c>
      <c r="C45" s="1274"/>
      <c r="D45" s="1275" t="str">
        <f t="shared" si="3"/>
        <v/>
      </c>
      <c r="E45" s="1275" t="str">
        <f t="shared" si="3"/>
        <v/>
      </c>
      <c r="F45" s="1275" t="str">
        <f t="shared" si="3"/>
        <v/>
      </c>
      <c r="G45" s="1275">
        <f t="shared" si="3"/>
        <v>-0.10722862878090011</v>
      </c>
      <c r="H45" s="1276">
        <f t="shared" si="3"/>
        <v>9.3770479288234565E-2</v>
      </c>
      <c r="I45" s="1251"/>
      <c r="J45" s="1251"/>
      <c r="K45" s="1251"/>
      <c r="L45" s="1251"/>
      <c r="M45" s="1251"/>
      <c r="N45" s="1251"/>
      <c r="O45" s="1251"/>
      <c r="P45" s="1251"/>
    </row>
    <row r="46" spans="2:16">
      <c r="B46" s="1250" t="s">
        <v>1184</v>
      </c>
      <c r="C46" s="1274"/>
      <c r="D46" s="1275" t="str">
        <f t="shared" si="3"/>
        <v/>
      </c>
      <c r="E46" s="1275" t="str">
        <f t="shared" si="3"/>
        <v/>
      </c>
      <c r="F46" s="1275">
        <f t="shared" si="3"/>
        <v>-0.92906900191540687</v>
      </c>
      <c r="G46" s="1275">
        <f t="shared" si="3"/>
        <v>8.4791739455133186E-2</v>
      </c>
      <c r="H46" s="1276">
        <f t="shared" si="3"/>
        <v>-3.4200937221485539E-2</v>
      </c>
      <c r="I46" s="1251"/>
      <c r="J46" s="1251"/>
      <c r="K46" s="1251"/>
      <c r="L46" s="1251"/>
      <c r="M46" s="1251"/>
      <c r="N46" s="1251"/>
      <c r="O46" s="1251"/>
      <c r="P46" s="1251"/>
    </row>
    <row r="47" spans="2:16">
      <c r="C47" s="1251"/>
      <c r="D47" s="1251"/>
      <c r="E47" s="1251"/>
      <c r="F47" s="1251"/>
      <c r="G47" s="1281"/>
      <c r="H47" s="1268"/>
      <c r="I47" s="1251"/>
      <c r="J47" s="1251"/>
      <c r="K47" s="1251"/>
      <c r="L47" s="1251"/>
      <c r="M47" s="1251"/>
      <c r="N47" s="1251"/>
      <c r="O47" s="1251"/>
      <c r="P47" s="1251"/>
    </row>
    <row r="48" spans="2:16" ht="15.6">
      <c r="B48" s="1257" t="s">
        <v>515</v>
      </c>
      <c r="C48" s="1279"/>
      <c r="D48" s="1279"/>
      <c r="E48" s="1279"/>
      <c r="F48" s="1279"/>
      <c r="G48" s="1280"/>
      <c r="H48" s="1270"/>
      <c r="I48" s="1258"/>
      <c r="J48" s="1258"/>
      <c r="K48" s="1258"/>
      <c r="L48" s="1258"/>
      <c r="M48" s="1258"/>
      <c r="N48" s="1258"/>
      <c r="O48" s="1258"/>
      <c r="P48" s="1258"/>
    </row>
    <row r="49" spans="2:16" ht="15.6">
      <c r="B49" s="1282" t="s">
        <v>551</v>
      </c>
      <c r="C49" s="1283"/>
      <c r="D49" s="1283"/>
      <c r="E49" s="1283"/>
      <c r="F49" s="1283"/>
      <c r="G49" s="1284"/>
      <c r="H49" s="1285"/>
      <c r="I49" s="1240"/>
      <c r="J49" s="1240"/>
      <c r="K49" s="1240"/>
      <c r="L49" s="1240"/>
      <c r="M49" s="1240"/>
      <c r="N49" s="1240"/>
      <c r="O49" s="1240"/>
      <c r="P49" s="1240"/>
    </row>
    <row r="50" spans="2:16" ht="15.6">
      <c r="B50" s="1286" t="s">
        <v>532</v>
      </c>
      <c r="C50" s="1287"/>
      <c r="D50" s="1287"/>
      <c r="E50" s="1287"/>
      <c r="F50" s="1287"/>
      <c r="G50" s="1287"/>
      <c r="H50" s="1288"/>
      <c r="I50" s="1251"/>
      <c r="J50" s="1251"/>
      <c r="K50" s="1251"/>
      <c r="L50" s="1251"/>
      <c r="M50" s="1251"/>
      <c r="N50" s="1251"/>
      <c r="O50" s="1251"/>
      <c r="P50" s="1251"/>
    </row>
    <row r="51" spans="2:16">
      <c r="B51" s="1261" t="s">
        <v>1172</v>
      </c>
      <c r="C51" s="1262">
        <f>历史资产负债表!C18</f>
        <v>0</v>
      </c>
      <c r="D51" s="1262" t="e">
        <f>AVERAGE(历史资产负债表!C18:D18)</f>
        <v>#DIV/0!</v>
      </c>
      <c r="E51" s="1262">
        <f>AVERAGE(历史资产负债表!D18:E18)</f>
        <v>2410.1879499509</v>
      </c>
      <c r="F51" s="1262">
        <f>AVERAGE(历史资产负债表!E18:F18)</f>
        <v>2508.9870007147001</v>
      </c>
      <c r="G51" s="1262">
        <f>AVERAGE(历史资产负债表!F18:G18)</f>
        <v>2751.7786914940002</v>
      </c>
      <c r="H51" s="1289">
        <f>AVERAGE(历史资产负债表!G18:H18)</f>
        <v>2940.5356567787003</v>
      </c>
      <c r="I51" s="1251"/>
      <c r="J51" s="1251"/>
      <c r="K51" s="1251"/>
      <c r="L51" s="1251"/>
      <c r="M51" s="1251"/>
      <c r="N51" s="1251"/>
      <c r="O51" s="1251"/>
      <c r="P51" s="1251"/>
    </row>
    <row r="52" spans="2:16">
      <c r="B52" s="1261" t="s">
        <v>516</v>
      </c>
      <c r="C52" s="1290" t="str">
        <f>IFERROR(C15/C51,"请检查")</f>
        <v>请检查</v>
      </c>
      <c r="D52" s="1290" t="str">
        <f t="shared" ref="D52:G52" si="4">IFERROR(D15/D51,"请检查")</f>
        <v>请检查</v>
      </c>
      <c r="E52" s="1290">
        <f t="shared" si="4"/>
        <v>0</v>
      </c>
      <c r="F52" s="1290">
        <f t="shared" si="4"/>
        <v>7.614108691419365E-3</v>
      </c>
      <c r="G52" s="1290">
        <f t="shared" si="4"/>
        <v>7.4631675441712312E-3</v>
      </c>
      <c r="H52" s="1291">
        <f>IFERROR(H15/H51,"请检查")</f>
        <v>8.6430306370580776E-3</v>
      </c>
      <c r="I52" s="1292"/>
      <c r="J52" s="1251"/>
      <c r="K52" s="1251"/>
      <c r="L52" s="1251"/>
      <c r="M52" s="1251"/>
      <c r="N52" s="1251"/>
      <c r="O52" s="1251"/>
      <c r="P52" s="1251"/>
    </row>
    <row r="53" spans="2:16" ht="15.6">
      <c r="B53" s="1286" t="s">
        <v>531</v>
      </c>
      <c r="C53" s="1287"/>
      <c r="D53" s="1287"/>
      <c r="E53" s="1287"/>
      <c r="F53" s="1287"/>
      <c r="G53" s="1287"/>
      <c r="H53" s="1288"/>
      <c r="I53" s="1251"/>
      <c r="J53" s="1251"/>
      <c r="K53" s="1251"/>
      <c r="L53" s="1251"/>
      <c r="M53" s="1251"/>
      <c r="N53" s="1251"/>
      <c r="O53" s="1251"/>
      <c r="P53" s="1251"/>
    </row>
    <row r="54" spans="2:16">
      <c r="B54" s="1261" t="s">
        <v>1173</v>
      </c>
      <c r="C54" s="1262">
        <f>历史资产负债表!C18</f>
        <v>0</v>
      </c>
      <c r="D54" s="1262" t="e">
        <f>AVERAGE(历史资产负债表!C18:D18)</f>
        <v>#DIV/0!</v>
      </c>
      <c r="E54" s="1262">
        <f>AVERAGE(历史资产负债表!D18:E18)</f>
        <v>2410.1879499509</v>
      </c>
      <c r="F54" s="1262">
        <f>AVERAGE(历史资产负债表!E18:F18)</f>
        <v>2508.9870007147001</v>
      </c>
      <c r="G54" s="1262">
        <f>AVERAGE(历史资产负债表!F18:G18)</f>
        <v>2751.7786914940002</v>
      </c>
      <c r="H54" s="1289">
        <f>AVERAGE(历史资产负债表!G18:H18)</f>
        <v>2940.5356567787003</v>
      </c>
      <c r="I54" s="1251"/>
      <c r="J54" s="1251"/>
      <c r="K54" s="1251"/>
      <c r="L54" s="1251"/>
      <c r="M54" s="1251"/>
      <c r="N54" s="1251"/>
      <c r="O54" s="1251"/>
      <c r="P54" s="1251"/>
    </row>
    <row r="55" spans="2:16">
      <c r="B55" s="1261" t="s">
        <v>517</v>
      </c>
      <c r="C55" s="1293" t="str">
        <f t="shared" ref="C55:H55" si="5">IFERROR(C24/C54,"请检查")</f>
        <v>请检查</v>
      </c>
      <c r="D55" s="1293" t="str">
        <f t="shared" si="5"/>
        <v>请检查</v>
      </c>
      <c r="E55" s="1293">
        <f t="shared" si="5"/>
        <v>0.31103788508563079</v>
      </c>
      <c r="F55" s="1293">
        <f t="shared" si="5"/>
        <v>2.1193459818944053E-2</v>
      </c>
      <c r="G55" s="1293">
        <f t="shared" si="5"/>
        <v>2.0962020341535079E-2</v>
      </c>
      <c r="H55" s="1291">
        <f t="shared" si="5"/>
        <v>1.8945539244686165E-2</v>
      </c>
      <c r="I55" s="1251"/>
      <c r="J55" s="1251"/>
      <c r="K55" s="1251"/>
      <c r="L55" s="1251"/>
      <c r="M55" s="1251"/>
      <c r="N55" s="1251"/>
      <c r="O55" s="1251"/>
      <c r="P55" s="1251"/>
    </row>
    <row r="56" spans="2:16">
      <c r="B56" s="1253"/>
      <c r="C56" s="1251"/>
      <c r="D56" s="1251"/>
      <c r="E56" s="1251"/>
      <c r="F56" s="1251"/>
      <c r="G56" s="1281"/>
      <c r="H56" s="1268"/>
      <c r="I56" s="1251"/>
      <c r="J56" s="1251"/>
      <c r="K56" s="1251"/>
      <c r="L56" s="1251"/>
      <c r="M56" s="1251"/>
      <c r="N56" s="1251"/>
      <c r="O56" s="1251"/>
      <c r="P56" s="1251"/>
    </row>
    <row r="57" spans="2:16" ht="15.6">
      <c r="B57" s="1294" t="s">
        <v>552</v>
      </c>
      <c r="C57" s="1251"/>
      <c r="D57" s="1251"/>
      <c r="E57" s="1251"/>
      <c r="F57" s="1251"/>
      <c r="G57" s="1281"/>
      <c r="H57" s="1268"/>
      <c r="I57" s="1251"/>
      <c r="J57" s="1251"/>
      <c r="K57" s="1251"/>
      <c r="L57" s="1251"/>
      <c r="M57" s="1251"/>
      <c r="N57" s="1251"/>
      <c r="O57" s="1251"/>
      <c r="P57" s="1251"/>
    </row>
    <row r="58" spans="2:16" ht="15.6">
      <c r="B58" s="1286" t="s">
        <v>539</v>
      </c>
      <c r="C58" s="1295"/>
      <c r="D58" s="1295"/>
      <c r="E58" s="1295"/>
      <c r="F58" s="1295"/>
      <c r="G58" s="1287"/>
      <c r="H58" s="1288"/>
      <c r="I58" s="1251"/>
      <c r="J58" s="1251"/>
      <c r="K58" s="1251"/>
      <c r="L58" s="1251"/>
      <c r="M58" s="1251"/>
      <c r="N58" s="1251"/>
      <c r="O58" s="1251"/>
      <c r="P58" s="1251"/>
    </row>
    <row r="59" spans="2:16">
      <c r="B59" s="1261" t="s">
        <v>529</v>
      </c>
      <c r="C59" s="1296">
        <f>历史利润表!C4</f>
        <v>0</v>
      </c>
      <c r="D59" s="1296">
        <f>历史利润表!D4</f>
        <v>0</v>
      </c>
      <c r="E59" s="1296">
        <f>历史利润表!E4</f>
        <v>796.60442812539998</v>
      </c>
      <c r="F59" s="1296">
        <f>历史利润表!F4</f>
        <v>810.2762171503</v>
      </c>
      <c r="G59" s="1262">
        <f>历史利润表!G4</f>
        <v>852.73232172429994</v>
      </c>
      <c r="H59" s="1289">
        <f>历史利润表!H4</f>
        <v>882.71881000960002</v>
      </c>
      <c r="I59" s="1251"/>
      <c r="J59" s="1251"/>
      <c r="K59" s="1251"/>
      <c r="L59" s="1251"/>
      <c r="M59" s="1251"/>
      <c r="N59" s="1251"/>
      <c r="O59" s="1251"/>
      <c r="P59" s="1251"/>
    </row>
    <row r="60" spans="2:16">
      <c r="B60" s="1261" t="s">
        <v>530</v>
      </c>
      <c r="C60" s="1296">
        <f>历史利润表!C22</f>
        <v>0</v>
      </c>
      <c r="D60" s="1296">
        <f>历史利润表!D22</f>
        <v>0</v>
      </c>
      <c r="E60" s="1296">
        <f>历史利润表!E22</f>
        <v>3.5867487117000003</v>
      </c>
      <c r="F60" s="1296">
        <f>历史利润表!F22</f>
        <v>3.2671226669000002</v>
      </c>
      <c r="G60" s="1262">
        <f>历史利润表!G22</f>
        <v>3.7404287943000001</v>
      </c>
      <c r="H60" s="1289">
        <f>历史利润表!H22</f>
        <v>6.1103996416999999</v>
      </c>
      <c r="I60" s="1251"/>
      <c r="J60" s="1251"/>
      <c r="K60" s="1251"/>
      <c r="L60" s="1251"/>
      <c r="M60" s="1251"/>
      <c r="N60" s="1251"/>
      <c r="O60" s="1251"/>
      <c r="P60" s="1251"/>
    </row>
    <row r="61" spans="2:16">
      <c r="B61" s="1261" t="s">
        <v>86</v>
      </c>
      <c r="C61" s="1293" t="str">
        <f t="shared" ref="C61:H61" si="6">IFERROR(C60/C59,"请检查")</f>
        <v>请检查</v>
      </c>
      <c r="D61" s="1293" t="str">
        <f t="shared" si="6"/>
        <v>请检查</v>
      </c>
      <c r="E61" s="1293">
        <f t="shared" si="6"/>
        <v>4.5025467911852749E-3</v>
      </c>
      <c r="F61" s="1293">
        <f t="shared" si="6"/>
        <v>4.0321097889190229E-3</v>
      </c>
      <c r="G61" s="1293">
        <f t="shared" si="6"/>
        <v>4.3864043838944952E-3</v>
      </c>
      <c r="H61" s="1291">
        <f t="shared" si="6"/>
        <v>6.9222492739602392E-3</v>
      </c>
      <c r="I61" s="1251"/>
      <c r="J61" s="1251"/>
      <c r="K61" s="1251"/>
      <c r="L61" s="1251"/>
      <c r="M61" s="1251"/>
      <c r="N61" s="1251"/>
      <c r="O61" s="1251"/>
      <c r="P61" s="1251"/>
    </row>
    <row r="62" spans="2:16" ht="15.6">
      <c r="B62" s="1286" t="s">
        <v>540</v>
      </c>
      <c r="C62" s="1295"/>
      <c r="D62" s="1295"/>
      <c r="E62" s="1295"/>
      <c r="F62" s="1295"/>
      <c r="G62" s="1287"/>
      <c r="H62" s="1288"/>
      <c r="I62" s="1251"/>
      <c r="J62" s="1251"/>
      <c r="K62" s="1251"/>
      <c r="L62" s="1251"/>
      <c r="M62" s="1251"/>
      <c r="N62" s="1251"/>
      <c r="O62" s="1251"/>
      <c r="P62" s="1251"/>
    </row>
    <row r="63" spans="2:16">
      <c r="B63" s="1261" t="s">
        <v>533</v>
      </c>
      <c r="C63" s="1296">
        <f>历史利润表!C24</f>
        <v>0</v>
      </c>
      <c r="D63" s="1296">
        <f>历史利润表!D24</f>
        <v>0</v>
      </c>
      <c r="E63" s="1296">
        <f>历史利润表!E24</f>
        <v>9.84728609E-2</v>
      </c>
      <c r="F63" s="1296">
        <f>历史利润表!F24</f>
        <v>0.55166360170000006</v>
      </c>
      <c r="G63" s="1262">
        <f>历史利润表!G24</f>
        <v>0.91817756150000007</v>
      </c>
      <c r="H63" s="1289">
        <f>历史利润表!H24</f>
        <v>0.64244614759999996</v>
      </c>
      <c r="I63" s="1251"/>
      <c r="J63" s="1251"/>
      <c r="K63" s="1251"/>
      <c r="L63" s="1251"/>
      <c r="M63" s="1251"/>
      <c r="N63" s="1251"/>
      <c r="O63" s="1251"/>
      <c r="P63" s="1251"/>
    </row>
    <row r="64" spans="2:16">
      <c r="B64" s="1264" t="s">
        <v>535</v>
      </c>
      <c r="C64" s="1293"/>
      <c r="D64" s="1293" t="str">
        <f>IFERROR(D63/C63-1,"")</f>
        <v/>
      </c>
      <c r="E64" s="1293" t="str">
        <f>IFERROR(E63/D63-1,"")</f>
        <v/>
      </c>
      <c r="F64" s="1293">
        <f>IFERROR(F63/E63-1,"")</f>
        <v>4.6021892393297987</v>
      </c>
      <c r="G64" s="1290">
        <f>IFERROR(G63/F63-1,"")</f>
        <v>0.66437944912543601</v>
      </c>
      <c r="H64" s="1291">
        <f>IFERROR(H63/G63-1,"")</f>
        <v>-0.30030293209250913</v>
      </c>
      <c r="I64" s="1251"/>
      <c r="J64" s="1251"/>
      <c r="K64" s="1251"/>
      <c r="L64" s="1251"/>
      <c r="M64" s="1251"/>
      <c r="N64" s="1251"/>
      <c r="O64" s="1251"/>
      <c r="P64" s="1251"/>
    </row>
    <row r="65" spans="2:16" ht="15.6">
      <c r="B65" s="1286" t="s">
        <v>541</v>
      </c>
      <c r="C65" s="1295"/>
      <c r="D65" s="1295"/>
      <c r="E65" s="1295"/>
      <c r="F65" s="1295"/>
      <c r="G65" s="1287"/>
      <c r="H65" s="1288"/>
      <c r="I65" s="1251"/>
      <c r="J65" s="1251"/>
      <c r="K65" s="1251"/>
      <c r="L65" s="1251"/>
      <c r="M65" s="1251"/>
      <c r="N65" s="1251"/>
      <c r="O65" s="1251"/>
      <c r="P65" s="1251"/>
    </row>
    <row r="66" spans="2:16">
      <c r="B66" s="1261" t="s">
        <v>536</v>
      </c>
      <c r="C66" s="1296">
        <f>历史利润表!C25</f>
        <v>0</v>
      </c>
      <c r="D66" s="1296">
        <f>历史利润表!D25</f>
        <v>0</v>
      </c>
      <c r="E66" s="1296">
        <f>历史利润表!E25</f>
        <v>1.5190390368</v>
      </c>
      <c r="F66" s="1296">
        <f>历史利润表!F25</f>
        <v>1.3818965437999999</v>
      </c>
      <c r="G66" s="1262">
        <f>历史利润表!G25</f>
        <v>1.3719273333999999</v>
      </c>
      <c r="H66" s="1289">
        <f>历史利润表!H25</f>
        <v>1.6626269233000002</v>
      </c>
      <c r="I66" s="1251"/>
      <c r="J66" s="1251"/>
      <c r="K66" s="1251"/>
      <c r="L66" s="1251"/>
      <c r="M66" s="1251"/>
      <c r="N66" s="1251"/>
      <c r="O66" s="1251"/>
      <c r="P66" s="1251"/>
    </row>
    <row r="67" spans="2:16">
      <c r="B67" s="1264" t="s">
        <v>538</v>
      </c>
      <c r="C67" s="1293"/>
      <c r="D67" s="1297" t="e">
        <f>IF(D66/C66-1=-100%,"请检查",D66/C66-1)</f>
        <v>#DIV/0!</v>
      </c>
      <c r="E67" s="1297" t="e">
        <f t="shared" ref="E67:H67" si="7">IF(E66/D66-1=-100%,"请检查",E66/D66-1)</f>
        <v>#DIV/0!</v>
      </c>
      <c r="F67" s="1297">
        <f t="shared" si="7"/>
        <v>-9.0282402017069718E-2</v>
      </c>
      <c r="G67" s="1297">
        <f t="shared" si="7"/>
        <v>-7.2141510482298665E-3</v>
      </c>
      <c r="H67" s="1291">
        <f t="shared" si="7"/>
        <v>0.21189139017995173</v>
      </c>
      <c r="I67" s="1251"/>
      <c r="J67" s="1251"/>
      <c r="K67" s="1251"/>
      <c r="L67" s="1251"/>
      <c r="M67" s="1251"/>
      <c r="N67" s="1251"/>
      <c r="O67" s="1251"/>
      <c r="P67" s="1251"/>
    </row>
    <row r="68" spans="2:16" ht="15.6">
      <c r="B68" s="1286" t="s">
        <v>544</v>
      </c>
      <c r="C68" s="1295"/>
      <c r="D68" s="1295"/>
      <c r="E68" s="1295"/>
      <c r="F68" s="1295"/>
      <c r="G68" s="1287"/>
      <c r="H68" s="1298"/>
      <c r="I68" s="1251"/>
      <c r="J68" s="1251"/>
      <c r="K68" s="1251"/>
      <c r="L68" s="1251"/>
      <c r="M68" s="1251"/>
      <c r="N68" s="1251"/>
      <c r="O68" s="1251"/>
      <c r="P68" s="1251"/>
    </row>
    <row r="69" spans="2:16">
      <c r="B69" s="1261" t="s">
        <v>542</v>
      </c>
      <c r="C69" s="1296">
        <f>历史利润表!C38</f>
        <v>0</v>
      </c>
      <c r="D69" s="1296">
        <f>历史利润表!D38</f>
        <v>0</v>
      </c>
      <c r="E69" s="1296">
        <f>历史利润表!E38</f>
        <v>8.2392040361000003</v>
      </c>
      <c r="F69" s="1296">
        <f>历史利润表!F38</f>
        <v>7.1310452111</v>
      </c>
      <c r="G69" s="1262">
        <f>历史利润表!G38</f>
        <v>7.9657802373000006</v>
      </c>
      <c r="H69" s="1289">
        <f>历史利润表!H38</f>
        <v>7.5816064260999996</v>
      </c>
      <c r="I69" s="1251"/>
      <c r="J69" s="1251"/>
      <c r="K69" s="1251"/>
      <c r="L69" s="1251"/>
      <c r="M69" s="1251"/>
      <c r="N69" s="1251"/>
      <c r="O69" s="1251"/>
      <c r="P69" s="1251"/>
    </row>
    <row r="70" spans="2:16">
      <c r="B70" s="1261" t="s">
        <v>543</v>
      </c>
      <c r="C70" s="1296">
        <f>历史利润表!C37</f>
        <v>0</v>
      </c>
      <c r="D70" s="1296">
        <f>历史利润表!D37</f>
        <v>0</v>
      </c>
      <c r="E70" s="1296">
        <f>历史利润表!E37</f>
        <v>33.208477225300001</v>
      </c>
      <c r="F70" s="1296">
        <f>历史利润表!F37</f>
        <v>29.409058234699998</v>
      </c>
      <c r="G70" s="1262">
        <f>历史利润表!G37</f>
        <v>34.702029121599999</v>
      </c>
      <c r="H70" s="1289">
        <f>历史利润表!H37</f>
        <v>30.636240490199999</v>
      </c>
      <c r="I70" s="1251"/>
      <c r="J70" s="1251"/>
      <c r="K70" s="1251"/>
      <c r="L70" s="1251"/>
      <c r="M70" s="1251"/>
      <c r="N70" s="1251"/>
      <c r="O70" s="1251"/>
      <c r="P70" s="1251"/>
    </row>
    <row r="71" spans="2:16">
      <c r="B71" s="1261" t="s">
        <v>545</v>
      </c>
      <c r="C71" s="1297" t="str">
        <f t="shared" ref="C71:G71" si="8">IFERROR(C69/C70,"请检查")</f>
        <v>请检查</v>
      </c>
      <c r="D71" s="1297" t="str">
        <f t="shared" si="8"/>
        <v>请检查</v>
      </c>
      <c r="E71" s="1297">
        <f t="shared" si="8"/>
        <v>0.24810544549218091</v>
      </c>
      <c r="F71" s="1297">
        <f t="shared" si="8"/>
        <v>0.24247784999405453</v>
      </c>
      <c r="G71" s="1297">
        <f t="shared" si="8"/>
        <v>0.22954796704789129</v>
      </c>
      <c r="H71" s="1291">
        <f>IFERROR(H69/H70,"请检查")</f>
        <v>0.24747182763907419</v>
      </c>
      <c r="I71" s="1251"/>
      <c r="J71" s="1251"/>
      <c r="K71" s="1251"/>
      <c r="L71" s="1251"/>
      <c r="M71" s="1251"/>
      <c r="N71" s="1251"/>
      <c r="O71" s="1251"/>
      <c r="P71" s="1251"/>
    </row>
    <row r="72" spans="2:16" ht="15.6">
      <c r="B72" s="1286" t="s">
        <v>546</v>
      </c>
      <c r="C72" s="1295"/>
      <c r="D72" s="1295"/>
      <c r="E72" s="1295"/>
      <c r="F72" s="1295"/>
      <c r="G72" s="1287"/>
      <c r="H72" s="1298"/>
      <c r="I72" s="1251"/>
      <c r="J72" s="1251"/>
      <c r="K72" s="1251"/>
      <c r="L72" s="1251"/>
      <c r="M72" s="1251"/>
      <c r="N72" s="1251"/>
      <c r="O72" s="1251"/>
      <c r="P72" s="1251"/>
    </row>
    <row r="73" spans="2:16">
      <c r="B73" s="1261" t="s">
        <v>547</v>
      </c>
      <c r="C73" s="1296">
        <f>历史利润表!C41</f>
        <v>0</v>
      </c>
      <c r="D73" s="1296">
        <f>历史利润表!D41</f>
        <v>0</v>
      </c>
      <c r="E73" s="1296">
        <f>历史利润表!E41</f>
        <v>-3.9216940399999997E-2</v>
      </c>
      <c r="F73" s="1296">
        <f>历史利润表!F41</f>
        <v>2.3955697799999998E-2</v>
      </c>
      <c r="G73" s="1262">
        <f>历史利润表!G41</f>
        <v>1.4413419199999999E-2</v>
      </c>
      <c r="H73" s="1289">
        <f>历史利润表!H41</f>
        <v>1.0917090400000001E-2</v>
      </c>
      <c r="I73" s="1251"/>
      <c r="J73" s="1251"/>
      <c r="K73" s="1251"/>
      <c r="L73" s="1251"/>
      <c r="M73" s="1251"/>
      <c r="N73" s="1251"/>
      <c r="O73" s="1251"/>
      <c r="P73" s="1251"/>
    </row>
    <row r="74" spans="2:16">
      <c r="B74" s="1261" t="s">
        <v>548</v>
      </c>
      <c r="C74" s="1296">
        <f>历史利润表!C39</f>
        <v>0</v>
      </c>
      <c r="D74" s="1296">
        <f>历史利润表!D39</f>
        <v>0</v>
      </c>
      <c r="E74" s="1296">
        <f>历史利润表!E39</f>
        <v>24.969273189199999</v>
      </c>
      <c r="F74" s="1296">
        <f>历史利润表!F39</f>
        <v>22.2780130236</v>
      </c>
      <c r="G74" s="1262">
        <f>历史利润表!G39</f>
        <v>26.736248884299997</v>
      </c>
      <c r="H74" s="1289">
        <f>历史利润表!H39</f>
        <v>23.0546340641</v>
      </c>
      <c r="I74" s="1251"/>
      <c r="J74" s="1251"/>
      <c r="K74" s="1251"/>
      <c r="L74" s="1251"/>
      <c r="M74" s="1251"/>
      <c r="N74" s="1251"/>
      <c r="O74" s="1251"/>
      <c r="P74" s="1251"/>
    </row>
    <row r="75" spans="2:16">
      <c r="B75" s="1264" t="s">
        <v>550</v>
      </c>
      <c r="C75" s="1297" t="str">
        <f t="shared" ref="C75:G75" si="9">IFERROR(C73/C74,"请检查")</f>
        <v>请检查</v>
      </c>
      <c r="D75" s="1297" t="str">
        <f t="shared" si="9"/>
        <v>请检查</v>
      </c>
      <c r="E75" s="1297">
        <f t="shared" si="9"/>
        <v>-1.5706080070028857E-3</v>
      </c>
      <c r="F75" s="1297">
        <f t="shared" si="9"/>
        <v>1.0753067508589189E-3</v>
      </c>
      <c r="G75" s="1297">
        <f t="shared" si="9"/>
        <v>5.3909653752751445E-4</v>
      </c>
      <c r="H75" s="1291">
        <f>IFERROR(H73/H74,"请检查")</f>
        <v>4.7353128094103104E-4</v>
      </c>
      <c r="I75" s="1299"/>
      <c r="J75" s="1299"/>
      <c r="K75" s="1251"/>
      <c r="L75" s="1251"/>
      <c r="M75" s="1251"/>
      <c r="N75" s="1251"/>
      <c r="O75" s="1251"/>
      <c r="P75" s="1251"/>
    </row>
    <row r="76" spans="2:16" ht="15.6">
      <c r="B76" s="1286" t="s">
        <v>603</v>
      </c>
      <c r="C76" s="1295"/>
      <c r="D76" s="1295"/>
      <c r="E76" s="1295"/>
      <c r="F76" s="1293"/>
      <c r="G76" s="1290"/>
      <c r="H76" s="1291"/>
      <c r="I76" s="1292"/>
      <c r="J76" s="1292"/>
      <c r="K76" s="1251"/>
      <c r="L76" s="1251"/>
      <c r="M76" s="1251"/>
      <c r="N76" s="1251"/>
      <c r="O76" s="1251"/>
      <c r="P76" s="1251"/>
    </row>
    <row r="77" spans="2:16">
      <c r="B77" s="1261" t="s">
        <v>604</v>
      </c>
      <c r="C77" s="1296">
        <f>历史利润表!C30</f>
        <v>0</v>
      </c>
      <c r="D77" s="1296">
        <f>历史利润表!D30</f>
        <v>0</v>
      </c>
      <c r="E77" s="1296">
        <f>历史利润表!E30</f>
        <v>3.7491075832999998</v>
      </c>
      <c r="F77" s="1296">
        <f>历史利润表!F30</f>
        <v>3.5344663863999997</v>
      </c>
      <c r="G77" s="1262">
        <f>历史利润表!G30</f>
        <v>3.0286453032999998</v>
      </c>
      <c r="H77" s="1289">
        <f>历史利润表!H30</f>
        <v>1.0948207815</v>
      </c>
      <c r="I77" s="1292"/>
      <c r="J77" s="1292"/>
      <c r="K77" s="1251"/>
      <c r="L77" s="1251"/>
      <c r="M77" s="1251"/>
      <c r="N77" s="1251"/>
      <c r="O77" s="1251"/>
      <c r="P77" s="1251"/>
    </row>
    <row r="78" spans="2:16">
      <c r="B78" s="1261" t="s">
        <v>1175</v>
      </c>
      <c r="C78" s="1296">
        <f>历史资产负债表!C14+历史资产负债表!C16</f>
        <v>0</v>
      </c>
      <c r="D78" s="1262" t="e">
        <f>AVERAGE(历史资产负债表!C14,历史资产负债表!D14)+AVERAGE(历史资产负债表!C16,历史资产负债表!D16)</f>
        <v>#DIV/0!</v>
      </c>
      <c r="E78" s="1262">
        <f>AVERAGE(历史资产负债表!D14,历史资产负债表!E14)+AVERAGE(历史资产负债表!D16,历史资产负债表!E16)</f>
        <v>24.508458163099998</v>
      </c>
      <c r="F78" s="1262">
        <f>AVERAGE(历史资产负债表!E14,历史资产负债表!F14)+AVERAGE(历史资产负债表!E16,历史资产负债表!F16)</f>
        <v>25.146925876800001</v>
      </c>
      <c r="G78" s="1262">
        <f>AVERAGE(历史资产负债表!F14,历史资产负债表!G14)+AVERAGE(历史资产负债表!F16,历史资产负债表!G16)</f>
        <v>26.761716693799997</v>
      </c>
      <c r="H78" s="1289">
        <f>AVERAGE(历史资产负债表!G14,历史资产负债表!H14)+AVERAGE(历史资产负债表!G16,历史资产负债表!H16)</f>
        <v>27.1580181263</v>
      </c>
      <c r="I78" s="1292"/>
      <c r="J78" s="1292"/>
      <c r="K78" s="1251"/>
      <c r="L78" s="1251"/>
      <c r="M78" s="1251"/>
      <c r="N78" s="1251"/>
      <c r="O78" s="1251"/>
      <c r="P78" s="1251"/>
    </row>
    <row r="79" spans="2:16">
      <c r="B79" s="1261" t="s">
        <v>1174</v>
      </c>
      <c r="C79" s="1297" t="str">
        <f t="shared" ref="C79:G79" si="10">IFERROR(C77/C78,"请检查")</f>
        <v>请检查</v>
      </c>
      <c r="D79" s="1297" t="str">
        <f t="shared" si="10"/>
        <v>请检查</v>
      </c>
      <c r="E79" s="1297">
        <f t="shared" si="10"/>
        <v>0.15297198862328543</v>
      </c>
      <c r="F79" s="1297">
        <f t="shared" si="10"/>
        <v>0.14055262276256281</v>
      </c>
      <c r="G79" s="1297">
        <f t="shared" si="10"/>
        <v>0.11317081553298332</v>
      </c>
      <c r="H79" s="1291">
        <f>IFERROR(H77/H78,"请检查")</f>
        <v>4.03129851526157E-2</v>
      </c>
      <c r="I79" s="1292"/>
      <c r="J79" s="1292"/>
      <c r="K79" s="1251"/>
      <c r="L79" s="1251"/>
      <c r="M79" s="1251"/>
      <c r="N79" s="1251"/>
      <c r="O79" s="1251"/>
      <c r="P79" s="1251"/>
    </row>
    <row r="80" spans="2:16">
      <c r="B80" s="1300"/>
      <c r="C80" s="1301"/>
      <c r="D80" s="1301"/>
      <c r="E80" s="1301"/>
      <c r="F80" s="1301"/>
      <c r="G80" s="1301"/>
      <c r="H80" s="1302"/>
      <c r="I80" s="1292"/>
      <c r="J80" s="1292"/>
      <c r="K80" s="1251"/>
      <c r="L80" s="1251"/>
      <c r="M80" s="1251"/>
      <c r="N80" s="1251"/>
      <c r="O80" s="1251"/>
      <c r="P80" s="1251"/>
    </row>
    <row r="81" spans="2:16" ht="15.6">
      <c r="B81" s="1294" t="s">
        <v>553</v>
      </c>
      <c r="C81" s="1281"/>
      <c r="D81" s="1281"/>
      <c r="E81" s="1281"/>
      <c r="F81" s="1281"/>
      <c r="G81" s="1281"/>
      <c r="H81" s="1268"/>
      <c r="I81" s="1251"/>
      <c r="J81" s="1251"/>
      <c r="K81" s="1251"/>
      <c r="L81" s="1251"/>
      <c r="M81" s="1251"/>
      <c r="N81" s="1251"/>
      <c r="O81" s="1251"/>
      <c r="P81" s="1251"/>
    </row>
    <row r="82" spans="2:16" ht="15.6">
      <c r="B82" s="1286" t="s">
        <v>1266</v>
      </c>
      <c r="C82" s="1287"/>
      <c r="D82" s="1287"/>
      <c r="E82" s="1287"/>
      <c r="F82" s="1287"/>
      <c r="G82" s="1287"/>
      <c r="H82" s="1288"/>
      <c r="I82" s="1251"/>
      <c r="J82" s="1251"/>
      <c r="K82" s="1251"/>
      <c r="L82" s="1251"/>
      <c r="M82" s="1251"/>
      <c r="N82" s="1251"/>
      <c r="O82" s="1251"/>
      <c r="P82" s="1251"/>
    </row>
    <row r="83" spans="2:16">
      <c r="B83" s="1261" t="s">
        <v>1267</v>
      </c>
      <c r="C83" s="1262">
        <f>历史资产负债表!C6</f>
        <v>0</v>
      </c>
      <c r="D83" s="1262">
        <f>历史资产负债表!D6</f>
        <v>0</v>
      </c>
      <c r="E83" s="1262">
        <f>历史资产负债表!E6</f>
        <v>5.3954805315000005</v>
      </c>
      <c r="F83" s="1262">
        <f>历史资产负债表!F6</f>
        <v>3.4855679111</v>
      </c>
      <c r="G83" s="1262">
        <f>历史资产负债表!G6</f>
        <v>4.2035258193999994</v>
      </c>
      <c r="H83" s="1289">
        <f>历史资产负债表!H6</f>
        <v>4.7360659083999996</v>
      </c>
      <c r="I83" s="1251"/>
      <c r="J83" s="1251"/>
      <c r="K83" s="1251"/>
      <c r="L83" s="1251"/>
      <c r="M83" s="1251"/>
      <c r="N83" s="1251"/>
      <c r="O83" s="1251"/>
      <c r="P83" s="1251"/>
    </row>
    <row r="84" spans="2:16">
      <c r="B84" s="1261" t="s">
        <v>1176</v>
      </c>
      <c r="C84" s="1262">
        <f>历史利润表!C4</f>
        <v>0</v>
      </c>
      <c r="D84" s="1262">
        <f>历史利润表!D4</f>
        <v>0</v>
      </c>
      <c r="E84" s="1262">
        <f>历史利润表!E4</f>
        <v>796.60442812539998</v>
      </c>
      <c r="F84" s="1262">
        <f>历史利润表!F4</f>
        <v>810.2762171503</v>
      </c>
      <c r="G84" s="1262">
        <f>历史利润表!G4</f>
        <v>852.73232172429994</v>
      </c>
      <c r="H84" s="1289">
        <f>历史利润表!H4</f>
        <v>882.71881000960002</v>
      </c>
      <c r="I84" s="1251"/>
      <c r="J84" s="1251"/>
      <c r="K84" s="1251"/>
      <c r="L84" s="1251"/>
      <c r="M84" s="1251"/>
      <c r="N84" s="1251"/>
      <c r="O84" s="1251"/>
      <c r="P84" s="1251"/>
    </row>
    <row r="85" spans="2:16">
      <c r="B85" s="1261" t="s">
        <v>554</v>
      </c>
      <c r="C85" s="1297" t="e">
        <f>C83/C84</f>
        <v>#DIV/0!</v>
      </c>
      <c r="D85" s="1297" t="e">
        <f t="shared" ref="D85:H85" si="11">D83/D84</f>
        <v>#DIV/0!</v>
      </c>
      <c r="E85" s="1297">
        <f t="shared" si="11"/>
        <v>6.7730988442994871E-3</v>
      </c>
      <c r="F85" s="1297">
        <f t="shared" si="11"/>
        <v>4.3017033418043093E-3</v>
      </c>
      <c r="G85" s="1297">
        <f t="shared" si="11"/>
        <v>4.9294787031176441E-3</v>
      </c>
      <c r="H85" s="1291">
        <f t="shared" si="11"/>
        <v>5.3653166271017752E-3</v>
      </c>
      <c r="I85" s="1292"/>
      <c r="J85" s="1251"/>
      <c r="K85" s="1251"/>
      <c r="L85" s="1251"/>
      <c r="M85" s="1251"/>
      <c r="N85" s="1251"/>
      <c r="O85" s="1251"/>
      <c r="P85" s="1251"/>
    </row>
    <row r="86" spans="2:16" ht="15.6">
      <c r="B86" s="1286" t="s">
        <v>555</v>
      </c>
      <c r="C86" s="1287"/>
      <c r="D86" s="1287"/>
      <c r="E86" s="1287"/>
      <c r="F86" s="1287"/>
      <c r="G86" s="1287"/>
      <c r="H86" s="1298"/>
      <c r="I86" s="1251"/>
      <c r="J86" s="1251"/>
      <c r="K86" s="1251"/>
      <c r="L86" s="1251"/>
      <c r="M86" s="1251"/>
      <c r="N86" s="1251"/>
      <c r="O86" s="1251"/>
      <c r="P86" s="1251"/>
    </row>
    <row r="87" spans="2:16">
      <c r="B87" s="1264" t="s">
        <v>1177</v>
      </c>
      <c r="C87" s="1263"/>
      <c r="D87" s="1262" t="e">
        <f>AVERAGE(历史资产负债表!C9,历史资产负债表!D9)</f>
        <v>#DIV/0!</v>
      </c>
      <c r="E87" s="1262">
        <f>AVERAGE(历史资产负债表!D9,历史资产负债表!E9)</f>
        <v>6.6785011347000003</v>
      </c>
      <c r="F87" s="1262">
        <f>AVERAGE(历史资产负债表!E9,历史资产负债表!F9)</f>
        <v>5.9320412769500006</v>
      </c>
      <c r="G87" s="1262">
        <f>AVERAGE(历史资产负债表!F9,历史资产负债表!G9)</f>
        <v>4.9310332186500005</v>
      </c>
      <c r="H87" s="1289">
        <f>AVERAGE(历史资产负债表!G9,历史资产负债表!H9)</f>
        <v>4.3413685150000001</v>
      </c>
      <c r="I87" s="1251"/>
      <c r="J87" s="1251"/>
      <c r="K87" s="1251"/>
      <c r="L87" s="1251"/>
      <c r="M87" s="1251"/>
      <c r="N87" s="1251"/>
      <c r="O87" s="1251"/>
      <c r="P87" s="1251"/>
    </row>
    <row r="88" spans="2:16">
      <c r="B88" s="1354" t="s">
        <v>1942</v>
      </c>
      <c r="C88" s="1303"/>
      <c r="D88" s="1263">
        <f>关键参数底稿!D15</f>
        <v>0</v>
      </c>
      <c r="E88" s="1263">
        <f>关键参数底稿!E15</f>
        <v>0</v>
      </c>
      <c r="F88" s="1263">
        <f>关键参数底稿!F15</f>
        <v>19.103699728800002</v>
      </c>
      <c r="G88" s="1263">
        <f>关键参数底稿!G15</f>
        <v>20.536985419100002</v>
      </c>
      <c r="H88" s="1289">
        <f>关键参数底稿!H15</f>
        <v>25.415139770900002</v>
      </c>
      <c r="I88" s="1251"/>
      <c r="J88" s="1251"/>
      <c r="K88" s="1251"/>
      <c r="L88" s="1251"/>
      <c r="M88" s="1251"/>
      <c r="N88" s="1251"/>
      <c r="O88" s="1251"/>
      <c r="P88" s="1251"/>
    </row>
    <row r="89" spans="2:16">
      <c r="B89" s="1354" t="s">
        <v>1943</v>
      </c>
      <c r="C89" s="1293"/>
      <c r="D89" s="1290" t="e">
        <f>D87/D88</f>
        <v>#DIV/0!</v>
      </c>
      <c r="E89" s="1290" t="e">
        <f>E87/E88</f>
        <v>#DIV/0!</v>
      </c>
      <c r="F89" s="1290">
        <f>F87/F88</f>
        <v>0.31051792904842845</v>
      </c>
      <c r="G89" s="1290">
        <f>G87/G88</f>
        <v>0.24010501629241038</v>
      </c>
      <c r="H89" s="1291">
        <f>IFERROR(H87/H88,"请检查")</f>
        <v>0.17081820340688464</v>
      </c>
      <c r="I89" s="1251"/>
      <c r="J89" s="1251"/>
      <c r="K89" s="1251"/>
      <c r="L89" s="1251"/>
      <c r="M89" s="1251"/>
      <c r="N89" s="1251"/>
      <c r="O89" s="1251"/>
      <c r="P89" s="1251"/>
    </row>
    <row r="90" spans="2:16" ht="15.6">
      <c r="B90" s="1304" t="s">
        <v>557</v>
      </c>
      <c r="C90" s="1295"/>
      <c r="D90" s="1295"/>
      <c r="E90" s="1295"/>
      <c r="F90" s="1295"/>
      <c r="G90" s="1287"/>
      <c r="H90" s="1298"/>
      <c r="I90" s="1251"/>
      <c r="J90" s="1251"/>
      <c r="K90" s="1251"/>
      <c r="L90" s="1251"/>
      <c r="M90" s="1251"/>
      <c r="N90" s="1251"/>
      <c r="O90" s="1251"/>
      <c r="P90" s="1251"/>
    </row>
    <row r="91" spans="2:16">
      <c r="B91" s="1264" t="s">
        <v>1178</v>
      </c>
      <c r="C91" s="1296">
        <f>历史资产负债表!C7</f>
        <v>0</v>
      </c>
      <c r="D91" s="1262" t="e">
        <f>AVERAGE(历史资产负债表!C7,历史资产负债表!D7)</f>
        <v>#DIV/0!</v>
      </c>
      <c r="E91" s="1262">
        <f>AVERAGE(历史资产负债表!D7,历史资产负债表!E7)</f>
        <v>3.7662921479000002</v>
      </c>
      <c r="F91" s="1262">
        <f>AVERAGE(历史资产负债表!E7,历史资产负债表!F7)</f>
        <v>10.40151187495</v>
      </c>
      <c r="G91" s="1262">
        <f>AVERAGE(历史资产负债表!F7,历史资产负债表!G7)</f>
        <v>9.6919487143499996</v>
      </c>
      <c r="H91" s="1289">
        <f>AVERAGE(历史资产负债表!G7,历史资产负债表!H7)</f>
        <v>2.5075691607000001</v>
      </c>
      <c r="I91" s="1251"/>
      <c r="J91" s="1251"/>
      <c r="K91" s="1251"/>
      <c r="L91" s="1251"/>
      <c r="M91" s="1251"/>
      <c r="N91" s="1251"/>
      <c r="O91" s="1251"/>
      <c r="P91" s="1251"/>
    </row>
    <row r="92" spans="2:16">
      <c r="B92" s="1264" t="s">
        <v>558</v>
      </c>
      <c r="C92" s="1262"/>
      <c r="D92" s="1262"/>
      <c r="E92" s="1621">
        <f>发展投入!C18*假设!C117</f>
        <v>199.91931957802899</v>
      </c>
      <c r="F92" s="1621">
        <f>发展投入!D18*假设!D117</f>
        <v>210.005505</v>
      </c>
      <c r="G92" s="1621">
        <f>发展投入!E18*假设!E117</f>
        <v>206.59504999999999</v>
      </c>
      <c r="H92" s="1621">
        <f>发展投入!F18*假设!F117</f>
        <v>114.37948499999999</v>
      </c>
      <c r="I92" s="1251"/>
      <c r="J92" s="1251"/>
      <c r="K92" s="1251"/>
      <c r="L92" s="1251"/>
      <c r="M92" s="1251"/>
      <c r="N92" s="1251"/>
      <c r="O92" s="1251"/>
      <c r="P92" s="1251"/>
    </row>
    <row r="93" spans="2:16">
      <c r="B93" s="1305" t="s">
        <v>556</v>
      </c>
      <c r="C93" s="1297"/>
      <c r="D93" s="1297"/>
      <c r="E93" s="1297">
        <f>IF(E91/E92=0,"请检查",E91/E92)</f>
        <v>1.8839060456235734E-2</v>
      </c>
      <c r="F93" s="1297">
        <f t="shared" ref="F93:G93" si="12">IF(F91/F92=0,"请检查",F91/F92)</f>
        <v>4.9529710542349829E-2</v>
      </c>
      <c r="G93" s="1297">
        <f t="shared" si="12"/>
        <v>4.6912782829743503E-2</v>
      </c>
      <c r="H93" s="1291">
        <f>IF(H91/H92=0,"请检查",H91/H92)</f>
        <v>2.1923242272860386E-2</v>
      </c>
      <c r="I93" s="1251"/>
      <c r="J93" s="1251"/>
      <c r="K93" s="1251"/>
      <c r="L93" s="1251"/>
      <c r="M93" s="1251"/>
      <c r="N93" s="1251"/>
      <c r="O93" s="1251"/>
      <c r="P93" s="1251"/>
    </row>
    <row r="94" spans="2:16" ht="15.6">
      <c r="B94" s="1304" t="s">
        <v>559</v>
      </c>
      <c r="C94" s="1295"/>
      <c r="D94" s="1295"/>
      <c r="E94" s="1295"/>
      <c r="F94" s="1295"/>
      <c r="G94" s="1287"/>
      <c r="H94" s="1298"/>
      <c r="I94" s="1251"/>
      <c r="J94" s="1251"/>
      <c r="K94" s="1251"/>
      <c r="L94" s="1251"/>
      <c r="M94" s="1251"/>
      <c r="N94" s="1251"/>
      <c r="O94" s="1251"/>
      <c r="P94" s="1251"/>
    </row>
    <row r="95" spans="2:16">
      <c r="B95" s="1261" t="s">
        <v>1179</v>
      </c>
      <c r="C95" s="1303">
        <f>历史资产负债表!C34</f>
        <v>0</v>
      </c>
      <c r="D95" s="1262" t="e">
        <f>AVERAGE(历史资产负债表!C34,历史资产负债表!D34)</f>
        <v>#DIV/0!</v>
      </c>
      <c r="E95" s="1262">
        <f>AVERAGE(历史资产负债表!D34,历史资产负债表!E34)</f>
        <v>77.712229931400003</v>
      </c>
      <c r="F95" s="1262">
        <f>AVERAGE(历史资产负债表!E34,历史资产负债表!F34)</f>
        <v>91.674918606349991</v>
      </c>
      <c r="G95" s="1262">
        <f>AVERAGE(历史资产负债表!F34,历史资产负债表!G34)</f>
        <v>89.908291974950004</v>
      </c>
      <c r="H95" s="1289">
        <f>AVERAGE(历史资产负债表!G34,历史资产负债表!H34)</f>
        <v>77.170796552100001</v>
      </c>
      <c r="I95" s="1251"/>
      <c r="J95" s="1251"/>
      <c r="K95" s="1251"/>
      <c r="L95" s="1251"/>
      <c r="M95" s="1251"/>
      <c r="N95" s="1251"/>
      <c r="O95" s="1251"/>
      <c r="P95" s="1251"/>
    </row>
    <row r="96" spans="2:16">
      <c r="B96" s="1264" t="s">
        <v>565</v>
      </c>
      <c r="C96" s="1303">
        <f t="shared" ref="C96:H96" si="13">C12</f>
        <v>0</v>
      </c>
      <c r="D96" s="1303">
        <f t="shared" si="13"/>
        <v>0</v>
      </c>
      <c r="E96" s="1303">
        <f t="shared" si="13"/>
        <v>749.65976261160006</v>
      </c>
      <c r="F96" s="1303">
        <f t="shared" si="13"/>
        <v>765.30247323589992</v>
      </c>
      <c r="G96" s="1263">
        <f t="shared" si="13"/>
        <v>785.95032516920003</v>
      </c>
      <c r="H96" s="1289">
        <f t="shared" si="13"/>
        <v>817.75532362539991</v>
      </c>
      <c r="I96" s="1251"/>
      <c r="J96" s="1251"/>
      <c r="K96" s="1251"/>
      <c r="L96" s="1251"/>
      <c r="M96" s="1251"/>
      <c r="N96" s="1251"/>
      <c r="O96" s="1251"/>
      <c r="P96" s="1251"/>
    </row>
    <row r="97" spans="1:16">
      <c r="B97" s="1261" t="s">
        <v>561</v>
      </c>
      <c r="C97" s="1293" t="str">
        <f t="shared" ref="C97:G97" si="14">IFERROR(C95/C96,"")</f>
        <v/>
      </c>
      <c r="D97" s="1293" t="str">
        <f t="shared" si="14"/>
        <v/>
      </c>
      <c r="E97" s="1293">
        <f t="shared" si="14"/>
        <v>0.10366333343098585</v>
      </c>
      <c r="F97" s="1293">
        <f t="shared" si="14"/>
        <v>0.11978913150342289</v>
      </c>
      <c r="G97" s="1293">
        <f t="shared" si="14"/>
        <v>0.11439436958766379</v>
      </c>
      <c r="H97" s="1291">
        <f>IFERROR(H95/H96,"请检查")</f>
        <v>9.4369054315628836E-2</v>
      </c>
      <c r="I97" s="1251"/>
      <c r="J97" s="1251"/>
      <c r="K97" s="1251"/>
      <c r="L97" s="1251"/>
      <c r="M97" s="1251"/>
      <c r="N97" s="1251"/>
      <c r="O97" s="1251"/>
      <c r="P97" s="1251"/>
    </row>
    <row r="98" spans="1:16" ht="15.6">
      <c r="B98" s="1286" t="s">
        <v>568</v>
      </c>
      <c r="C98" s="1287"/>
      <c r="D98" s="1287"/>
      <c r="E98" s="1287"/>
      <c r="F98" s="1287"/>
      <c r="G98" s="1287"/>
      <c r="H98" s="1298"/>
      <c r="I98" s="1251"/>
      <c r="J98" s="1251"/>
      <c r="K98" s="1251"/>
      <c r="L98" s="1251"/>
      <c r="M98" s="1251"/>
      <c r="N98" s="1251"/>
      <c r="O98" s="1251"/>
      <c r="P98" s="1251"/>
    </row>
    <row r="99" spans="1:16">
      <c r="B99" s="1264" t="s">
        <v>1268</v>
      </c>
      <c r="C99" s="1262">
        <f>历史资产负债表!C35</f>
        <v>0</v>
      </c>
      <c r="D99" s="1262">
        <f>历史资产负债表!D35</f>
        <v>0</v>
      </c>
      <c r="E99" s="1262">
        <f>历史资产负债表!E35</f>
        <v>29.8013003033</v>
      </c>
      <c r="F99" s="1262">
        <f>历史资产负债表!F35</f>
        <v>34.717300991199998</v>
      </c>
      <c r="G99" s="1262">
        <f>历史资产负债表!G35</f>
        <v>50.190198178900005</v>
      </c>
      <c r="H99" s="1289">
        <f>历史资产负债表!H35</f>
        <v>52.999565051600001</v>
      </c>
      <c r="I99" s="1251"/>
      <c r="J99" s="1251"/>
      <c r="K99" s="1251"/>
      <c r="L99" s="1251"/>
      <c r="M99" s="1251"/>
      <c r="N99" s="1251"/>
      <c r="O99" s="1251"/>
      <c r="P99" s="1251"/>
    </row>
    <row r="100" spans="1:16">
      <c r="B100" s="1264" t="s">
        <v>528</v>
      </c>
      <c r="C100" s="1262">
        <f>历史利润表!C4</f>
        <v>0</v>
      </c>
      <c r="D100" s="1262">
        <f>历史利润表!D4</f>
        <v>0</v>
      </c>
      <c r="E100" s="1262">
        <f>历史利润表!E4</f>
        <v>796.60442812539998</v>
      </c>
      <c r="F100" s="1262">
        <f>历史利润表!F4</f>
        <v>810.2762171503</v>
      </c>
      <c r="G100" s="1262">
        <f>历史利润表!G4</f>
        <v>852.73232172429994</v>
      </c>
      <c r="H100" s="1289">
        <f>历史利润表!H4</f>
        <v>882.71881000960002</v>
      </c>
      <c r="I100" s="1251"/>
      <c r="J100" s="1251"/>
      <c r="K100" s="1251"/>
      <c r="L100" s="1251"/>
      <c r="M100" s="1251"/>
      <c r="N100" s="1251"/>
      <c r="O100" s="1251"/>
      <c r="P100" s="1251"/>
    </row>
    <row r="101" spans="1:16">
      <c r="B101" s="1261" t="s">
        <v>566</v>
      </c>
      <c r="C101" s="1306" t="str">
        <f t="shared" ref="C101:G101" si="15">IFERROR(C99/C100,"请检查")</f>
        <v>请检查</v>
      </c>
      <c r="D101" s="1297" t="str">
        <f t="shared" si="15"/>
        <v>请检查</v>
      </c>
      <c r="E101" s="1297">
        <f t="shared" si="15"/>
        <v>3.7410412560007433E-2</v>
      </c>
      <c r="F101" s="1297">
        <f t="shared" si="15"/>
        <v>4.2846254470233582E-2</v>
      </c>
      <c r="G101" s="1297">
        <f t="shared" si="15"/>
        <v>5.8858092862495229E-2</v>
      </c>
      <c r="H101" s="1291">
        <f>IFERROR(H99/H100,"请检查")</f>
        <v>6.00412775287111E-2</v>
      </c>
      <c r="I101" s="1251"/>
      <c r="J101" s="1251"/>
      <c r="K101" s="1251"/>
      <c r="L101" s="1251"/>
      <c r="M101" s="1251"/>
      <c r="N101" s="1251"/>
      <c r="O101" s="1251"/>
      <c r="P101" s="1251"/>
    </row>
    <row r="102" spans="1:16" ht="15.6">
      <c r="B102" s="1286" t="s">
        <v>569</v>
      </c>
      <c r="C102" s="1295"/>
      <c r="D102" s="1287"/>
      <c r="E102" s="1287"/>
      <c r="F102" s="1287"/>
      <c r="G102" s="1287"/>
      <c r="H102" s="1298"/>
      <c r="I102" s="1251"/>
      <c r="J102" s="1251"/>
      <c r="K102" s="1251"/>
      <c r="L102" s="1251"/>
      <c r="M102" s="1251"/>
      <c r="N102" s="1251"/>
      <c r="O102" s="1251"/>
      <c r="P102" s="1251"/>
    </row>
    <row r="103" spans="1:16">
      <c r="B103" s="1264" t="s">
        <v>1180</v>
      </c>
      <c r="C103" s="1296">
        <f>历史资产负债表!C38</f>
        <v>0</v>
      </c>
      <c r="D103" s="1262" t="e">
        <f>AVERAGE(历史资产负债表!C38,历史资产负债表!D38)</f>
        <v>#DIV/0!</v>
      </c>
      <c r="E103" s="1262">
        <f>AVERAGE(历史资产负债表!D38,历史资产负债表!E38)</f>
        <v>3.0769231000000001E-3</v>
      </c>
      <c r="F103" s="1262">
        <f>AVERAGE(历史资产负债表!E38,历史资产负债表!F38)</f>
        <v>2.6481084500000002E-2</v>
      </c>
      <c r="G103" s="1262">
        <f>AVERAGE(历史资产负债表!F38,历史资产负债表!G38)</f>
        <v>4.9953581900000002E-2</v>
      </c>
      <c r="H103" s="1289">
        <f>AVERAGE(历史资产负债表!G38,历史资产负债表!H38)</f>
        <v>5.002191785E-2</v>
      </c>
      <c r="I103" s="1251"/>
      <c r="J103" s="1251"/>
      <c r="K103" s="1251"/>
      <c r="L103" s="1251"/>
      <c r="M103" s="1251"/>
      <c r="N103" s="1251"/>
      <c r="O103" s="1251"/>
      <c r="P103" s="1251"/>
    </row>
    <row r="104" spans="1:16">
      <c r="B104" s="1264" t="s">
        <v>570</v>
      </c>
      <c r="C104" s="1296">
        <f>历史利润表!C26</f>
        <v>0</v>
      </c>
      <c r="D104" s="1262">
        <f>历史利润表!D26</f>
        <v>0</v>
      </c>
      <c r="E104" s="1262">
        <f>历史利润表!E26</f>
        <v>-0.63414611840000001</v>
      </c>
      <c r="F104" s="1262">
        <f>历史利润表!F26</f>
        <v>-0.81544300219999999</v>
      </c>
      <c r="G104" s="1262">
        <f>历史利润表!G26</f>
        <v>-0.64352519419999998</v>
      </c>
      <c r="H104" s="1289">
        <f>历史利润表!H26</f>
        <v>-0.6535169556</v>
      </c>
      <c r="I104" s="1251"/>
      <c r="J104" s="1251"/>
      <c r="K104" s="1251"/>
      <c r="L104" s="1251"/>
      <c r="M104" s="1251"/>
      <c r="N104" s="1251"/>
      <c r="O104" s="1251"/>
      <c r="P104" s="1251"/>
    </row>
    <row r="105" spans="1:16">
      <c r="B105" s="1261" t="s">
        <v>571</v>
      </c>
      <c r="C105" s="1306" t="str">
        <f t="shared" ref="C105:G105" si="16">IFERROR(C103/C104,"请检查")</f>
        <v>请检查</v>
      </c>
      <c r="D105" s="1297" t="str">
        <f t="shared" si="16"/>
        <v>请检查</v>
      </c>
      <c r="E105" s="1297">
        <f t="shared" si="16"/>
        <v>-4.8520727490429438E-3</v>
      </c>
      <c r="F105" s="1297">
        <f t="shared" si="16"/>
        <v>-3.2474476362610451E-2</v>
      </c>
      <c r="G105" s="1297">
        <f t="shared" si="16"/>
        <v>-7.7624904743783849E-2</v>
      </c>
      <c r="H105" s="1291">
        <f>IFERROR(H103/H104,"请检查")</f>
        <v>-7.6542647319799706E-2</v>
      </c>
      <c r="I105" s="1251"/>
      <c r="J105" s="1251"/>
      <c r="K105" s="1251"/>
      <c r="L105" s="1251"/>
      <c r="M105" s="1251"/>
      <c r="N105" s="1251"/>
      <c r="O105" s="1251"/>
      <c r="P105" s="1251"/>
    </row>
    <row r="106" spans="1:16" ht="15.6">
      <c r="B106" s="1286" t="s">
        <v>573</v>
      </c>
      <c r="C106" s="1295"/>
      <c r="D106" s="1287"/>
      <c r="E106" s="1287"/>
      <c r="F106" s="1287"/>
      <c r="G106" s="1287"/>
      <c r="H106" s="1298"/>
      <c r="I106" s="1251"/>
      <c r="J106" s="1251"/>
      <c r="K106" s="1251"/>
      <c r="L106" s="1251"/>
      <c r="M106" s="1251"/>
      <c r="N106" s="1251"/>
      <c r="O106" s="1251"/>
      <c r="P106" s="1251"/>
    </row>
    <row r="107" spans="1:16">
      <c r="B107" s="1264" t="s">
        <v>1270</v>
      </c>
      <c r="C107" s="1262">
        <f>历史资产负债表!C37</f>
        <v>0</v>
      </c>
      <c r="D107" s="1262">
        <f>历史资产负债表!D37</f>
        <v>0</v>
      </c>
      <c r="E107" s="1262">
        <f>历史资产负债表!E37</f>
        <v>13.6157706968</v>
      </c>
      <c r="F107" s="1262">
        <f>历史资产负债表!F37</f>
        <v>9.9872529684</v>
      </c>
      <c r="G107" s="1262">
        <f>历史资产负债表!G37</f>
        <v>15.828548062399999</v>
      </c>
      <c r="H107" s="1289">
        <f>历史资产负债表!H37</f>
        <v>27.846580056200001</v>
      </c>
      <c r="I107" s="1251"/>
      <c r="J107" s="1251"/>
      <c r="K107" s="1251"/>
      <c r="L107" s="1251"/>
      <c r="M107" s="1251"/>
      <c r="N107" s="1251"/>
      <c r="O107" s="1251"/>
      <c r="P107" s="1251"/>
    </row>
    <row r="108" spans="1:16">
      <c r="B108" s="1264" t="s">
        <v>574</v>
      </c>
      <c r="C108" s="1296">
        <f>历史利润表!C4-历史利润表!C12</f>
        <v>0</v>
      </c>
      <c r="D108" s="1262">
        <f>历史利润表!D4-历史利润表!D12</f>
        <v>0</v>
      </c>
      <c r="E108" s="1262">
        <f>历史利润表!E4-历史利润表!E12</f>
        <v>31.140170388699971</v>
      </c>
      <c r="F108" s="1262">
        <f>历史利润表!F4-历史利润表!F12</f>
        <v>31.634944914699986</v>
      </c>
      <c r="G108" s="1262">
        <f>历史利润表!G4-历史利润表!G12</f>
        <v>38.781935876899865</v>
      </c>
      <c r="H108" s="1289">
        <f>历史利润表!H4-历史利润表!H12</f>
        <v>38.094277969300038</v>
      </c>
      <c r="I108" s="1251"/>
      <c r="J108" s="1251"/>
      <c r="K108" s="1251"/>
      <c r="L108" s="1251"/>
      <c r="M108" s="1251"/>
      <c r="N108" s="1251"/>
      <c r="O108" s="1251"/>
      <c r="P108" s="1251"/>
    </row>
    <row r="109" spans="1:16">
      <c r="B109" s="1261" t="s">
        <v>91</v>
      </c>
      <c r="C109" s="1306" t="str">
        <f t="shared" ref="C109" si="17">IFERROR(C107/C108,"请检查")</f>
        <v>请检查</v>
      </c>
      <c r="D109" s="1297" t="str">
        <f t="shared" ref="D109" si="18">IFERROR(D107/D108,"请检查")</f>
        <v>请检查</v>
      </c>
      <c r="E109" s="1297">
        <f t="shared" ref="E109" si="19">IFERROR(E107/E108,"请检查")</f>
        <v>0.43724136788091694</v>
      </c>
      <c r="F109" s="1297">
        <f t="shared" ref="F109" si="20">IFERROR(F107/F108,"请检查")</f>
        <v>0.31570318820941484</v>
      </c>
      <c r="G109" s="1297">
        <f t="shared" ref="G109" si="21">IFERROR(G107/G108,"请检查")</f>
        <v>0.4081422885294424</v>
      </c>
      <c r="H109" s="1291">
        <f>IFERROR(H107/H108,"请检查")</f>
        <v>0.73099114986879132</v>
      </c>
      <c r="I109" s="1251"/>
      <c r="J109" s="1251"/>
      <c r="K109" s="1251"/>
      <c r="L109" s="1251"/>
      <c r="M109" s="1251"/>
      <c r="N109" s="1251"/>
      <c r="O109" s="1251"/>
      <c r="P109" s="1251"/>
    </row>
    <row r="110" spans="1:16" hidden="1">
      <c r="B110" s="1307"/>
      <c r="C110" s="1295"/>
      <c r="D110" s="1295"/>
      <c r="E110" s="1295"/>
      <c r="F110" s="1295"/>
      <c r="G110" s="1287"/>
      <c r="H110" s="1298"/>
      <c r="I110" s="1251"/>
      <c r="J110" s="1251"/>
      <c r="K110" s="1251"/>
      <c r="L110" s="1251"/>
      <c r="M110" s="1251"/>
      <c r="N110" s="1251"/>
      <c r="O110" s="1251"/>
      <c r="P110" s="1251"/>
    </row>
    <row r="111" spans="1:16" ht="15.6" hidden="1">
      <c r="B111" s="1286" t="s">
        <v>648</v>
      </c>
      <c r="C111" s="1295"/>
      <c r="D111" s="1295"/>
      <c r="E111" s="1295"/>
      <c r="F111" s="1295"/>
      <c r="G111" s="1287"/>
      <c r="H111" s="1298"/>
      <c r="I111" s="1251"/>
      <c r="J111" s="1251"/>
      <c r="K111" s="1251"/>
      <c r="L111" s="1251"/>
      <c r="M111" s="1251"/>
      <c r="N111" s="1251"/>
      <c r="O111" s="1251"/>
      <c r="P111" s="1251"/>
    </row>
    <row r="112" spans="1:16" hidden="1">
      <c r="A112" s="1243" t="s">
        <v>1030</v>
      </c>
      <c r="B112" s="1264" t="s">
        <v>649</v>
      </c>
      <c r="C112" s="1355"/>
      <c r="D112" s="1355"/>
      <c r="E112" s="1621">
        <v>71.42</v>
      </c>
      <c r="F112" s="1621">
        <v>71.42</v>
      </c>
      <c r="G112" s="1621">
        <f>'16成本'!F76</f>
        <v>2540.4178257912999</v>
      </c>
      <c r="H112" s="1289">
        <f>H22</f>
        <v>156.66500829099999</v>
      </c>
      <c r="I112" s="1251"/>
      <c r="J112" s="1251"/>
      <c r="K112" s="1251"/>
      <c r="L112" s="1251"/>
      <c r="M112" s="1251"/>
      <c r="N112" s="1251"/>
      <c r="O112" s="1251"/>
      <c r="P112" s="1251"/>
    </row>
    <row r="113" spans="1:17" hidden="1">
      <c r="A113" s="1243" t="s">
        <v>1032</v>
      </c>
      <c r="B113" s="1264" t="s">
        <v>650</v>
      </c>
      <c r="C113" s="1355"/>
      <c r="D113" s="1355"/>
      <c r="E113" s="1621">
        <v>73.23</v>
      </c>
      <c r="F113" s="1621">
        <v>73.23</v>
      </c>
      <c r="G113" s="1621">
        <f>'16成本'!F77</f>
        <v>2654.3694063321</v>
      </c>
      <c r="H113" s="1119">
        <f>'17成本'!H77</f>
        <v>2854.6640328407002</v>
      </c>
      <c r="I113" s="1251"/>
      <c r="J113" s="1251"/>
      <c r="K113" s="1251"/>
      <c r="L113" s="1251"/>
      <c r="M113" s="1251"/>
      <c r="N113" s="1251"/>
      <c r="O113" s="1251"/>
      <c r="P113" s="1251"/>
    </row>
    <row r="114" spans="1:17" hidden="1">
      <c r="B114" s="1261" t="s">
        <v>651</v>
      </c>
      <c r="C114" s="1306" t="str">
        <f>IFERROR(C112/C113,"请检查")</f>
        <v>请检查</v>
      </c>
      <c r="D114" s="1306" t="str">
        <f t="shared" ref="D114" si="22">IFERROR(D112/D113,"请检查")</f>
        <v>请检查</v>
      </c>
      <c r="E114" s="1306">
        <f t="shared" ref="E114" si="23">IFERROR(E112/E113,"请检查")</f>
        <v>0.97528335381674169</v>
      </c>
      <c r="F114" s="1306">
        <f t="shared" ref="F114" si="24">IFERROR(F112/F113,"请检查")</f>
        <v>0.97528335381674169</v>
      </c>
      <c r="G114" s="1306">
        <f t="shared" ref="G114" si="25">IFERROR(G112/G113,"请检查")</f>
        <v>0.95707018764269802</v>
      </c>
      <c r="H114" s="1291">
        <f>IFERROR(H112/H113,"请检查")</f>
        <v>5.488036647699706E-2</v>
      </c>
      <c r="I114" s="1251"/>
      <c r="J114" s="1251"/>
      <c r="K114" s="1251"/>
      <c r="L114" s="1251"/>
      <c r="M114" s="1251"/>
      <c r="N114" s="1251"/>
      <c r="O114" s="1251"/>
      <c r="P114" s="1251"/>
    </row>
    <row r="115" spans="1:17" hidden="1">
      <c r="B115" s="1307"/>
      <c r="C115" s="1307"/>
      <c r="D115" s="1307"/>
      <c r="E115" s="1307"/>
      <c r="F115" s="1307"/>
      <c r="G115" s="1307"/>
      <c r="H115" s="1308"/>
    </row>
    <row r="116" spans="1:17" ht="15.6" hidden="1">
      <c r="B116" s="1304" t="s">
        <v>1160</v>
      </c>
      <c r="C116" s="1307"/>
      <c r="D116" s="1307"/>
      <c r="E116" s="1307"/>
      <c r="F116" s="1307"/>
      <c r="G116" s="1307"/>
      <c r="H116" s="1308"/>
    </row>
    <row r="117" spans="1:17" hidden="1">
      <c r="B117" s="1264" t="s">
        <v>1158</v>
      </c>
      <c r="C117" s="1307"/>
      <c r="D117" s="1309">
        <f>历史资产负债表!D18</f>
        <v>0</v>
      </c>
      <c r="E117" s="1309">
        <f>历史资产负债表!E18</f>
        <v>2410.1879499509</v>
      </c>
      <c r="F117" s="1309">
        <f>历史资产负债表!F18</f>
        <v>2607.7860514785002</v>
      </c>
      <c r="G117" s="1309">
        <f>历史资产负债表!G18</f>
        <v>2895.7713315095002</v>
      </c>
      <c r="H117" s="1310">
        <f>历史资产负债表!H18</f>
        <v>2985.2999820478999</v>
      </c>
    </row>
    <row r="118" spans="1:17" hidden="1">
      <c r="B118" s="1264" t="s">
        <v>1168</v>
      </c>
      <c r="C118" s="1357"/>
      <c r="D118" s="1356"/>
      <c r="E118" s="1622">
        <v>4541.2837575735002</v>
      </c>
      <c r="F118" s="1622">
        <v>5691.8304998666999</v>
      </c>
      <c r="G118" s="1622">
        <v>6609.4026493115998</v>
      </c>
      <c r="H118" s="1310">
        <v>7254.69</v>
      </c>
    </row>
    <row r="119" spans="1:17" hidden="1">
      <c r="B119" s="1264" t="s">
        <v>1159</v>
      </c>
      <c r="C119" s="1357"/>
      <c r="D119" s="1356"/>
      <c r="E119" s="1622">
        <v>2253.5471052041003</v>
      </c>
      <c r="F119" s="1622">
        <v>2389.2648835272003</v>
      </c>
      <c r="G119" s="1622">
        <v>2654.3694063321</v>
      </c>
      <c r="H119" s="1310">
        <f>'17成本'!H77</f>
        <v>2854.6640328407002</v>
      </c>
    </row>
    <row r="120" spans="1:17" ht="15.6" hidden="1">
      <c r="B120" s="1304" t="s">
        <v>1157</v>
      </c>
      <c r="C120" s="1307"/>
      <c r="D120" s="1311" t="e">
        <f>D119/(D117-D118)</f>
        <v>#DIV/0!</v>
      </c>
      <c r="E120" s="1311">
        <f>E119/(AVERAGE(D117:E117)-AVERAGE(D118:E118))</f>
        <v>-0.6754852847277637</v>
      </c>
      <c r="F120" s="1311">
        <f t="shared" ref="F120:H120" si="26">F119/(AVERAGE(E117:F117)-AVERAGE(E118:F118))</f>
        <v>-0.91628020196519611</v>
      </c>
      <c r="G120" s="1311">
        <f t="shared" si="26"/>
        <v>-0.78096381693701133</v>
      </c>
      <c r="H120" s="1312">
        <f t="shared" si="26"/>
        <v>-0.71518386655320276</v>
      </c>
    </row>
    <row r="124" spans="1:17" s="940" customFormat="1" ht="15.6">
      <c r="A124" s="1955" t="s">
        <v>2190</v>
      </c>
      <c r="B124" s="984" t="s">
        <v>1905</v>
      </c>
      <c r="C124" s="984" t="s">
        <v>1851</v>
      </c>
      <c r="D124" s="984" t="s">
        <v>1852</v>
      </c>
      <c r="E124" s="984" t="s">
        <v>1853</v>
      </c>
      <c r="F124" s="984" t="s">
        <v>1854</v>
      </c>
      <c r="G124" s="984" t="s">
        <v>1855</v>
      </c>
      <c r="H124" s="984" t="s">
        <v>1856</v>
      </c>
      <c r="I124" s="984" t="s">
        <v>1857</v>
      </c>
      <c r="J124" s="984" t="s">
        <v>1858</v>
      </c>
      <c r="K124" s="984" t="s">
        <v>1859</v>
      </c>
      <c r="L124" s="984" t="s">
        <v>1860</v>
      </c>
      <c r="M124" s="984" t="s">
        <v>1861</v>
      </c>
      <c r="N124" s="984" t="s">
        <v>1862</v>
      </c>
      <c r="O124" s="984" t="s">
        <v>1903</v>
      </c>
      <c r="P124" s="1913" t="s">
        <v>2225</v>
      </c>
      <c r="Q124" s="1913" t="s">
        <v>2226</v>
      </c>
    </row>
    <row r="125" spans="1:17" s="940" customFormat="1">
      <c r="A125" s="1956">
        <v>1300</v>
      </c>
      <c r="B125" s="1806" t="s">
        <v>2019</v>
      </c>
      <c r="C125" s="981">
        <f>$A$125*C135</f>
        <v>114.38050200216534</v>
      </c>
      <c r="D125" s="981">
        <f t="shared" ref="D125:N125" si="27">$A$125*D135</f>
        <v>92.870398948805246</v>
      </c>
      <c r="E125" s="981">
        <f t="shared" si="27"/>
        <v>104.79988306959164</v>
      </c>
      <c r="F125" s="981">
        <f t="shared" si="27"/>
        <v>95.111741522001338</v>
      </c>
      <c r="G125" s="981">
        <f t="shared" si="27"/>
        <v>94.690753722364633</v>
      </c>
      <c r="H125" s="981">
        <f t="shared" si="27"/>
        <v>100.71923451409413</v>
      </c>
      <c r="I125" s="981">
        <f t="shared" si="27"/>
        <v>126.36038805622121</v>
      </c>
      <c r="J125" s="981">
        <f t="shared" si="27"/>
        <v>141.07249244585898</v>
      </c>
      <c r="K125" s="981">
        <f t="shared" si="27"/>
        <v>118.05397469697436</v>
      </c>
      <c r="L125" s="981">
        <f t="shared" si="27"/>
        <v>100.85368405043373</v>
      </c>
      <c r="M125" s="981">
        <f t="shared" si="27"/>
        <v>98.792028824273885</v>
      </c>
      <c r="N125" s="981">
        <f t="shared" si="27"/>
        <v>112.29491814721554</v>
      </c>
      <c r="O125" s="949">
        <f>SUM(C125:N125)</f>
        <v>1300.0000000000002</v>
      </c>
    </row>
    <row r="126" spans="1:17" s="940" customFormat="1">
      <c r="A126" s="1956">
        <f>假设!G27</f>
        <v>50.12</v>
      </c>
      <c r="B126" s="1903" t="s">
        <v>2216</v>
      </c>
      <c r="C126" s="981">
        <f>$A$126*C135</f>
        <v>4.409808277191174</v>
      </c>
      <c r="D126" s="981">
        <f t="shared" ref="D126:N126" si="28">$A$126*D135</f>
        <v>3.5805110733185526</v>
      </c>
      <c r="E126" s="981">
        <f t="shared" si="28"/>
        <v>4.0404385688061026</v>
      </c>
      <c r="F126" s="981">
        <f t="shared" si="28"/>
        <v>3.6669234500636203</v>
      </c>
      <c r="G126" s="981">
        <f t="shared" si="28"/>
        <v>3.6506927512037808</v>
      </c>
      <c r="H126" s="981">
        <f t="shared" si="28"/>
        <v>3.8831138721895364</v>
      </c>
      <c r="I126" s="981">
        <f t="shared" si="28"/>
        <v>4.8716789610598514</v>
      </c>
      <c r="J126" s="981">
        <f t="shared" si="28"/>
        <v>5.4388871702972708</v>
      </c>
      <c r="K126" s="981">
        <f t="shared" si="28"/>
        <v>4.551434778317196</v>
      </c>
      <c r="L126" s="981">
        <f t="shared" si="28"/>
        <v>3.8882974189290294</v>
      </c>
      <c r="M126" s="981">
        <f t="shared" si="28"/>
        <v>3.8088126805173896</v>
      </c>
      <c r="N126" s="981">
        <f t="shared" si="28"/>
        <v>4.329400998106494</v>
      </c>
      <c r="O126" s="949">
        <f>SUM(C126:N126)</f>
        <v>50.12</v>
      </c>
    </row>
    <row r="127" spans="1:17" s="940" customFormat="1">
      <c r="A127" s="1956"/>
      <c r="B127" s="952" t="s">
        <v>1896</v>
      </c>
      <c r="C127" s="980">
        <v>5.6638577956651157E-2</v>
      </c>
      <c r="D127" s="980">
        <v>5.6638577956651157E-2</v>
      </c>
      <c r="E127" s="980">
        <v>5.6638577956651157E-2</v>
      </c>
      <c r="F127" s="980">
        <v>5.6638577956651157E-2</v>
      </c>
      <c r="G127" s="980">
        <v>5.6638577956651157E-2</v>
      </c>
      <c r="H127" s="980">
        <v>5.6638577956651157E-2</v>
      </c>
      <c r="I127" s="980">
        <v>5.6638577956651157E-2</v>
      </c>
      <c r="J127" s="980">
        <v>5.6638577956651157E-2</v>
      </c>
      <c r="K127" s="980">
        <v>5.6638577956651157E-2</v>
      </c>
      <c r="L127" s="980">
        <v>5.6638577956651157E-2</v>
      </c>
      <c r="M127" s="980">
        <v>5.6638577956651157E-2</v>
      </c>
      <c r="N127" s="980">
        <v>5.6638577956651157E-2</v>
      </c>
      <c r="O127" s="983">
        <f>1-O128/O129</f>
        <v>5.6638577956650948E-2</v>
      </c>
    </row>
    <row r="128" spans="1:17" s="940" customFormat="1">
      <c r="A128" s="1956">
        <v>1350.12</v>
      </c>
      <c r="B128" s="1883" t="s">
        <v>2204</v>
      </c>
      <c r="C128" s="981">
        <f>$A$128*C135</f>
        <v>118.7903102793565</v>
      </c>
      <c r="D128" s="981">
        <f t="shared" ref="D128:N128" si="29">$A$128*D135</f>
        <v>96.450910022123793</v>
      </c>
      <c r="E128" s="981">
        <f t="shared" si="29"/>
        <v>108.84032163839774</v>
      </c>
      <c r="F128" s="981">
        <f t="shared" si="29"/>
        <v>98.778664972064945</v>
      </c>
      <c r="G128" s="981">
        <f t="shared" si="29"/>
        <v>98.341446473568396</v>
      </c>
      <c r="H128" s="981">
        <f t="shared" si="29"/>
        <v>104.60234838628365</v>
      </c>
      <c r="I128" s="981">
        <f t="shared" si="29"/>
        <v>131.23206701728105</v>
      </c>
      <c r="J128" s="981">
        <f t="shared" si="29"/>
        <v>146.51137961615623</v>
      </c>
      <c r="K128" s="981">
        <f t="shared" si="29"/>
        <v>122.60540947529155</v>
      </c>
      <c r="L128" s="981">
        <f t="shared" si="29"/>
        <v>104.74198146936274</v>
      </c>
      <c r="M128" s="981">
        <f t="shared" si="29"/>
        <v>102.60084150479126</v>
      </c>
      <c r="N128" s="981">
        <f t="shared" si="29"/>
        <v>116.62431914532203</v>
      </c>
      <c r="O128" s="949">
        <f>SUM(C128:N128)</f>
        <v>1350.1200000000001</v>
      </c>
    </row>
    <row r="129" spans="1:18" s="940" customFormat="1">
      <c r="A129" s="1956">
        <v>1431.18</v>
      </c>
      <c r="B129" s="949" t="s">
        <v>1897</v>
      </c>
      <c r="C129" s="953">
        <f>C128/(1-C127)</f>
        <v>125.92237450419921</v>
      </c>
      <c r="D129" s="953">
        <f t="shared" ref="D129:M129" si="30">D128/(1-D127)</f>
        <v>102.24173659042391</v>
      </c>
      <c r="E129" s="953">
        <f>E128/(1-E127)</f>
        <v>115.37499742426013</v>
      </c>
      <c r="F129" s="953">
        <f t="shared" si="30"/>
        <v>104.7092478703522</v>
      </c>
      <c r="G129" s="953">
        <f t="shared" si="30"/>
        <v>104.24577916336446</v>
      </c>
      <c r="H129" s="953">
        <f t="shared" si="30"/>
        <v>110.88258003990863</v>
      </c>
      <c r="I129" s="953">
        <f t="shared" si="30"/>
        <v>139.11112321407896</v>
      </c>
      <c r="J129" s="953">
        <f t="shared" si="30"/>
        <v>155.30779210666495</v>
      </c>
      <c r="K129" s="953">
        <f t="shared" si="30"/>
        <v>129.96652885139673</v>
      </c>
      <c r="L129" s="953">
        <f t="shared" si="30"/>
        <v>111.03059656869209</v>
      </c>
      <c r="M129" s="953">
        <f t="shared" si="30"/>
        <v>108.76090447132637</v>
      </c>
      <c r="N129" s="953">
        <f>N128/(1-N127)</f>
        <v>123.62633919533226</v>
      </c>
      <c r="O129" s="949">
        <f>SUM(C129:N129)</f>
        <v>1431.1799999999998</v>
      </c>
    </row>
    <row r="130" spans="1:18" s="940" customFormat="1">
      <c r="A130" s="1956"/>
      <c r="B130" s="949" t="s">
        <v>1898</v>
      </c>
      <c r="C130" s="1633">
        <v>387.25641025641028</v>
      </c>
      <c r="D130" s="1633">
        <v>394.80341880341882</v>
      </c>
      <c r="E130" s="1633">
        <v>379.35897435897442</v>
      </c>
      <c r="F130" s="1633">
        <v>385.32478632478632</v>
      </c>
      <c r="G130" s="1633">
        <v>397.68376068376074</v>
      </c>
      <c r="H130" s="1633">
        <v>380.58119658119659</v>
      </c>
      <c r="I130" s="1633">
        <v>386.90478259730895</v>
      </c>
      <c r="J130" s="1633">
        <v>367.47276762096033</v>
      </c>
      <c r="K130" s="1633">
        <v>369.85637803360754</v>
      </c>
      <c r="L130" s="1633">
        <v>372.14550442111187</v>
      </c>
      <c r="M130" s="1633">
        <v>393.54855670521766</v>
      </c>
      <c r="N130" s="1633">
        <v>450.66666666666669</v>
      </c>
      <c r="O130" s="1634">
        <f>SUMPRODUCT(C129:N129,C130:N130)/SUM(C129:N129)</f>
        <v>388.28206016100501</v>
      </c>
    </row>
    <row r="131" spans="1:18" s="940" customFormat="1" ht="15.6">
      <c r="A131" s="1955">
        <v>25.119</v>
      </c>
      <c r="B131" s="949" t="s">
        <v>1899</v>
      </c>
      <c r="C131" s="950">
        <f>$A$131*C137</f>
        <v>0.27007788750093753</v>
      </c>
      <c r="D131" s="950">
        <f t="shared" ref="D131:N131" si="31">$A$131*D137</f>
        <v>0.47121575649136749</v>
      </c>
      <c r="E131" s="950">
        <f t="shared" si="31"/>
        <v>2.1460057489513185</v>
      </c>
      <c r="F131" s="950">
        <f t="shared" si="31"/>
        <v>1.6594554163015078</v>
      </c>
      <c r="G131" s="950">
        <f t="shared" si="31"/>
        <v>1.8703675133142155</v>
      </c>
      <c r="H131" s="950">
        <f t="shared" si="31"/>
        <v>3.420266956782104</v>
      </c>
      <c r="I131" s="950">
        <f t="shared" si="31"/>
        <v>1.5521858917571951</v>
      </c>
      <c r="J131" s="950">
        <f t="shared" si="31"/>
        <v>3.6376117213909209</v>
      </c>
      <c r="K131" s="950">
        <f t="shared" si="31"/>
        <v>3.3696629150192505</v>
      </c>
      <c r="L131" s="950">
        <f t="shared" si="31"/>
        <v>2.865656617844806</v>
      </c>
      <c r="M131" s="950">
        <f t="shared" si="31"/>
        <v>2.4448170429916019</v>
      </c>
      <c r="N131" s="950">
        <f t="shared" si="31"/>
        <v>1.4116765316547739</v>
      </c>
      <c r="O131" s="949">
        <f t="shared" ref="O131:O140" si="32">SUM(C131:N131)</f>
        <v>25.119</v>
      </c>
    </row>
    <row r="132" spans="1:18" s="940" customFormat="1" ht="15.6">
      <c r="A132" s="1955">
        <v>30.054272150000003</v>
      </c>
      <c r="B132" s="949" t="s">
        <v>1900</v>
      </c>
      <c r="C132" s="950">
        <f t="shared" ref="C132:N132" si="33">$A$132*C138</f>
        <v>2.2971117569099873</v>
      </c>
      <c r="D132" s="950">
        <f t="shared" si="33"/>
        <v>2.4166621402428459</v>
      </c>
      <c r="E132" s="950">
        <f t="shared" si="33"/>
        <v>2.0614129556795913</v>
      </c>
      <c r="F132" s="950">
        <f t="shared" si="33"/>
        <v>2.188624590519614</v>
      </c>
      <c r="G132" s="950">
        <f t="shared" si="33"/>
        <v>2.0605552090516017</v>
      </c>
      <c r="H132" s="950">
        <f t="shared" si="33"/>
        <v>2.1541631899967952</v>
      </c>
      <c r="I132" s="950">
        <f t="shared" si="33"/>
        <v>2.1808589083793914</v>
      </c>
      <c r="J132" s="950">
        <f t="shared" si="33"/>
        <v>2.2050602233345336</v>
      </c>
      <c r="K132" s="950">
        <f t="shared" si="33"/>
        <v>2.4484206573098515</v>
      </c>
      <c r="L132" s="950">
        <f t="shared" si="33"/>
        <v>2.3113066642505959</v>
      </c>
      <c r="M132" s="950">
        <f>$A$132*M138</f>
        <v>2.7241778779631725</v>
      </c>
      <c r="N132" s="950">
        <f t="shared" si="33"/>
        <v>5.0059179763620199</v>
      </c>
      <c r="O132" s="949">
        <f t="shared" si="32"/>
        <v>30.054272150000003</v>
      </c>
    </row>
    <row r="133" spans="1:18" s="940" customFormat="1" ht="15.6">
      <c r="A133" s="2068">
        <f>65.982228-2</f>
        <v>63.982228000000006</v>
      </c>
      <c r="B133" s="949" t="s">
        <v>1901</v>
      </c>
      <c r="C133" s="950">
        <f t="shared" ref="C133:N133" si="34">$A$133*C139</f>
        <v>1.6004907898348746</v>
      </c>
      <c r="D133" s="950">
        <f t="shared" si="34"/>
        <v>4.0974099723822919</v>
      </c>
      <c r="E133" s="950">
        <f t="shared" si="34"/>
        <v>5.5926326072074746</v>
      </c>
      <c r="F133" s="950">
        <f t="shared" si="34"/>
        <v>5.6169461529914164</v>
      </c>
      <c r="G133" s="950">
        <f t="shared" si="34"/>
        <v>5.5305061737020953</v>
      </c>
      <c r="H133" s="950">
        <f t="shared" si="34"/>
        <v>5.6332936713148944</v>
      </c>
      <c r="I133" s="950">
        <f t="shared" si="34"/>
        <v>5.6281366368921679</v>
      </c>
      <c r="J133" s="950">
        <f t="shared" si="34"/>
        <v>5.7829750661133374</v>
      </c>
      <c r="K133" s="950">
        <f t="shared" si="34"/>
        <v>5.8604941798478398</v>
      </c>
      <c r="L133" s="950">
        <f t="shared" si="34"/>
        <v>5.9029170527777426</v>
      </c>
      <c r="M133" s="950">
        <f>$A$133*M139</f>
        <v>5.9716254901055317</v>
      </c>
      <c r="N133" s="950">
        <f t="shared" si="34"/>
        <v>6.7648002068303379</v>
      </c>
      <c r="O133" s="949">
        <f t="shared" si="32"/>
        <v>63.982228000000006</v>
      </c>
    </row>
    <row r="134" spans="1:18" s="940" customFormat="1" ht="15.6">
      <c r="A134" s="1955">
        <v>5.8107963300000005</v>
      </c>
      <c r="B134" s="949" t="s">
        <v>1902</v>
      </c>
      <c r="C134" s="950">
        <f>$A$134*C140</f>
        <v>0.63544324212283299</v>
      </c>
      <c r="D134" s="950">
        <f t="shared" ref="D134:N134" si="35">$A$134*D140</f>
        <v>0.49464689942307027</v>
      </c>
      <c r="E134" s="950">
        <f t="shared" si="35"/>
        <v>0.36558136790901785</v>
      </c>
      <c r="F134" s="950">
        <f>$A$134*F140</f>
        <v>0.47625342603520082</v>
      </c>
      <c r="G134" s="950">
        <f t="shared" si="35"/>
        <v>0.4074178269644308</v>
      </c>
      <c r="H134" s="950">
        <f t="shared" si="35"/>
        <v>0.45631421491627255</v>
      </c>
      <c r="I134" s="950">
        <f t="shared" si="35"/>
        <v>0.56566085128762278</v>
      </c>
      <c r="J134" s="950">
        <f t="shared" si="35"/>
        <v>0.52475071658905137</v>
      </c>
      <c r="K134" s="950">
        <f t="shared" si="35"/>
        <v>0.44180761760525944</v>
      </c>
      <c r="L134" s="950">
        <f t="shared" si="35"/>
        <v>0.3940322995350995</v>
      </c>
      <c r="M134" s="950">
        <f>$A$134*M140</f>
        <v>0.49061017232134146</v>
      </c>
      <c r="N134" s="950">
        <f t="shared" si="35"/>
        <v>0.55827769529080096</v>
      </c>
      <c r="O134" s="949">
        <f t="shared" si="32"/>
        <v>5.8107963300000005</v>
      </c>
    </row>
    <row r="135" spans="1:18" s="940" customFormat="1">
      <c r="A135" s="1956"/>
      <c r="B135" s="951" t="s">
        <v>1906</v>
      </c>
      <c r="C135" s="1635">
        <v>8.7985001540127186E-2</v>
      </c>
      <c r="D135" s="1635">
        <v>7.1438768422157878E-2</v>
      </c>
      <c r="E135" s="1635">
        <v>8.0615294668916648E-2</v>
      </c>
      <c r="F135" s="1635">
        <v>7.3162878093847181E-2</v>
      </c>
      <c r="G135" s="1635">
        <v>7.2839041324895867E-2</v>
      </c>
      <c r="H135" s="1635">
        <v>7.7476334241610864E-2</v>
      </c>
      <c r="I135" s="1635">
        <v>9.7200298504785551E-2</v>
      </c>
      <c r="J135" s="1635">
        <v>0.10851730188142998</v>
      </c>
      <c r="K135" s="1635">
        <v>9.0810749766903356E-2</v>
      </c>
      <c r="L135" s="1635">
        <v>7.7579756961872096E-2</v>
      </c>
      <c r="M135" s="1635">
        <v>7.5993868326364525E-2</v>
      </c>
      <c r="N135" s="1635">
        <v>8.638070626708888E-2</v>
      </c>
      <c r="O135" s="982">
        <f t="shared" si="32"/>
        <v>1.0000000000000002</v>
      </c>
    </row>
    <row r="136" spans="1:18" s="940" customFormat="1">
      <c r="A136" s="1956"/>
      <c r="B136" s="951" t="s">
        <v>1916</v>
      </c>
      <c r="C136" s="1635">
        <v>8.0383131236600347E-2</v>
      </c>
      <c r="D136" s="1635">
        <v>6.5120173667287784E-2</v>
      </c>
      <c r="E136" s="1635">
        <v>8.3846360453608479E-2</v>
      </c>
      <c r="F136" s="1635">
        <v>7.2716033827760221E-2</v>
      </c>
      <c r="G136" s="1635">
        <v>7.5382682904417464E-2</v>
      </c>
      <c r="H136" s="1635">
        <v>8.2791023265379751E-2</v>
      </c>
      <c r="I136" s="1635">
        <v>0.11484074097772873</v>
      </c>
      <c r="J136" s="1635">
        <v>0.11511858224644271</v>
      </c>
      <c r="K136" s="1635">
        <v>9.3859792758907393E-2</v>
      </c>
      <c r="L136" s="1635">
        <v>8.0561852550634735E-2</v>
      </c>
      <c r="M136" s="1635">
        <v>7.5671066667326523E-2</v>
      </c>
      <c r="N136" s="1635">
        <v>5.9708559443905906E-2</v>
      </c>
      <c r="O136" s="982">
        <f t="shared" si="32"/>
        <v>1</v>
      </c>
    </row>
    <row r="137" spans="1:18" s="940" customFormat="1">
      <c r="A137" s="1956"/>
      <c r="B137" s="951" t="s">
        <v>1907</v>
      </c>
      <c r="C137" s="1866">
        <v>1.0751936283328857E-2</v>
      </c>
      <c r="D137" s="1866">
        <v>1.8759335821146046E-2</v>
      </c>
      <c r="E137" s="1866">
        <v>8.5433566183021559E-2</v>
      </c>
      <c r="F137" s="1866">
        <v>6.6063753186890714E-2</v>
      </c>
      <c r="G137" s="1866">
        <v>7.4460269649039193E-2</v>
      </c>
      <c r="H137" s="1866">
        <v>0.13616254455918245</v>
      </c>
      <c r="I137" s="1866">
        <v>6.1793299564361449E-2</v>
      </c>
      <c r="J137" s="1866">
        <v>0.14481514874759827</v>
      </c>
      <c r="K137" s="1866">
        <v>0.13414797225284647</v>
      </c>
      <c r="L137" s="1866">
        <v>0.1140832285459137</v>
      </c>
      <c r="M137" s="1866">
        <v>9.7329393805151557E-2</v>
      </c>
      <c r="N137" s="1866">
        <v>5.6199551401519721E-2</v>
      </c>
      <c r="O137" s="982">
        <f t="shared" si="32"/>
        <v>1</v>
      </c>
    </row>
    <row r="138" spans="1:18" s="940" customFormat="1">
      <c r="A138" s="1956"/>
      <c r="B138" s="951" t="s">
        <v>1908</v>
      </c>
      <c r="C138" s="1635">
        <v>7.6432120712994447E-2</v>
      </c>
      <c r="D138" s="1635">
        <v>8.040993733540959E-2</v>
      </c>
      <c r="E138" s="1635">
        <v>6.8589681539820327E-2</v>
      </c>
      <c r="F138" s="1635">
        <v>7.2822412054973487E-2</v>
      </c>
      <c r="G138" s="1635">
        <v>6.8561141616320972E-2</v>
      </c>
      <c r="H138" s="1635">
        <v>7.1675773056337183E-2</v>
      </c>
      <c r="I138" s="1635">
        <v>7.256402342717827E-2</v>
      </c>
      <c r="J138" s="1635">
        <v>7.3369277163963312E-2</v>
      </c>
      <c r="K138" s="1635">
        <v>8.1466642914852658E-2</v>
      </c>
      <c r="L138" s="1635">
        <v>7.6904429849937186E-2</v>
      </c>
      <c r="M138" s="1635">
        <v>9.0641951479206673E-2</v>
      </c>
      <c r="N138" s="1635">
        <v>0.16656260884900584</v>
      </c>
      <c r="O138" s="982">
        <f t="shared" si="32"/>
        <v>0.99999999999999989</v>
      </c>
    </row>
    <row r="139" spans="1:18" s="940" customFormat="1">
      <c r="A139" s="1956"/>
      <c r="B139" s="951" t="s">
        <v>1909</v>
      </c>
      <c r="C139" s="1635">
        <v>2.5014614837027469E-2</v>
      </c>
      <c r="D139" s="1635">
        <v>6.4039813874288518E-2</v>
      </c>
      <c r="E139" s="1635">
        <v>8.7409156917878414E-2</v>
      </c>
      <c r="F139" s="1635">
        <v>8.7789161593300816E-2</v>
      </c>
      <c r="G139" s="1635">
        <v>8.6438161761139276E-2</v>
      </c>
      <c r="H139" s="1635">
        <v>8.8044662516517769E-2</v>
      </c>
      <c r="I139" s="1635">
        <v>8.7964061471760058E-2</v>
      </c>
      <c r="J139" s="1635">
        <v>9.0384083938329515E-2</v>
      </c>
      <c r="K139" s="1635">
        <v>9.1595656528994887E-2</v>
      </c>
      <c r="L139" s="1635">
        <v>9.2258698036863332E-2</v>
      </c>
      <c r="M139" s="1635">
        <v>9.3332565569700557E-2</v>
      </c>
      <c r="N139" s="1635">
        <v>0.10572936295419937</v>
      </c>
      <c r="O139" s="982">
        <f t="shared" si="32"/>
        <v>1</v>
      </c>
    </row>
    <row r="140" spans="1:18" s="940" customFormat="1">
      <c r="A140" s="1956"/>
      <c r="B140" s="951" t="s">
        <v>1910</v>
      </c>
      <c r="C140" s="1635">
        <v>0.10935562116368876</v>
      </c>
      <c r="D140" s="1635">
        <v>8.512549250251733E-2</v>
      </c>
      <c r="E140" s="1635">
        <v>6.2914159634470931E-2</v>
      </c>
      <c r="F140" s="1635">
        <v>8.1960096170708638E-2</v>
      </c>
      <c r="G140" s="1635">
        <v>7.0113940297823307E-2</v>
      </c>
      <c r="H140" s="1635">
        <v>7.85286884966888E-2</v>
      </c>
      <c r="I140" s="1635">
        <v>9.7346528627621456E-2</v>
      </c>
      <c r="J140" s="1635">
        <v>9.0306162320621428E-2</v>
      </c>
      <c r="K140" s="1635">
        <v>7.6032198086911681E-2</v>
      </c>
      <c r="L140" s="1635">
        <v>6.7810378674053345E-2</v>
      </c>
      <c r="M140" s="1635">
        <v>8.443079820031163E-2</v>
      </c>
      <c r="N140" s="1635">
        <v>9.6075935824582737E-2</v>
      </c>
      <c r="O140" s="982">
        <f t="shared" si="32"/>
        <v>1</v>
      </c>
    </row>
    <row r="141" spans="1:18" customFormat="1" ht="14.4"/>
    <row r="142" spans="1:18">
      <c r="E142" s="1192">
        <f>假设!C3</f>
        <v>2014</v>
      </c>
      <c r="F142" s="1192">
        <f>假设!D3</f>
        <v>2015</v>
      </c>
      <c r="G142" s="1192">
        <f>假设!E3</f>
        <v>2016</v>
      </c>
      <c r="H142" s="1192">
        <f>假设!F3</f>
        <v>2017</v>
      </c>
      <c r="I142" s="1192">
        <f>假设!G3</f>
        <v>2018</v>
      </c>
      <c r="J142" s="1192">
        <f>假设!H3</f>
        <v>2019</v>
      </c>
      <c r="K142" s="1192">
        <f>假设!I3</f>
        <v>2020</v>
      </c>
      <c r="L142" s="1192">
        <f>假设!J3</f>
        <v>2021</v>
      </c>
      <c r="M142" s="1192">
        <f>假设!K3</f>
        <v>2022</v>
      </c>
      <c r="P142" s="1192">
        <f>假设!R3</f>
        <v>0</v>
      </c>
      <c r="Q142" s="1192">
        <f>假设!S3</f>
        <v>0</v>
      </c>
      <c r="R142" s="1192">
        <f>假设!T3</f>
        <v>0</v>
      </c>
    </row>
    <row r="143" spans="1:18">
      <c r="B143" s="1649" t="s">
        <v>2316</v>
      </c>
      <c r="C143" s="1649"/>
      <c r="D143" s="1649"/>
      <c r="E143" s="1650">
        <f>历史资产负债表!E40</f>
        <v>0.15384615439999999</v>
      </c>
      <c r="F143" s="1650">
        <f>历史资产负债表!F40</f>
        <v>9</v>
      </c>
      <c r="G143" s="1650">
        <f>历史资产负债表!G40</f>
        <v>0</v>
      </c>
      <c r="H143" s="1650">
        <f>历史资产负债表!H40</f>
        <v>11.454000000000001</v>
      </c>
      <c r="I143" s="2010"/>
      <c r="J143" s="2010"/>
      <c r="K143" s="2010"/>
      <c r="L143" s="2010"/>
      <c r="M143" s="2010"/>
    </row>
    <row r="144" spans="1:18">
      <c r="B144" s="2008" t="s">
        <v>2317</v>
      </c>
      <c r="C144" s="2008"/>
      <c r="D144" s="2008"/>
      <c r="E144" s="2009">
        <f>-历史现金流量表!F57</f>
        <v>0</v>
      </c>
      <c r="F144" s="2009">
        <f>-历史现金流量表!G57</f>
        <v>-0.43768692310000001</v>
      </c>
      <c r="G144" s="2009">
        <f>-历史现金流量表!H57</f>
        <v>-0.81405610599999989</v>
      </c>
      <c r="H144" s="2009">
        <f>-历史现金流量表!I57</f>
        <v>-6.9209698999999998E-3</v>
      </c>
      <c r="I144" s="2030"/>
      <c r="J144" s="2030"/>
      <c r="K144" s="2030"/>
      <c r="L144" s="2030"/>
      <c r="M144" s="2030"/>
    </row>
  </sheetData>
  <phoneticPr fontId="20" type="noConversion"/>
  <pageMargins left="0.70866141732283472" right="0.70866141732283472" top="0.74803149606299213" bottom="0.74803149606299213" header="0.31496062992125984" footer="0.31496062992125984"/>
  <pageSetup paperSize="9" scale="91"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31">
    <tabColor theme="9" tint="0.59999389629810485"/>
    <pageSetUpPr fitToPage="1"/>
  </sheetPr>
  <dimension ref="A1:N53"/>
  <sheetViews>
    <sheetView showGridLines="0" zoomScaleNormal="100" workbookViewId="0">
      <pane xSplit="2" ySplit="3" topLeftCell="C4" activePane="bottomRight" state="frozen"/>
      <selection activeCell="K8" sqref="K8"/>
      <selection pane="topRight" activeCell="K8" sqref="K8"/>
      <selection pane="bottomLeft" activeCell="K8" sqref="K8"/>
      <selection pane="bottomRight" activeCell="D15" sqref="D15"/>
    </sheetView>
  </sheetViews>
  <sheetFormatPr defaultColWidth="8.77734375" defaultRowHeight="15"/>
  <cols>
    <col min="1" max="1" width="2.6640625" style="1192" customWidth="1"/>
    <col min="2" max="2" width="35.109375" style="1192" bestFit="1" customWidth="1"/>
    <col min="3" max="3" width="10.44140625" style="1192" bestFit="1" customWidth="1"/>
    <col min="4" max="10" width="10.6640625" style="1192" bestFit="1" customWidth="1"/>
    <col min="11" max="11" width="10.44140625" style="1192" customWidth="1"/>
    <col min="12" max="16384" width="8.77734375" style="1192"/>
  </cols>
  <sheetData>
    <row r="1" spans="1:14">
      <c r="A1" s="1191"/>
      <c r="B1" s="1003" t="s">
        <v>682</v>
      </c>
      <c r="C1" s="1191"/>
      <c r="D1" s="1191"/>
      <c r="E1" s="1191"/>
      <c r="F1" s="1191"/>
      <c r="G1" s="1191"/>
      <c r="H1" s="1191"/>
      <c r="I1" s="1191"/>
      <c r="J1" s="1191"/>
      <c r="K1" s="1191"/>
    </row>
    <row r="2" spans="1:14" ht="15.6">
      <c r="A2" s="1193"/>
      <c r="B2" s="1194"/>
      <c r="C2" s="1195"/>
      <c r="D2" s="1195"/>
      <c r="E2" s="1195"/>
      <c r="F2" s="1195"/>
      <c r="G2" s="1195"/>
      <c r="H2" s="1195"/>
      <c r="I2" s="1195"/>
      <c r="J2" s="1195"/>
      <c r="K2" s="1195"/>
    </row>
    <row r="3" spans="1:14" s="1199" customFormat="1" ht="15.6">
      <c r="A3" s="1196"/>
      <c r="B3" s="1197" t="s">
        <v>5</v>
      </c>
      <c r="C3" s="1198">
        <v>2014</v>
      </c>
      <c r="D3" s="1198">
        <v>2015</v>
      </c>
      <c r="E3" s="1198">
        <v>2016</v>
      </c>
      <c r="F3" s="1198">
        <v>2017</v>
      </c>
      <c r="G3" s="1198">
        <v>2018</v>
      </c>
      <c r="H3" s="1198">
        <v>2019</v>
      </c>
      <c r="I3" s="1198">
        <v>2020</v>
      </c>
      <c r="J3" s="1198">
        <v>2021</v>
      </c>
      <c r="K3" s="1198">
        <v>2022</v>
      </c>
    </row>
    <row r="4" spans="1:14" ht="16.2" thickBot="1">
      <c r="A4" s="1019" t="s">
        <v>34</v>
      </c>
      <c r="B4" s="1019"/>
      <c r="C4" s="1200"/>
      <c r="D4" s="1200"/>
      <c r="E4" s="1200"/>
      <c r="F4" s="1200"/>
      <c r="G4" s="1200"/>
      <c r="H4" s="1200"/>
      <c r="I4" s="1200"/>
      <c r="J4" s="1200"/>
      <c r="K4" s="1200"/>
    </row>
    <row r="5" spans="1:14">
      <c r="A5" s="1201"/>
      <c r="B5" s="1202" t="s">
        <v>112</v>
      </c>
      <c r="C5" s="1203">
        <f t="shared" ref="C5:K5" si="0">C6+C9+C10</f>
        <v>0</v>
      </c>
      <c r="D5" s="1203">
        <f t="shared" si="0"/>
        <v>0</v>
      </c>
      <c r="E5" s="1203">
        <f t="shared" si="0"/>
        <v>0</v>
      </c>
      <c r="F5" s="1203">
        <f t="shared" si="0"/>
        <v>0</v>
      </c>
      <c r="G5" s="1203">
        <f t="shared" si="0"/>
        <v>0</v>
      </c>
      <c r="H5" s="1203">
        <f t="shared" si="0"/>
        <v>0</v>
      </c>
      <c r="I5" s="1203">
        <f t="shared" si="0"/>
        <v>0</v>
      </c>
      <c r="J5" s="1203">
        <f t="shared" si="0"/>
        <v>0</v>
      </c>
      <c r="K5" s="1203">
        <f t="shared" si="0"/>
        <v>0</v>
      </c>
    </row>
    <row r="6" spans="1:14" s="1204" customFormat="1" ht="15.6">
      <c r="A6" s="1109"/>
      <c r="B6" s="1122" t="s">
        <v>113</v>
      </c>
      <c r="C6" s="1316"/>
      <c r="D6" s="1316"/>
      <c r="E6" s="1316"/>
      <c r="F6" s="1316"/>
      <c r="G6" s="1316"/>
      <c r="H6" s="1316"/>
      <c r="I6" s="1316"/>
      <c r="J6" s="1316"/>
      <c r="K6" s="1316"/>
    </row>
    <row r="7" spans="1:14" s="1204" customFormat="1" ht="15.6">
      <c r="A7" s="1109"/>
      <c r="B7" s="1068" t="s">
        <v>130</v>
      </c>
      <c r="C7" s="1317"/>
      <c r="D7" s="1317"/>
      <c r="E7" s="1317"/>
      <c r="F7" s="1317"/>
      <c r="G7" s="1317"/>
      <c r="H7" s="1317"/>
      <c r="I7" s="1317"/>
      <c r="J7" s="1317"/>
      <c r="K7" s="1317"/>
    </row>
    <row r="8" spans="1:14">
      <c r="A8" s="1201"/>
      <c r="B8" s="1068" t="s">
        <v>1941</v>
      </c>
      <c r="C8" s="1317"/>
      <c r="D8" s="1317"/>
      <c r="E8" s="1317"/>
      <c r="F8" s="1317"/>
      <c r="G8" s="1317"/>
      <c r="H8" s="1317"/>
      <c r="I8" s="1317"/>
      <c r="J8" s="1317"/>
      <c r="K8" s="1317"/>
    </row>
    <row r="9" spans="1:14">
      <c r="A9" s="1201"/>
      <c r="B9" s="1122" t="s">
        <v>114</v>
      </c>
      <c r="C9" s="1317"/>
      <c r="D9" s="1317"/>
      <c r="E9" s="1317"/>
      <c r="F9" s="1317"/>
      <c r="G9" s="1317"/>
      <c r="H9" s="1317"/>
      <c r="I9" s="1317"/>
      <c r="J9" s="1317"/>
      <c r="K9" s="1317"/>
    </row>
    <row r="10" spans="1:14" s="1204" customFormat="1" ht="15.6">
      <c r="A10" s="1109"/>
      <c r="B10" s="1122" t="s">
        <v>115</v>
      </c>
      <c r="C10" s="1317"/>
      <c r="D10" s="1317"/>
      <c r="E10" s="1317"/>
      <c r="F10" s="1317"/>
      <c r="G10" s="1317"/>
      <c r="H10" s="1317"/>
      <c r="I10" s="1317"/>
      <c r="J10" s="1317"/>
      <c r="K10" s="1317"/>
    </row>
    <row r="11" spans="1:14">
      <c r="A11" s="1201"/>
      <c r="B11" s="1202" t="s">
        <v>116</v>
      </c>
      <c r="C11" s="1205">
        <f>C12+C14+C15+C16+C17+C13</f>
        <v>0</v>
      </c>
      <c r="D11" s="1205">
        <f t="shared" ref="D11:K11" si="1">D12+D14+D15+D16+D17+D13</f>
        <v>0</v>
      </c>
      <c r="E11" s="1205">
        <f t="shared" si="1"/>
        <v>0</v>
      </c>
      <c r="F11" s="1205">
        <f t="shared" si="1"/>
        <v>0</v>
      </c>
      <c r="G11" s="1205">
        <f t="shared" si="1"/>
        <v>0</v>
      </c>
      <c r="H11" s="1205">
        <f t="shared" si="1"/>
        <v>0</v>
      </c>
      <c r="I11" s="1205">
        <f t="shared" si="1"/>
        <v>0</v>
      </c>
      <c r="J11" s="1205">
        <f t="shared" si="1"/>
        <v>0</v>
      </c>
      <c r="K11" s="1205">
        <f t="shared" si="1"/>
        <v>0</v>
      </c>
    </row>
    <row r="12" spans="1:14">
      <c r="A12" s="1201"/>
      <c r="B12" s="1122" t="s">
        <v>117</v>
      </c>
      <c r="C12" s="1317"/>
      <c r="D12" s="1317"/>
      <c r="E12" s="1317"/>
      <c r="F12" s="1317"/>
      <c r="G12" s="1317"/>
      <c r="H12" s="1317"/>
      <c r="I12" s="1317"/>
      <c r="J12" s="1317"/>
      <c r="K12" s="1317"/>
    </row>
    <row r="13" spans="1:14" s="1204" customFormat="1" ht="15.6">
      <c r="A13" s="1109"/>
      <c r="B13" s="1122" t="s">
        <v>118</v>
      </c>
      <c r="C13" s="1317"/>
      <c r="D13" s="1317"/>
      <c r="E13" s="1317"/>
      <c r="F13" s="1317"/>
      <c r="G13" s="1317"/>
      <c r="H13" s="1317"/>
      <c r="I13" s="1317"/>
      <c r="J13" s="1317"/>
      <c r="K13" s="1317"/>
    </row>
    <row r="14" spans="1:14">
      <c r="A14" s="1201"/>
      <c r="B14" s="1122" t="s">
        <v>119</v>
      </c>
      <c r="C14" s="1317"/>
      <c r="D14" s="1317"/>
      <c r="E14" s="1317"/>
      <c r="F14" s="1317"/>
      <c r="G14" s="1317"/>
      <c r="H14" s="1317"/>
      <c r="I14" s="1317"/>
      <c r="J14" s="1317"/>
      <c r="K14" s="1317"/>
    </row>
    <row r="15" spans="1:14">
      <c r="A15" s="1201"/>
      <c r="B15" s="1122" t="s">
        <v>120</v>
      </c>
      <c r="C15" s="1317"/>
      <c r="D15" s="1317"/>
      <c r="E15" s="1317"/>
      <c r="F15" s="1317"/>
      <c r="G15" s="1317"/>
      <c r="H15" s="1317"/>
      <c r="I15" s="1317"/>
      <c r="J15" s="1317"/>
      <c r="K15" s="1317"/>
    </row>
    <row r="16" spans="1:14" s="1204" customFormat="1" ht="15.6">
      <c r="A16" s="1109"/>
      <c r="B16" s="1122" t="s">
        <v>121</v>
      </c>
      <c r="C16" s="1317"/>
      <c r="D16" s="1317"/>
      <c r="E16" s="1317"/>
      <c r="F16" s="1317"/>
      <c r="G16" s="1317"/>
      <c r="H16" s="1317"/>
      <c r="I16" s="1317"/>
      <c r="J16" s="1317"/>
      <c r="K16" s="1317"/>
      <c r="L16" s="1206"/>
      <c r="M16" s="1206"/>
      <c r="N16" s="1206"/>
    </row>
    <row r="17" spans="1:14">
      <c r="A17" s="1201"/>
      <c r="B17" s="1123" t="s">
        <v>122</v>
      </c>
      <c r="C17" s="1318"/>
      <c r="D17" s="1318"/>
      <c r="E17" s="1318"/>
      <c r="F17" s="1318"/>
      <c r="G17" s="1318"/>
      <c r="H17" s="1318"/>
      <c r="I17" s="1318"/>
      <c r="J17" s="1318"/>
      <c r="K17" s="1318"/>
      <c r="L17" s="1207"/>
      <c r="M17" s="1207"/>
      <c r="N17" s="1207"/>
    </row>
    <row r="18" spans="1:14" ht="15.6">
      <c r="A18" s="1201"/>
      <c r="B18" s="1208" t="s">
        <v>295</v>
      </c>
      <c r="C18" s="1209">
        <f>C11+C5</f>
        <v>0</v>
      </c>
      <c r="D18" s="1209">
        <f>D11+D5</f>
        <v>0</v>
      </c>
      <c r="E18" s="1209">
        <f>E11+E5</f>
        <v>0</v>
      </c>
      <c r="F18" s="1210">
        <f t="shared" ref="F18:K18" si="2">F5+F11</f>
        <v>0</v>
      </c>
      <c r="G18" s="1210">
        <f t="shared" si="2"/>
        <v>0</v>
      </c>
      <c r="H18" s="1210">
        <f t="shared" si="2"/>
        <v>0</v>
      </c>
      <c r="I18" s="1210">
        <f t="shared" si="2"/>
        <v>0</v>
      </c>
      <c r="J18" s="1210">
        <f t="shared" si="2"/>
        <v>0</v>
      </c>
      <c r="K18" s="1210">
        <f t="shared" si="2"/>
        <v>0</v>
      </c>
      <c r="L18" s="1207"/>
      <c r="M18" s="1207"/>
      <c r="N18" s="1207"/>
    </row>
    <row r="19" spans="1:14">
      <c r="A19" s="1201"/>
      <c r="B19" s="1122" t="s">
        <v>1074</v>
      </c>
      <c r="C19" s="1317"/>
      <c r="D19" s="1317"/>
      <c r="E19" s="1317"/>
      <c r="F19" s="1317"/>
      <c r="G19" s="1317"/>
      <c r="H19" s="1317"/>
      <c r="I19" s="1317"/>
      <c r="J19" s="1317"/>
      <c r="K19" s="1317"/>
      <c r="L19" s="1207"/>
      <c r="M19" s="1207"/>
      <c r="N19" s="1207"/>
    </row>
    <row r="20" spans="1:14">
      <c r="A20" s="1201"/>
      <c r="B20" s="1202"/>
      <c r="C20" s="1211"/>
      <c r="D20" s="1211"/>
      <c r="E20" s="1211"/>
      <c r="F20" s="1211"/>
      <c r="G20" s="1211"/>
      <c r="H20" s="1211"/>
      <c r="I20" s="1211"/>
      <c r="J20" s="1211"/>
      <c r="K20" s="1211"/>
      <c r="L20" s="1207"/>
      <c r="M20" s="1207"/>
      <c r="N20" s="1207"/>
    </row>
    <row r="21" spans="1:14" ht="16.2" thickBot="1">
      <c r="A21" s="1212" t="s">
        <v>296</v>
      </c>
      <c r="B21" s="1213"/>
      <c r="C21" s="1314"/>
      <c r="D21" s="1314"/>
      <c r="E21" s="1314"/>
      <c r="F21" s="1314"/>
      <c r="G21" s="1315"/>
      <c r="H21" s="1315"/>
      <c r="I21" s="1315"/>
      <c r="J21" s="1315"/>
      <c r="K21" s="1315"/>
      <c r="L21" s="1207"/>
      <c r="M21" s="1207"/>
      <c r="N21" s="1207"/>
    </row>
    <row r="22" spans="1:14" s="1204" customFormat="1" ht="15.6">
      <c r="A22" s="1109"/>
      <c r="B22" s="1214"/>
      <c r="C22" s="1116"/>
      <c r="D22" s="1116"/>
      <c r="E22" s="1116" t="s">
        <v>1010</v>
      </c>
      <c r="F22" s="1116" t="s">
        <v>1075</v>
      </c>
      <c r="G22" s="1116" t="s">
        <v>1075</v>
      </c>
      <c r="H22" s="1116" t="s">
        <v>1075</v>
      </c>
      <c r="I22" s="1116" t="s">
        <v>1075</v>
      </c>
      <c r="J22" s="1116"/>
      <c r="K22" s="1116"/>
      <c r="L22" s="1206"/>
      <c r="M22" s="1206"/>
      <c r="N22" s="1206"/>
    </row>
    <row r="23" spans="1:14" s="1217" customFormat="1" ht="15.6">
      <c r="A23" s="1215"/>
      <c r="B23" s="1202"/>
      <c r="C23" s="1116"/>
      <c r="D23" s="1116"/>
      <c r="E23" s="1116"/>
      <c r="F23" s="1116"/>
      <c r="G23" s="1116"/>
      <c r="H23" s="1116"/>
      <c r="I23" s="1116"/>
      <c r="J23" s="1116"/>
      <c r="K23" s="1116"/>
      <c r="L23" s="1216"/>
      <c r="M23" s="1216"/>
      <c r="N23" s="1216"/>
    </row>
    <row r="24" spans="1:14" s="1217" customFormat="1" ht="15.6">
      <c r="A24" s="1215"/>
      <c r="B24" s="1218"/>
      <c r="C24" s="1116"/>
      <c r="D24" s="1116"/>
      <c r="E24" s="1116"/>
      <c r="F24" s="1219"/>
      <c r="G24" s="1116"/>
      <c r="H24" s="1116"/>
      <c r="I24" s="1116"/>
      <c r="J24" s="1116"/>
      <c r="K24" s="1220"/>
      <c r="L24" s="1220"/>
      <c r="M24" s="1220"/>
      <c r="N24" s="1220"/>
    </row>
    <row r="25" spans="1:14" ht="16.2" hidden="1" thickBot="1">
      <c r="A25" s="1212" t="s">
        <v>297</v>
      </c>
      <c r="B25" s="1213"/>
      <c r="C25" s="1221">
        <f t="shared" ref="C25:J25" si="3">SUM(C26:C33)</f>
        <v>10.519969999999999</v>
      </c>
      <c r="D25" s="1221">
        <f t="shared" si="3"/>
        <v>11.8852701714</v>
      </c>
      <c r="E25" s="1221">
        <f t="shared" si="3"/>
        <v>11.2939618</v>
      </c>
      <c r="F25" s="1221">
        <f t="shared" si="3"/>
        <v>7.7940530000000008</v>
      </c>
      <c r="G25" s="1222">
        <f t="shared" si="3"/>
        <v>7.2313000000000001</v>
      </c>
      <c r="H25" s="1222">
        <f t="shared" si="3"/>
        <v>6.1853999999999996</v>
      </c>
      <c r="I25" s="1222">
        <f t="shared" si="3"/>
        <v>6.210799999999999</v>
      </c>
      <c r="J25" s="1222">
        <f t="shared" si="3"/>
        <v>6.1846000000000005</v>
      </c>
      <c r="K25" s="1222">
        <f>SUM(K26:K33)</f>
        <v>6.1846000000000005</v>
      </c>
      <c r="L25" s="1207"/>
      <c r="M25" s="1207"/>
      <c r="N25" s="1207"/>
    </row>
    <row r="26" spans="1:14" hidden="1">
      <c r="A26" s="1201"/>
      <c r="B26" s="1214" t="s">
        <v>123</v>
      </c>
      <c r="C26" s="1116">
        <v>2.8090900000000003</v>
      </c>
      <c r="D26" s="1116">
        <v>0</v>
      </c>
      <c r="E26" s="1116">
        <v>3.3575359700000003</v>
      </c>
      <c r="F26" s="1116">
        <v>3.1354450000000003</v>
      </c>
      <c r="G26" s="1223">
        <v>3.0956000000000001</v>
      </c>
      <c r="H26" s="1223">
        <v>3.367</v>
      </c>
      <c r="I26" s="1223">
        <v>3.3679999999999999</v>
      </c>
      <c r="J26" s="1223">
        <v>3.3690000000000002</v>
      </c>
      <c r="K26" s="1223">
        <v>3.3690000000000002</v>
      </c>
      <c r="L26" s="1207"/>
      <c r="M26" s="1207"/>
      <c r="N26" s="1207"/>
    </row>
    <row r="27" spans="1:14" ht="15.6" hidden="1">
      <c r="A27" s="1109"/>
      <c r="B27" s="1214" t="s">
        <v>124</v>
      </c>
      <c r="C27" s="1116">
        <v>0.14399999999999999</v>
      </c>
      <c r="D27" s="1116">
        <v>0</v>
      </c>
      <c r="E27" s="1116">
        <v>0.34354539000000001</v>
      </c>
      <c r="F27" s="1116">
        <v>0.28627199999999997</v>
      </c>
      <c r="G27" s="1223">
        <v>0.30109999999999998</v>
      </c>
      <c r="H27" s="1223">
        <v>0.71189999999999998</v>
      </c>
      <c r="I27" s="1223">
        <v>0.61040000000000005</v>
      </c>
      <c r="J27" s="1223">
        <v>0.75049999999999994</v>
      </c>
      <c r="K27" s="1223">
        <v>0.75049999999999994</v>
      </c>
      <c r="L27" s="1207"/>
      <c r="M27" s="1207"/>
      <c r="N27" s="1207"/>
    </row>
    <row r="28" spans="1:14" hidden="1">
      <c r="A28" s="1201"/>
      <c r="B28" s="1214" t="s">
        <v>125</v>
      </c>
      <c r="C28" s="1116">
        <v>0</v>
      </c>
      <c r="D28" s="1116">
        <v>0</v>
      </c>
      <c r="E28" s="1116">
        <v>0</v>
      </c>
      <c r="F28" s="1116">
        <v>0</v>
      </c>
      <c r="G28" s="1223">
        <v>0</v>
      </c>
      <c r="H28" s="1223">
        <v>0</v>
      </c>
      <c r="I28" s="1223">
        <v>0</v>
      </c>
      <c r="J28" s="1223">
        <v>0</v>
      </c>
      <c r="K28" s="1223">
        <v>0</v>
      </c>
      <c r="L28" s="1207"/>
    </row>
    <row r="29" spans="1:14" hidden="1">
      <c r="A29" s="1201"/>
      <c r="B29" s="1214" t="s">
        <v>126</v>
      </c>
      <c r="C29" s="1116">
        <v>6.0335900000000002</v>
      </c>
      <c r="D29" s="1116">
        <v>9.6745492855999995</v>
      </c>
      <c r="E29" s="1116">
        <v>4.9471451000000002</v>
      </c>
      <c r="F29" s="1116">
        <v>2.3493949999999999</v>
      </c>
      <c r="G29" s="1223">
        <v>1.1009</v>
      </c>
      <c r="H29" s="1223">
        <v>0.1</v>
      </c>
      <c r="I29" s="1223">
        <v>0.1</v>
      </c>
      <c r="J29" s="1223">
        <v>0.1</v>
      </c>
      <c r="K29" s="1223">
        <v>0.1</v>
      </c>
      <c r="L29" s="1207"/>
    </row>
    <row r="30" spans="1:14" hidden="1">
      <c r="A30" s="1201"/>
      <c r="B30" s="1214" t="s">
        <v>127</v>
      </c>
      <c r="C30" s="1224">
        <v>0.81223199999999995</v>
      </c>
      <c r="D30" s="1116">
        <v>0.46077270719999996</v>
      </c>
      <c r="E30" s="1116">
        <v>0.76656060999999998</v>
      </c>
      <c r="F30" s="1116">
        <v>0.366093</v>
      </c>
      <c r="G30" s="1223">
        <v>0.78439999999999999</v>
      </c>
      <c r="H30" s="1223">
        <v>0.8</v>
      </c>
      <c r="I30" s="1223">
        <v>0.85</v>
      </c>
      <c r="J30" s="1223">
        <v>0.61</v>
      </c>
      <c r="K30" s="1223">
        <v>0.61</v>
      </c>
      <c r="L30" s="1207"/>
    </row>
    <row r="31" spans="1:14" hidden="1">
      <c r="A31" s="1201"/>
      <c r="B31" s="1214" t="s">
        <v>4</v>
      </c>
      <c r="C31" s="1224">
        <v>0.72105799999999998</v>
      </c>
      <c r="D31" s="1224">
        <v>1.3875406314000001</v>
      </c>
      <c r="E31" s="1224">
        <v>1.4829625099999999</v>
      </c>
      <c r="F31" s="1116">
        <v>1.286152</v>
      </c>
      <c r="G31" s="1223">
        <v>1.52</v>
      </c>
      <c r="H31" s="1223">
        <v>0.76719999999999999</v>
      </c>
      <c r="I31" s="1223">
        <v>0.80759999999999998</v>
      </c>
      <c r="J31" s="1223">
        <v>0.8478</v>
      </c>
      <c r="K31" s="1223">
        <v>0.8478</v>
      </c>
      <c r="L31" s="1207"/>
    </row>
    <row r="32" spans="1:14" hidden="1">
      <c r="A32" s="1201"/>
      <c r="B32" s="1214" t="s">
        <v>128</v>
      </c>
      <c r="C32" s="1224">
        <v>0</v>
      </c>
      <c r="D32" s="1224">
        <v>1.3207547199999999E-2</v>
      </c>
      <c r="E32" s="1224">
        <v>6.6037700000000001E-3</v>
      </c>
      <c r="F32" s="1116">
        <v>9.3959999999999998E-3</v>
      </c>
      <c r="G32" s="1223">
        <v>6.0000000000000001E-3</v>
      </c>
      <c r="H32" s="1223">
        <v>1.2999999999999999E-2</v>
      </c>
      <c r="I32" s="1223">
        <v>1.6E-2</v>
      </c>
      <c r="J32" s="1223">
        <v>1.6E-2</v>
      </c>
      <c r="K32" s="1223">
        <v>1.6E-2</v>
      </c>
      <c r="L32" s="1207"/>
    </row>
    <row r="33" spans="1:12" hidden="1">
      <c r="A33" s="1201"/>
      <c r="B33" s="1214" t="s">
        <v>129</v>
      </c>
      <c r="C33" s="1224">
        <v>0</v>
      </c>
      <c r="D33" s="1224">
        <v>0.34920000000000001</v>
      </c>
      <c r="E33" s="1224">
        <v>0.38960845</v>
      </c>
      <c r="F33" s="1116">
        <v>0.36130000000000001</v>
      </c>
      <c r="G33" s="1223">
        <v>0.42330000000000001</v>
      </c>
      <c r="H33" s="1223">
        <v>0.42630000000000001</v>
      </c>
      <c r="I33" s="1223">
        <v>0.45879999999999999</v>
      </c>
      <c r="J33" s="1223">
        <v>0.49130000000000001</v>
      </c>
      <c r="K33" s="1223">
        <v>0.49130000000000001</v>
      </c>
      <c r="L33" s="1207"/>
    </row>
    <row r="34" spans="1:12">
      <c r="A34" s="1207"/>
      <c r="B34" s="1207"/>
      <c r="C34" s="1225"/>
      <c r="D34" s="1225"/>
      <c r="E34" s="1225"/>
      <c r="F34" s="1207"/>
      <c r="G34" s="1207"/>
      <c r="H34" s="1207"/>
      <c r="I34" s="1207"/>
      <c r="J34" s="1207"/>
      <c r="K34" s="1207"/>
    </row>
    <row r="35" spans="1:12">
      <c r="A35" s="1207"/>
      <c r="B35" s="1207"/>
      <c r="C35" s="1225"/>
      <c r="D35" s="1225"/>
      <c r="E35" s="1225"/>
      <c r="F35" s="1207"/>
      <c r="G35" s="1207"/>
      <c r="H35" s="1207"/>
      <c r="I35" s="1207"/>
      <c r="J35" s="1207"/>
      <c r="K35" s="1207"/>
    </row>
    <row r="36" spans="1:12">
      <c r="A36" s="1207"/>
      <c r="B36" s="1207"/>
      <c r="C36" s="1225"/>
      <c r="D36" s="1225"/>
      <c r="E36" s="1225"/>
      <c r="F36" s="1207"/>
      <c r="G36" s="1207"/>
      <c r="H36" s="1207"/>
      <c r="I36" s="1207"/>
      <c r="J36" s="1207"/>
      <c r="K36" s="1207"/>
    </row>
    <row r="37" spans="1:12">
      <c r="A37" s="1207"/>
      <c r="B37" s="1207"/>
      <c r="C37" s="1225"/>
      <c r="D37" s="1225"/>
      <c r="E37" s="1225"/>
      <c r="F37" s="1207"/>
      <c r="G37" s="1207"/>
      <c r="H37" s="1207"/>
      <c r="I37" s="1207"/>
      <c r="J37" s="1207"/>
      <c r="K37" s="1207"/>
    </row>
    <row r="38" spans="1:12">
      <c r="A38" s="1207"/>
      <c r="B38" s="1207"/>
      <c r="C38" s="1225"/>
      <c r="D38" s="1225"/>
      <c r="E38" s="1225"/>
      <c r="F38" s="1207"/>
      <c r="G38" s="1207"/>
      <c r="H38" s="1207"/>
      <c r="I38" s="1207"/>
      <c r="J38" s="1207"/>
      <c r="K38" s="1207"/>
    </row>
    <row r="39" spans="1:12">
      <c r="A39" s="1207"/>
      <c r="B39" s="1207"/>
      <c r="C39" s="1225"/>
      <c r="D39" s="1225"/>
      <c r="E39" s="1225"/>
      <c r="F39" s="1207"/>
      <c r="G39" s="1207"/>
      <c r="H39" s="1207"/>
      <c r="I39" s="1207"/>
      <c r="J39" s="1207"/>
      <c r="K39" s="1207"/>
    </row>
    <row r="40" spans="1:12">
      <c r="A40" s="1207"/>
      <c r="B40" s="1207"/>
      <c r="C40" s="1225"/>
      <c r="D40" s="1225"/>
      <c r="E40" s="1225"/>
      <c r="F40" s="1207"/>
      <c r="G40" s="1207"/>
      <c r="H40" s="1207"/>
      <c r="I40" s="1207"/>
      <c r="J40" s="1207"/>
      <c r="K40" s="1207"/>
    </row>
    <row r="41" spans="1:12">
      <c r="A41" s="1207"/>
      <c r="B41" s="1207"/>
      <c r="C41" s="1225"/>
      <c r="D41" s="1225"/>
      <c r="E41" s="1225"/>
      <c r="F41" s="1207"/>
      <c r="G41" s="1207"/>
      <c r="H41" s="1207"/>
      <c r="I41" s="1207"/>
      <c r="J41" s="1207"/>
      <c r="K41" s="1207"/>
    </row>
    <row r="42" spans="1:12">
      <c r="C42" s="1179"/>
      <c r="D42" s="1179"/>
      <c r="E42" s="1179"/>
    </row>
    <row r="43" spans="1:12">
      <c r="C43" s="1179"/>
      <c r="D43" s="1179"/>
      <c r="E43" s="1179"/>
    </row>
    <row r="44" spans="1:12">
      <c r="C44" s="1179"/>
      <c r="D44" s="1179"/>
      <c r="E44" s="1179"/>
    </row>
    <row r="45" spans="1:12">
      <c r="C45" s="1179"/>
      <c r="D45" s="1179"/>
      <c r="E45" s="1179"/>
    </row>
    <row r="46" spans="1:12">
      <c r="C46" s="1179"/>
      <c r="D46" s="1179"/>
      <c r="E46" s="1179"/>
    </row>
    <row r="47" spans="1:12">
      <c r="C47" s="1179"/>
      <c r="D47" s="1179"/>
      <c r="E47" s="1179"/>
    </row>
    <row r="48" spans="1:12">
      <c r="C48" s="1179"/>
      <c r="D48" s="1179"/>
      <c r="E48" s="1179"/>
    </row>
    <row r="49" spans="3:5">
      <c r="C49" s="1179"/>
      <c r="D49" s="1179"/>
      <c r="E49" s="1179"/>
    </row>
    <row r="50" spans="3:5">
      <c r="C50" s="1179"/>
      <c r="D50" s="1179"/>
      <c r="E50" s="1179"/>
    </row>
    <row r="51" spans="3:5">
      <c r="C51" s="1179"/>
      <c r="D51" s="1179"/>
      <c r="E51" s="1179"/>
    </row>
    <row r="52" spans="3:5">
      <c r="C52" s="1179"/>
      <c r="D52" s="1179"/>
      <c r="E52" s="1179"/>
    </row>
    <row r="53" spans="3:5">
      <c r="C53" s="1179"/>
      <c r="D53" s="1179"/>
      <c r="E53" s="1179"/>
    </row>
  </sheetData>
  <phoneticPr fontId="20" type="noConversion"/>
  <printOptions horizontalCentered="1"/>
  <pageMargins left="0.70866141732283472" right="0.70866141732283472" top="0.74803149606299213" bottom="0.74803149606299213" header="0.31496062992125984" footer="0.31496062992125984"/>
  <pageSetup paperSize="9" scale="87" orientation="landscape"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18">
    <tabColor theme="8" tint="-0.249977111117893"/>
  </sheetPr>
  <dimension ref="A1"/>
  <sheetViews>
    <sheetView showGridLines="0" workbookViewId="0">
      <selection activeCell="K8" sqref="K8"/>
    </sheetView>
  </sheetViews>
  <sheetFormatPr defaultRowHeight="14.4"/>
  <sheetData/>
  <phoneticPr fontId="20" type="noConversion"/>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21"/>
  <dimension ref="A1:AQ141"/>
  <sheetViews>
    <sheetView showGridLines="0" zoomScale="70" zoomScaleNormal="70" workbookViewId="0">
      <pane xSplit="3" ySplit="7" topLeftCell="D8" activePane="bottomRight" state="frozenSplit"/>
      <selection activeCell="K8" sqref="K8"/>
      <selection pane="topRight" activeCell="K8" sqref="K8"/>
      <selection pane="bottomLeft" activeCell="K8" sqref="K8"/>
      <selection pane="bottomRight" activeCell="K8" sqref="K8"/>
    </sheetView>
  </sheetViews>
  <sheetFormatPr defaultColWidth="9.44140625" defaultRowHeight="14.25" customHeight="1"/>
  <cols>
    <col min="1" max="1" width="1.44140625" style="273" customWidth="1"/>
    <col min="2" max="2" width="57.88671875" style="273" customWidth="1"/>
    <col min="3" max="3" width="5.88671875" style="273" customWidth="1"/>
    <col min="4" max="4" width="14.44140625" style="273" bestFit="1" customWidth="1"/>
    <col min="5" max="5" width="17.88671875" style="273" customWidth="1"/>
    <col min="6" max="11" width="12.33203125" style="273" customWidth="1"/>
    <col min="12" max="12" width="23.21875" style="273" bestFit="1" customWidth="1"/>
    <col min="13" max="13" width="15.21875" style="273" customWidth="1"/>
    <col min="14" max="14" width="12.33203125" style="273" customWidth="1"/>
    <col min="15" max="15" width="15.44140625" style="273" bestFit="1" customWidth="1"/>
    <col min="16" max="24" width="12.33203125" style="273" customWidth="1"/>
    <col min="25" max="25" width="16.77734375" style="273" customWidth="1"/>
    <col min="26" max="26" width="15.6640625" style="273" customWidth="1"/>
    <col min="27" max="27" width="17" style="273" customWidth="1"/>
    <col min="28" max="28" width="15.44140625" style="273" customWidth="1"/>
    <col min="29" max="29" width="10.77734375" style="273" customWidth="1"/>
    <col min="30" max="30" width="11" style="273" customWidth="1"/>
    <col min="31" max="43" width="10.77734375" style="273" customWidth="1"/>
    <col min="44" max="256" width="9.44140625" style="273"/>
    <col min="257" max="257" width="1.44140625" style="273" customWidth="1"/>
    <col min="258" max="258" width="57.88671875" style="273" customWidth="1"/>
    <col min="259" max="259" width="5.88671875" style="273" customWidth="1"/>
    <col min="260" max="260" width="12.33203125" style="273" customWidth="1"/>
    <col min="261" max="261" width="17.88671875" style="273" customWidth="1"/>
    <col min="262" max="280" width="12.33203125" style="273" customWidth="1"/>
    <col min="281" max="281" width="16.77734375" style="273" customWidth="1"/>
    <col min="282" max="282" width="15.6640625" style="273" customWidth="1"/>
    <col min="283" max="283" width="17" style="273" customWidth="1"/>
    <col min="284" max="284" width="15.44140625" style="273" customWidth="1"/>
    <col min="285" max="285" width="10.77734375" style="273" customWidth="1"/>
    <col min="286" max="286" width="11" style="273" customWidth="1"/>
    <col min="287" max="299" width="10.77734375" style="273" customWidth="1"/>
    <col min="300" max="512" width="9.44140625" style="273"/>
    <col min="513" max="513" width="1.44140625" style="273" customWidth="1"/>
    <col min="514" max="514" width="57.88671875" style="273" customWidth="1"/>
    <col min="515" max="515" width="5.88671875" style="273" customWidth="1"/>
    <col min="516" max="516" width="12.33203125" style="273" customWidth="1"/>
    <col min="517" max="517" width="17.88671875" style="273" customWidth="1"/>
    <col min="518" max="536" width="12.33203125" style="273" customWidth="1"/>
    <col min="537" max="537" width="16.77734375" style="273" customWidth="1"/>
    <col min="538" max="538" width="15.6640625" style="273" customWidth="1"/>
    <col min="539" max="539" width="17" style="273" customWidth="1"/>
    <col min="540" max="540" width="15.44140625" style="273" customWidth="1"/>
    <col min="541" max="541" width="10.77734375" style="273" customWidth="1"/>
    <col min="542" max="542" width="11" style="273" customWidth="1"/>
    <col min="543" max="555" width="10.77734375" style="273" customWidth="1"/>
    <col min="556" max="768" width="9.44140625" style="273"/>
    <col min="769" max="769" width="1.44140625" style="273" customWidth="1"/>
    <col min="770" max="770" width="57.88671875" style="273" customWidth="1"/>
    <col min="771" max="771" width="5.88671875" style="273" customWidth="1"/>
    <col min="772" max="772" width="12.33203125" style="273" customWidth="1"/>
    <col min="773" max="773" width="17.88671875" style="273" customWidth="1"/>
    <col min="774" max="792" width="12.33203125" style="273" customWidth="1"/>
    <col min="793" max="793" width="16.77734375" style="273" customWidth="1"/>
    <col min="794" max="794" width="15.6640625" style="273" customWidth="1"/>
    <col min="795" max="795" width="17" style="273" customWidth="1"/>
    <col min="796" max="796" width="15.44140625" style="273" customWidth="1"/>
    <col min="797" max="797" width="10.77734375" style="273" customWidth="1"/>
    <col min="798" max="798" width="11" style="273" customWidth="1"/>
    <col min="799" max="811" width="10.77734375" style="273" customWidth="1"/>
    <col min="812" max="1024" width="9.44140625" style="273"/>
    <col min="1025" max="1025" width="1.44140625" style="273" customWidth="1"/>
    <col min="1026" max="1026" width="57.88671875" style="273" customWidth="1"/>
    <col min="1027" max="1027" width="5.88671875" style="273" customWidth="1"/>
    <col min="1028" max="1028" width="12.33203125" style="273" customWidth="1"/>
    <col min="1029" max="1029" width="17.88671875" style="273" customWidth="1"/>
    <col min="1030" max="1048" width="12.33203125" style="273" customWidth="1"/>
    <col min="1049" max="1049" width="16.77734375" style="273" customWidth="1"/>
    <col min="1050" max="1050" width="15.6640625" style="273" customWidth="1"/>
    <col min="1051" max="1051" width="17" style="273" customWidth="1"/>
    <col min="1052" max="1052" width="15.44140625" style="273" customWidth="1"/>
    <col min="1053" max="1053" width="10.77734375" style="273" customWidth="1"/>
    <col min="1054" max="1054" width="11" style="273" customWidth="1"/>
    <col min="1055" max="1067" width="10.77734375" style="273" customWidth="1"/>
    <col min="1068" max="1280" width="9.44140625" style="273"/>
    <col min="1281" max="1281" width="1.44140625" style="273" customWidth="1"/>
    <col min="1282" max="1282" width="57.88671875" style="273" customWidth="1"/>
    <col min="1283" max="1283" width="5.88671875" style="273" customWidth="1"/>
    <col min="1284" max="1284" width="12.33203125" style="273" customWidth="1"/>
    <col min="1285" max="1285" width="17.88671875" style="273" customWidth="1"/>
    <col min="1286" max="1304" width="12.33203125" style="273" customWidth="1"/>
    <col min="1305" max="1305" width="16.77734375" style="273" customWidth="1"/>
    <col min="1306" max="1306" width="15.6640625" style="273" customWidth="1"/>
    <col min="1307" max="1307" width="17" style="273" customWidth="1"/>
    <col min="1308" max="1308" width="15.44140625" style="273" customWidth="1"/>
    <col min="1309" max="1309" width="10.77734375" style="273" customWidth="1"/>
    <col min="1310" max="1310" width="11" style="273" customWidth="1"/>
    <col min="1311" max="1323" width="10.77734375" style="273" customWidth="1"/>
    <col min="1324" max="1536" width="9.44140625" style="273"/>
    <col min="1537" max="1537" width="1.44140625" style="273" customWidth="1"/>
    <col min="1538" max="1538" width="57.88671875" style="273" customWidth="1"/>
    <col min="1539" max="1539" width="5.88671875" style="273" customWidth="1"/>
    <col min="1540" max="1540" width="12.33203125" style="273" customWidth="1"/>
    <col min="1541" max="1541" width="17.88671875" style="273" customWidth="1"/>
    <col min="1542" max="1560" width="12.33203125" style="273" customWidth="1"/>
    <col min="1561" max="1561" width="16.77734375" style="273" customWidth="1"/>
    <col min="1562" max="1562" width="15.6640625" style="273" customWidth="1"/>
    <col min="1563" max="1563" width="17" style="273" customWidth="1"/>
    <col min="1564" max="1564" width="15.44140625" style="273" customWidth="1"/>
    <col min="1565" max="1565" width="10.77734375" style="273" customWidth="1"/>
    <col min="1566" max="1566" width="11" style="273" customWidth="1"/>
    <col min="1567" max="1579" width="10.77734375" style="273" customWidth="1"/>
    <col min="1580" max="1792" width="9.44140625" style="273"/>
    <col min="1793" max="1793" width="1.44140625" style="273" customWidth="1"/>
    <col min="1794" max="1794" width="57.88671875" style="273" customWidth="1"/>
    <col min="1795" max="1795" width="5.88671875" style="273" customWidth="1"/>
    <col min="1796" max="1796" width="12.33203125" style="273" customWidth="1"/>
    <col min="1797" max="1797" width="17.88671875" style="273" customWidth="1"/>
    <col min="1798" max="1816" width="12.33203125" style="273" customWidth="1"/>
    <col min="1817" max="1817" width="16.77734375" style="273" customWidth="1"/>
    <col min="1818" max="1818" width="15.6640625" style="273" customWidth="1"/>
    <col min="1819" max="1819" width="17" style="273" customWidth="1"/>
    <col min="1820" max="1820" width="15.44140625" style="273" customWidth="1"/>
    <col min="1821" max="1821" width="10.77734375" style="273" customWidth="1"/>
    <col min="1822" max="1822" width="11" style="273" customWidth="1"/>
    <col min="1823" max="1835" width="10.77734375" style="273" customWidth="1"/>
    <col min="1836" max="2048" width="9.44140625" style="273"/>
    <col min="2049" max="2049" width="1.44140625" style="273" customWidth="1"/>
    <col min="2050" max="2050" width="57.88671875" style="273" customWidth="1"/>
    <col min="2051" max="2051" width="5.88671875" style="273" customWidth="1"/>
    <col min="2052" max="2052" width="12.33203125" style="273" customWidth="1"/>
    <col min="2053" max="2053" width="17.88671875" style="273" customWidth="1"/>
    <col min="2054" max="2072" width="12.33203125" style="273" customWidth="1"/>
    <col min="2073" max="2073" width="16.77734375" style="273" customWidth="1"/>
    <col min="2074" max="2074" width="15.6640625" style="273" customWidth="1"/>
    <col min="2075" max="2075" width="17" style="273" customWidth="1"/>
    <col min="2076" max="2076" width="15.44140625" style="273" customWidth="1"/>
    <col min="2077" max="2077" width="10.77734375" style="273" customWidth="1"/>
    <col min="2078" max="2078" width="11" style="273" customWidth="1"/>
    <col min="2079" max="2091" width="10.77734375" style="273" customWidth="1"/>
    <col min="2092" max="2304" width="9.44140625" style="273"/>
    <col min="2305" max="2305" width="1.44140625" style="273" customWidth="1"/>
    <col min="2306" max="2306" width="57.88671875" style="273" customWidth="1"/>
    <col min="2307" max="2307" width="5.88671875" style="273" customWidth="1"/>
    <col min="2308" max="2308" width="12.33203125" style="273" customWidth="1"/>
    <col min="2309" max="2309" width="17.88671875" style="273" customWidth="1"/>
    <col min="2310" max="2328" width="12.33203125" style="273" customWidth="1"/>
    <col min="2329" max="2329" width="16.77734375" style="273" customWidth="1"/>
    <col min="2330" max="2330" width="15.6640625" style="273" customWidth="1"/>
    <col min="2331" max="2331" width="17" style="273" customWidth="1"/>
    <col min="2332" max="2332" width="15.44140625" style="273" customWidth="1"/>
    <col min="2333" max="2333" width="10.77734375" style="273" customWidth="1"/>
    <col min="2334" max="2334" width="11" style="273" customWidth="1"/>
    <col min="2335" max="2347" width="10.77734375" style="273" customWidth="1"/>
    <col min="2348" max="2560" width="9.44140625" style="273"/>
    <col min="2561" max="2561" width="1.44140625" style="273" customWidth="1"/>
    <col min="2562" max="2562" width="57.88671875" style="273" customWidth="1"/>
    <col min="2563" max="2563" width="5.88671875" style="273" customWidth="1"/>
    <col min="2564" max="2564" width="12.33203125" style="273" customWidth="1"/>
    <col min="2565" max="2565" width="17.88671875" style="273" customWidth="1"/>
    <col min="2566" max="2584" width="12.33203125" style="273" customWidth="1"/>
    <col min="2585" max="2585" width="16.77734375" style="273" customWidth="1"/>
    <col min="2586" max="2586" width="15.6640625" style="273" customWidth="1"/>
    <col min="2587" max="2587" width="17" style="273" customWidth="1"/>
    <col min="2588" max="2588" width="15.44140625" style="273" customWidth="1"/>
    <col min="2589" max="2589" width="10.77734375" style="273" customWidth="1"/>
    <col min="2590" max="2590" width="11" style="273" customWidth="1"/>
    <col min="2591" max="2603" width="10.77734375" style="273" customWidth="1"/>
    <col min="2604" max="2816" width="9.44140625" style="273"/>
    <col min="2817" max="2817" width="1.44140625" style="273" customWidth="1"/>
    <col min="2818" max="2818" width="57.88671875" style="273" customWidth="1"/>
    <col min="2819" max="2819" width="5.88671875" style="273" customWidth="1"/>
    <col min="2820" max="2820" width="12.33203125" style="273" customWidth="1"/>
    <col min="2821" max="2821" width="17.88671875" style="273" customWidth="1"/>
    <col min="2822" max="2840" width="12.33203125" style="273" customWidth="1"/>
    <col min="2841" max="2841" width="16.77734375" style="273" customWidth="1"/>
    <col min="2842" max="2842" width="15.6640625" style="273" customWidth="1"/>
    <col min="2843" max="2843" width="17" style="273" customWidth="1"/>
    <col min="2844" max="2844" width="15.44140625" style="273" customWidth="1"/>
    <col min="2845" max="2845" width="10.77734375" style="273" customWidth="1"/>
    <col min="2846" max="2846" width="11" style="273" customWidth="1"/>
    <col min="2847" max="2859" width="10.77734375" style="273" customWidth="1"/>
    <col min="2860" max="3072" width="9.44140625" style="273"/>
    <col min="3073" max="3073" width="1.44140625" style="273" customWidth="1"/>
    <col min="3074" max="3074" width="57.88671875" style="273" customWidth="1"/>
    <col min="3075" max="3075" width="5.88671875" style="273" customWidth="1"/>
    <col min="3076" max="3076" width="12.33203125" style="273" customWidth="1"/>
    <col min="3077" max="3077" width="17.88671875" style="273" customWidth="1"/>
    <col min="3078" max="3096" width="12.33203125" style="273" customWidth="1"/>
    <col min="3097" max="3097" width="16.77734375" style="273" customWidth="1"/>
    <col min="3098" max="3098" width="15.6640625" style="273" customWidth="1"/>
    <col min="3099" max="3099" width="17" style="273" customWidth="1"/>
    <col min="3100" max="3100" width="15.44140625" style="273" customWidth="1"/>
    <col min="3101" max="3101" width="10.77734375" style="273" customWidth="1"/>
    <col min="3102" max="3102" width="11" style="273" customWidth="1"/>
    <col min="3103" max="3115" width="10.77734375" style="273" customWidth="1"/>
    <col min="3116" max="3328" width="9.44140625" style="273"/>
    <col min="3329" max="3329" width="1.44140625" style="273" customWidth="1"/>
    <col min="3330" max="3330" width="57.88671875" style="273" customWidth="1"/>
    <col min="3331" max="3331" width="5.88671875" style="273" customWidth="1"/>
    <col min="3332" max="3332" width="12.33203125" style="273" customWidth="1"/>
    <col min="3333" max="3333" width="17.88671875" style="273" customWidth="1"/>
    <col min="3334" max="3352" width="12.33203125" style="273" customWidth="1"/>
    <col min="3353" max="3353" width="16.77734375" style="273" customWidth="1"/>
    <col min="3354" max="3354" width="15.6640625" style="273" customWidth="1"/>
    <col min="3355" max="3355" width="17" style="273" customWidth="1"/>
    <col min="3356" max="3356" width="15.44140625" style="273" customWidth="1"/>
    <col min="3357" max="3357" width="10.77734375" style="273" customWidth="1"/>
    <col min="3358" max="3358" width="11" style="273" customWidth="1"/>
    <col min="3359" max="3371" width="10.77734375" style="273" customWidth="1"/>
    <col min="3372" max="3584" width="9.44140625" style="273"/>
    <col min="3585" max="3585" width="1.44140625" style="273" customWidth="1"/>
    <col min="3586" max="3586" width="57.88671875" style="273" customWidth="1"/>
    <col min="3587" max="3587" width="5.88671875" style="273" customWidth="1"/>
    <col min="3588" max="3588" width="12.33203125" style="273" customWidth="1"/>
    <col min="3589" max="3589" width="17.88671875" style="273" customWidth="1"/>
    <col min="3590" max="3608" width="12.33203125" style="273" customWidth="1"/>
    <col min="3609" max="3609" width="16.77734375" style="273" customWidth="1"/>
    <col min="3610" max="3610" width="15.6640625" style="273" customWidth="1"/>
    <col min="3611" max="3611" width="17" style="273" customWidth="1"/>
    <col min="3612" max="3612" width="15.44140625" style="273" customWidth="1"/>
    <col min="3613" max="3613" width="10.77734375" style="273" customWidth="1"/>
    <col min="3614" max="3614" width="11" style="273" customWidth="1"/>
    <col min="3615" max="3627" width="10.77734375" style="273" customWidth="1"/>
    <col min="3628" max="3840" width="9.44140625" style="273"/>
    <col min="3841" max="3841" width="1.44140625" style="273" customWidth="1"/>
    <col min="3842" max="3842" width="57.88671875" style="273" customWidth="1"/>
    <col min="3843" max="3843" width="5.88671875" style="273" customWidth="1"/>
    <col min="3844" max="3844" width="12.33203125" style="273" customWidth="1"/>
    <col min="3845" max="3845" width="17.88671875" style="273" customWidth="1"/>
    <col min="3846" max="3864" width="12.33203125" style="273" customWidth="1"/>
    <col min="3865" max="3865" width="16.77734375" style="273" customWidth="1"/>
    <col min="3866" max="3866" width="15.6640625" style="273" customWidth="1"/>
    <col min="3867" max="3867" width="17" style="273" customWidth="1"/>
    <col min="3868" max="3868" width="15.44140625" style="273" customWidth="1"/>
    <col min="3869" max="3869" width="10.77734375" style="273" customWidth="1"/>
    <col min="3870" max="3870" width="11" style="273" customWidth="1"/>
    <col min="3871" max="3883" width="10.77734375" style="273" customWidth="1"/>
    <col min="3884" max="4096" width="9.44140625" style="273"/>
    <col min="4097" max="4097" width="1.44140625" style="273" customWidth="1"/>
    <col min="4098" max="4098" width="57.88671875" style="273" customWidth="1"/>
    <col min="4099" max="4099" width="5.88671875" style="273" customWidth="1"/>
    <col min="4100" max="4100" width="12.33203125" style="273" customWidth="1"/>
    <col min="4101" max="4101" width="17.88671875" style="273" customWidth="1"/>
    <col min="4102" max="4120" width="12.33203125" style="273" customWidth="1"/>
    <col min="4121" max="4121" width="16.77734375" style="273" customWidth="1"/>
    <col min="4122" max="4122" width="15.6640625" style="273" customWidth="1"/>
    <col min="4123" max="4123" width="17" style="273" customWidth="1"/>
    <col min="4124" max="4124" width="15.44140625" style="273" customWidth="1"/>
    <col min="4125" max="4125" width="10.77734375" style="273" customWidth="1"/>
    <col min="4126" max="4126" width="11" style="273" customWidth="1"/>
    <col min="4127" max="4139" width="10.77734375" style="273" customWidth="1"/>
    <col min="4140" max="4352" width="9.44140625" style="273"/>
    <col min="4353" max="4353" width="1.44140625" style="273" customWidth="1"/>
    <col min="4354" max="4354" width="57.88671875" style="273" customWidth="1"/>
    <col min="4355" max="4355" width="5.88671875" style="273" customWidth="1"/>
    <col min="4356" max="4356" width="12.33203125" style="273" customWidth="1"/>
    <col min="4357" max="4357" width="17.88671875" style="273" customWidth="1"/>
    <col min="4358" max="4376" width="12.33203125" style="273" customWidth="1"/>
    <col min="4377" max="4377" width="16.77734375" style="273" customWidth="1"/>
    <col min="4378" max="4378" width="15.6640625" style="273" customWidth="1"/>
    <col min="4379" max="4379" width="17" style="273" customWidth="1"/>
    <col min="4380" max="4380" width="15.44140625" style="273" customWidth="1"/>
    <col min="4381" max="4381" width="10.77734375" style="273" customWidth="1"/>
    <col min="4382" max="4382" width="11" style="273" customWidth="1"/>
    <col min="4383" max="4395" width="10.77734375" style="273" customWidth="1"/>
    <col min="4396" max="4608" width="9.44140625" style="273"/>
    <col min="4609" max="4609" width="1.44140625" style="273" customWidth="1"/>
    <col min="4610" max="4610" width="57.88671875" style="273" customWidth="1"/>
    <col min="4611" max="4611" width="5.88671875" style="273" customWidth="1"/>
    <col min="4612" max="4612" width="12.33203125" style="273" customWidth="1"/>
    <col min="4613" max="4613" width="17.88671875" style="273" customWidth="1"/>
    <col min="4614" max="4632" width="12.33203125" style="273" customWidth="1"/>
    <col min="4633" max="4633" width="16.77734375" style="273" customWidth="1"/>
    <col min="4634" max="4634" width="15.6640625" style="273" customWidth="1"/>
    <col min="4635" max="4635" width="17" style="273" customWidth="1"/>
    <col min="4636" max="4636" width="15.44140625" style="273" customWidth="1"/>
    <col min="4637" max="4637" width="10.77734375" style="273" customWidth="1"/>
    <col min="4638" max="4638" width="11" style="273" customWidth="1"/>
    <col min="4639" max="4651" width="10.77734375" style="273" customWidth="1"/>
    <col min="4652" max="4864" width="9.44140625" style="273"/>
    <col min="4865" max="4865" width="1.44140625" style="273" customWidth="1"/>
    <col min="4866" max="4866" width="57.88671875" style="273" customWidth="1"/>
    <col min="4867" max="4867" width="5.88671875" style="273" customWidth="1"/>
    <col min="4868" max="4868" width="12.33203125" style="273" customWidth="1"/>
    <col min="4869" max="4869" width="17.88671875" style="273" customWidth="1"/>
    <col min="4870" max="4888" width="12.33203125" style="273" customWidth="1"/>
    <col min="4889" max="4889" width="16.77734375" style="273" customWidth="1"/>
    <col min="4890" max="4890" width="15.6640625" style="273" customWidth="1"/>
    <col min="4891" max="4891" width="17" style="273" customWidth="1"/>
    <col min="4892" max="4892" width="15.44140625" style="273" customWidth="1"/>
    <col min="4893" max="4893" width="10.77734375" style="273" customWidth="1"/>
    <col min="4894" max="4894" width="11" style="273" customWidth="1"/>
    <col min="4895" max="4907" width="10.77734375" style="273" customWidth="1"/>
    <col min="4908" max="5120" width="9.44140625" style="273"/>
    <col min="5121" max="5121" width="1.44140625" style="273" customWidth="1"/>
    <col min="5122" max="5122" width="57.88671875" style="273" customWidth="1"/>
    <col min="5123" max="5123" width="5.88671875" style="273" customWidth="1"/>
    <col min="5124" max="5124" width="12.33203125" style="273" customWidth="1"/>
    <col min="5125" max="5125" width="17.88671875" style="273" customWidth="1"/>
    <col min="5126" max="5144" width="12.33203125" style="273" customWidth="1"/>
    <col min="5145" max="5145" width="16.77734375" style="273" customWidth="1"/>
    <col min="5146" max="5146" width="15.6640625" style="273" customWidth="1"/>
    <col min="5147" max="5147" width="17" style="273" customWidth="1"/>
    <col min="5148" max="5148" width="15.44140625" style="273" customWidth="1"/>
    <col min="5149" max="5149" width="10.77734375" style="273" customWidth="1"/>
    <col min="5150" max="5150" width="11" style="273" customWidth="1"/>
    <col min="5151" max="5163" width="10.77734375" style="273" customWidth="1"/>
    <col min="5164" max="5376" width="9.44140625" style="273"/>
    <col min="5377" max="5377" width="1.44140625" style="273" customWidth="1"/>
    <col min="5378" max="5378" width="57.88671875" style="273" customWidth="1"/>
    <col min="5379" max="5379" width="5.88671875" style="273" customWidth="1"/>
    <col min="5380" max="5380" width="12.33203125" style="273" customWidth="1"/>
    <col min="5381" max="5381" width="17.88671875" style="273" customWidth="1"/>
    <col min="5382" max="5400" width="12.33203125" style="273" customWidth="1"/>
    <col min="5401" max="5401" width="16.77734375" style="273" customWidth="1"/>
    <col min="5402" max="5402" width="15.6640625" style="273" customWidth="1"/>
    <col min="5403" max="5403" width="17" style="273" customWidth="1"/>
    <col min="5404" max="5404" width="15.44140625" style="273" customWidth="1"/>
    <col min="5405" max="5405" width="10.77734375" style="273" customWidth="1"/>
    <col min="5406" max="5406" width="11" style="273" customWidth="1"/>
    <col min="5407" max="5419" width="10.77734375" style="273" customWidth="1"/>
    <col min="5420" max="5632" width="9.44140625" style="273"/>
    <col min="5633" max="5633" width="1.44140625" style="273" customWidth="1"/>
    <col min="5634" max="5634" width="57.88671875" style="273" customWidth="1"/>
    <col min="5635" max="5635" width="5.88671875" style="273" customWidth="1"/>
    <col min="5636" max="5636" width="12.33203125" style="273" customWidth="1"/>
    <col min="5637" max="5637" width="17.88671875" style="273" customWidth="1"/>
    <col min="5638" max="5656" width="12.33203125" style="273" customWidth="1"/>
    <col min="5657" max="5657" width="16.77734375" style="273" customWidth="1"/>
    <col min="5658" max="5658" width="15.6640625" style="273" customWidth="1"/>
    <col min="5659" max="5659" width="17" style="273" customWidth="1"/>
    <col min="5660" max="5660" width="15.44140625" style="273" customWidth="1"/>
    <col min="5661" max="5661" width="10.77734375" style="273" customWidth="1"/>
    <col min="5662" max="5662" width="11" style="273" customWidth="1"/>
    <col min="5663" max="5675" width="10.77734375" style="273" customWidth="1"/>
    <col min="5676" max="5888" width="9.44140625" style="273"/>
    <col min="5889" max="5889" width="1.44140625" style="273" customWidth="1"/>
    <col min="5890" max="5890" width="57.88671875" style="273" customWidth="1"/>
    <col min="5891" max="5891" width="5.88671875" style="273" customWidth="1"/>
    <col min="5892" max="5892" width="12.33203125" style="273" customWidth="1"/>
    <col min="5893" max="5893" width="17.88671875" style="273" customWidth="1"/>
    <col min="5894" max="5912" width="12.33203125" style="273" customWidth="1"/>
    <col min="5913" max="5913" width="16.77734375" style="273" customWidth="1"/>
    <col min="5914" max="5914" width="15.6640625" style="273" customWidth="1"/>
    <col min="5915" max="5915" width="17" style="273" customWidth="1"/>
    <col min="5916" max="5916" width="15.44140625" style="273" customWidth="1"/>
    <col min="5917" max="5917" width="10.77734375" style="273" customWidth="1"/>
    <col min="5918" max="5918" width="11" style="273" customWidth="1"/>
    <col min="5919" max="5931" width="10.77734375" style="273" customWidth="1"/>
    <col min="5932" max="6144" width="9.44140625" style="273"/>
    <col min="6145" max="6145" width="1.44140625" style="273" customWidth="1"/>
    <col min="6146" max="6146" width="57.88671875" style="273" customWidth="1"/>
    <col min="6147" max="6147" width="5.88671875" style="273" customWidth="1"/>
    <col min="6148" max="6148" width="12.33203125" style="273" customWidth="1"/>
    <col min="6149" max="6149" width="17.88671875" style="273" customWidth="1"/>
    <col min="6150" max="6168" width="12.33203125" style="273" customWidth="1"/>
    <col min="6169" max="6169" width="16.77734375" style="273" customWidth="1"/>
    <col min="6170" max="6170" width="15.6640625" style="273" customWidth="1"/>
    <col min="6171" max="6171" width="17" style="273" customWidth="1"/>
    <col min="6172" max="6172" width="15.44140625" style="273" customWidth="1"/>
    <col min="6173" max="6173" width="10.77734375" style="273" customWidth="1"/>
    <col min="6174" max="6174" width="11" style="273" customWidth="1"/>
    <col min="6175" max="6187" width="10.77734375" style="273" customWidth="1"/>
    <col min="6188" max="6400" width="9.44140625" style="273"/>
    <col min="6401" max="6401" width="1.44140625" style="273" customWidth="1"/>
    <col min="6402" max="6402" width="57.88671875" style="273" customWidth="1"/>
    <col min="6403" max="6403" width="5.88671875" style="273" customWidth="1"/>
    <col min="6404" max="6404" width="12.33203125" style="273" customWidth="1"/>
    <col min="6405" max="6405" width="17.88671875" style="273" customWidth="1"/>
    <col min="6406" max="6424" width="12.33203125" style="273" customWidth="1"/>
    <col min="6425" max="6425" width="16.77734375" style="273" customWidth="1"/>
    <col min="6426" max="6426" width="15.6640625" style="273" customWidth="1"/>
    <col min="6427" max="6427" width="17" style="273" customWidth="1"/>
    <col min="6428" max="6428" width="15.44140625" style="273" customWidth="1"/>
    <col min="6429" max="6429" width="10.77734375" style="273" customWidth="1"/>
    <col min="6430" max="6430" width="11" style="273" customWidth="1"/>
    <col min="6431" max="6443" width="10.77734375" style="273" customWidth="1"/>
    <col min="6444" max="6656" width="9.44140625" style="273"/>
    <col min="6657" max="6657" width="1.44140625" style="273" customWidth="1"/>
    <col min="6658" max="6658" width="57.88671875" style="273" customWidth="1"/>
    <col min="6659" max="6659" width="5.88671875" style="273" customWidth="1"/>
    <col min="6660" max="6660" width="12.33203125" style="273" customWidth="1"/>
    <col min="6661" max="6661" width="17.88671875" style="273" customWidth="1"/>
    <col min="6662" max="6680" width="12.33203125" style="273" customWidth="1"/>
    <col min="6681" max="6681" width="16.77734375" style="273" customWidth="1"/>
    <col min="6682" max="6682" width="15.6640625" style="273" customWidth="1"/>
    <col min="6683" max="6683" width="17" style="273" customWidth="1"/>
    <col min="6684" max="6684" width="15.44140625" style="273" customWidth="1"/>
    <col min="6685" max="6685" width="10.77734375" style="273" customWidth="1"/>
    <col min="6686" max="6686" width="11" style="273" customWidth="1"/>
    <col min="6687" max="6699" width="10.77734375" style="273" customWidth="1"/>
    <col min="6700" max="6912" width="9.44140625" style="273"/>
    <col min="6913" max="6913" width="1.44140625" style="273" customWidth="1"/>
    <col min="6914" max="6914" width="57.88671875" style="273" customWidth="1"/>
    <col min="6915" max="6915" width="5.88671875" style="273" customWidth="1"/>
    <col min="6916" max="6916" width="12.33203125" style="273" customWidth="1"/>
    <col min="6917" max="6917" width="17.88671875" style="273" customWidth="1"/>
    <col min="6918" max="6936" width="12.33203125" style="273" customWidth="1"/>
    <col min="6937" max="6937" width="16.77734375" style="273" customWidth="1"/>
    <col min="6938" max="6938" width="15.6640625" style="273" customWidth="1"/>
    <col min="6939" max="6939" width="17" style="273" customWidth="1"/>
    <col min="6940" max="6940" width="15.44140625" style="273" customWidth="1"/>
    <col min="6941" max="6941" width="10.77734375" style="273" customWidth="1"/>
    <col min="6942" max="6942" width="11" style="273" customWidth="1"/>
    <col min="6943" max="6955" width="10.77734375" style="273" customWidth="1"/>
    <col min="6956" max="7168" width="9.44140625" style="273"/>
    <col min="7169" max="7169" width="1.44140625" style="273" customWidth="1"/>
    <col min="7170" max="7170" width="57.88671875" style="273" customWidth="1"/>
    <col min="7171" max="7171" width="5.88671875" style="273" customWidth="1"/>
    <col min="7172" max="7172" width="12.33203125" style="273" customWidth="1"/>
    <col min="7173" max="7173" width="17.88671875" style="273" customWidth="1"/>
    <col min="7174" max="7192" width="12.33203125" style="273" customWidth="1"/>
    <col min="7193" max="7193" width="16.77734375" style="273" customWidth="1"/>
    <col min="7194" max="7194" width="15.6640625" style="273" customWidth="1"/>
    <col min="7195" max="7195" width="17" style="273" customWidth="1"/>
    <col min="7196" max="7196" width="15.44140625" style="273" customWidth="1"/>
    <col min="7197" max="7197" width="10.77734375" style="273" customWidth="1"/>
    <col min="7198" max="7198" width="11" style="273" customWidth="1"/>
    <col min="7199" max="7211" width="10.77734375" style="273" customWidth="1"/>
    <col min="7212" max="7424" width="9.44140625" style="273"/>
    <col min="7425" max="7425" width="1.44140625" style="273" customWidth="1"/>
    <col min="7426" max="7426" width="57.88671875" style="273" customWidth="1"/>
    <col min="7427" max="7427" width="5.88671875" style="273" customWidth="1"/>
    <col min="7428" max="7428" width="12.33203125" style="273" customWidth="1"/>
    <col min="7429" max="7429" width="17.88671875" style="273" customWidth="1"/>
    <col min="7430" max="7448" width="12.33203125" style="273" customWidth="1"/>
    <col min="7449" max="7449" width="16.77734375" style="273" customWidth="1"/>
    <col min="7450" max="7450" width="15.6640625" style="273" customWidth="1"/>
    <col min="7451" max="7451" width="17" style="273" customWidth="1"/>
    <col min="7452" max="7452" width="15.44140625" style="273" customWidth="1"/>
    <col min="7453" max="7453" width="10.77734375" style="273" customWidth="1"/>
    <col min="7454" max="7454" width="11" style="273" customWidth="1"/>
    <col min="7455" max="7467" width="10.77734375" style="273" customWidth="1"/>
    <col min="7468" max="7680" width="9.44140625" style="273"/>
    <col min="7681" max="7681" width="1.44140625" style="273" customWidth="1"/>
    <col min="7682" max="7682" width="57.88671875" style="273" customWidth="1"/>
    <col min="7683" max="7683" width="5.88671875" style="273" customWidth="1"/>
    <col min="7684" max="7684" width="12.33203125" style="273" customWidth="1"/>
    <col min="7685" max="7685" width="17.88671875" style="273" customWidth="1"/>
    <col min="7686" max="7704" width="12.33203125" style="273" customWidth="1"/>
    <col min="7705" max="7705" width="16.77734375" style="273" customWidth="1"/>
    <col min="7706" max="7706" width="15.6640625" style="273" customWidth="1"/>
    <col min="7707" max="7707" width="17" style="273" customWidth="1"/>
    <col min="7708" max="7708" width="15.44140625" style="273" customWidth="1"/>
    <col min="7709" max="7709" width="10.77734375" style="273" customWidth="1"/>
    <col min="7710" max="7710" width="11" style="273" customWidth="1"/>
    <col min="7711" max="7723" width="10.77734375" style="273" customWidth="1"/>
    <col min="7724" max="7936" width="9.44140625" style="273"/>
    <col min="7937" max="7937" width="1.44140625" style="273" customWidth="1"/>
    <col min="7938" max="7938" width="57.88671875" style="273" customWidth="1"/>
    <col min="7939" max="7939" width="5.88671875" style="273" customWidth="1"/>
    <col min="7940" max="7940" width="12.33203125" style="273" customWidth="1"/>
    <col min="7941" max="7941" width="17.88671875" style="273" customWidth="1"/>
    <col min="7942" max="7960" width="12.33203125" style="273" customWidth="1"/>
    <col min="7961" max="7961" width="16.77734375" style="273" customWidth="1"/>
    <col min="7962" max="7962" width="15.6640625" style="273" customWidth="1"/>
    <col min="7963" max="7963" width="17" style="273" customWidth="1"/>
    <col min="7964" max="7964" width="15.44140625" style="273" customWidth="1"/>
    <col min="7965" max="7965" width="10.77734375" style="273" customWidth="1"/>
    <col min="7966" max="7966" width="11" style="273" customWidth="1"/>
    <col min="7967" max="7979" width="10.77734375" style="273" customWidth="1"/>
    <col min="7980" max="8192" width="9.44140625" style="273"/>
    <col min="8193" max="8193" width="1.44140625" style="273" customWidth="1"/>
    <col min="8194" max="8194" width="57.88671875" style="273" customWidth="1"/>
    <col min="8195" max="8195" width="5.88671875" style="273" customWidth="1"/>
    <col min="8196" max="8196" width="12.33203125" style="273" customWidth="1"/>
    <col min="8197" max="8197" width="17.88671875" style="273" customWidth="1"/>
    <col min="8198" max="8216" width="12.33203125" style="273" customWidth="1"/>
    <col min="8217" max="8217" width="16.77734375" style="273" customWidth="1"/>
    <col min="8218" max="8218" width="15.6640625" style="273" customWidth="1"/>
    <col min="8219" max="8219" width="17" style="273" customWidth="1"/>
    <col min="8220" max="8220" width="15.44140625" style="273" customWidth="1"/>
    <col min="8221" max="8221" width="10.77734375" style="273" customWidth="1"/>
    <col min="8222" max="8222" width="11" style="273" customWidth="1"/>
    <col min="8223" max="8235" width="10.77734375" style="273" customWidth="1"/>
    <col min="8236" max="8448" width="9.44140625" style="273"/>
    <col min="8449" max="8449" width="1.44140625" style="273" customWidth="1"/>
    <col min="8450" max="8450" width="57.88671875" style="273" customWidth="1"/>
    <col min="8451" max="8451" width="5.88671875" style="273" customWidth="1"/>
    <col min="8452" max="8452" width="12.33203125" style="273" customWidth="1"/>
    <col min="8453" max="8453" width="17.88671875" style="273" customWidth="1"/>
    <col min="8454" max="8472" width="12.33203125" style="273" customWidth="1"/>
    <col min="8473" max="8473" width="16.77734375" style="273" customWidth="1"/>
    <col min="8474" max="8474" width="15.6640625" style="273" customWidth="1"/>
    <col min="8475" max="8475" width="17" style="273" customWidth="1"/>
    <col min="8476" max="8476" width="15.44140625" style="273" customWidth="1"/>
    <col min="8477" max="8477" width="10.77734375" style="273" customWidth="1"/>
    <col min="8478" max="8478" width="11" style="273" customWidth="1"/>
    <col min="8479" max="8491" width="10.77734375" style="273" customWidth="1"/>
    <col min="8492" max="8704" width="9.44140625" style="273"/>
    <col min="8705" max="8705" width="1.44140625" style="273" customWidth="1"/>
    <col min="8706" max="8706" width="57.88671875" style="273" customWidth="1"/>
    <col min="8707" max="8707" width="5.88671875" style="273" customWidth="1"/>
    <col min="8708" max="8708" width="12.33203125" style="273" customWidth="1"/>
    <col min="8709" max="8709" width="17.88671875" style="273" customWidth="1"/>
    <col min="8710" max="8728" width="12.33203125" style="273" customWidth="1"/>
    <col min="8729" max="8729" width="16.77734375" style="273" customWidth="1"/>
    <col min="8730" max="8730" width="15.6640625" style="273" customWidth="1"/>
    <col min="8731" max="8731" width="17" style="273" customWidth="1"/>
    <col min="8732" max="8732" width="15.44140625" style="273" customWidth="1"/>
    <col min="8733" max="8733" width="10.77734375" style="273" customWidth="1"/>
    <col min="8734" max="8734" width="11" style="273" customWidth="1"/>
    <col min="8735" max="8747" width="10.77734375" style="273" customWidth="1"/>
    <col min="8748" max="8960" width="9.44140625" style="273"/>
    <col min="8961" max="8961" width="1.44140625" style="273" customWidth="1"/>
    <col min="8962" max="8962" width="57.88671875" style="273" customWidth="1"/>
    <col min="8963" max="8963" width="5.88671875" style="273" customWidth="1"/>
    <col min="8964" max="8964" width="12.33203125" style="273" customWidth="1"/>
    <col min="8965" max="8965" width="17.88671875" style="273" customWidth="1"/>
    <col min="8966" max="8984" width="12.33203125" style="273" customWidth="1"/>
    <col min="8985" max="8985" width="16.77734375" style="273" customWidth="1"/>
    <col min="8986" max="8986" width="15.6640625" style="273" customWidth="1"/>
    <col min="8987" max="8987" width="17" style="273" customWidth="1"/>
    <col min="8988" max="8988" width="15.44140625" style="273" customWidth="1"/>
    <col min="8989" max="8989" width="10.77734375" style="273" customWidth="1"/>
    <col min="8990" max="8990" width="11" style="273" customWidth="1"/>
    <col min="8991" max="9003" width="10.77734375" style="273" customWidth="1"/>
    <col min="9004" max="9216" width="9.44140625" style="273"/>
    <col min="9217" max="9217" width="1.44140625" style="273" customWidth="1"/>
    <col min="9218" max="9218" width="57.88671875" style="273" customWidth="1"/>
    <col min="9219" max="9219" width="5.88671875" style="273" customWidth="1"/>
    <col min="9220" max="9220" width="12.33203125" style="273" customWidth="1"/>
    <col min="9221" max="9221" width="17.88671875" style="273" customWidth="1"/>
    <col min="9222" max="9240" width="12.33203125" style="273" customWidth="1"/>
    <col min="9241" max="9241" width="16.77734375" style="273" customWidth="1"/>
    <col min="9242" max="9242" width="15.6640625" style="273" customWidth="1"/>
    <col min="9243" max="9243" width="17" style="273" customWidth="1"/>
    <col min="9244" max="9244" width="15.44140625" style="273" customWidth="1"/>
    <col min="9245" max="9245" width="10.77734375" style="273" customWidth="1"/>
    <col min="9246" max="9246" width="11" style="273" customWidth="1"/>
    <col min="9247" max="9259" width="10.77734375" style="273" customWidth="1"/>
    <col min="9260" max="9472" width="9.44140625" style="273"/>
    <col min="9473" max="9473" width="1.44140625" style="273" customWidth="1"/>
    <col min="9474" max="9474" width="57.88671875" style="273" customWidth="1"/>
    <col min="9475" max="9475" width="5.88671875" style="273" customWidth="1"/>
    <col min="9476" max="9476" width="12.33203125" style="273" customWidth="1"/>
    <col min="9477" max="9477" width="17.88671875" style="273" customWidth="1"/>
    <col min="9478" max="9496" width="12.33203125" style="273" customWidth="1"/>
    <col min="9497" max="9497" width="16.77734375" style="273" customWidth="1"/>
    <col min="9498" max="9498" width="15.6640625" style="273" customWidth="1"/>
    <col min="9499" max="9499" width="17" style="273" customWidth="1"/>
    <col min="9500" max="9500" width="15.44140625" style="273" customWidth="1"/>
    <col min="9501" max="9501" width="10.77734375" style="273" customWidth="1"/>
    <col min="9502" max="9502" width="11" style="273" customWidth="1"/>
    <col min="9503" max="9515" width="10.77734375" style="273" customWidth="1"/>
    <col min="9516" max="9728" width="9.44140625" style="273"/>
    <col min="9729" max="9729" width="1.44140625" style="273" customWidth="1"/>
    <col min="9730" max="9730" width="57.88671875" style="273" customWidth="1"/>
    <col min="9731" max="9731" width="5.88671875" style="273" customWidth="1"/>
    <col min="9732" max="9732" width="12.33203125" style="273" customWidth="1"/>
    <col min="9733" max="9733" width="17.88671875" style="273" customWidth="1"/>
    <col min="9734" max="9752" width="12.33203125" style="273" customWidth="1"/>
    <col min="9753" max="9753" width="16.77734375" style="273" customWidth="1"/>
    <col min="9754" max="9754" width="15.6640625" style="273" customWidth="1"/>
    <col min="9755" max="9755" width="17" style="273" customWidth="1"/>
    <col min="9756" max="9756" width="15.44140625" style="273" customWidth="1"/>
    <col min="9757" max="9757" width="10.77734375" style="273" customWidth="1"/>
    <col min="9758" max="9758" width="11" style="273" customWidth="1"/>
    <col min="9759" max="9771" width="10.77734375" style="273" customWidth="1"/>
    <col min="9772" max="9984" width="9.44140625" style="273"/>
    <col min="9985" max="9985" width="1.44140625" style="273" customWidth="1"/>
    <col min="9986" max="9986" width="57.88671875" style="273" customWidth="1"/>
    <col min="9987" max="9987" width="5.88671875" style="273" customWidth="1"/>
    <col min="9988" max="9988" width="12.33203125" style="273" customWidth="1"/>
    <col min="9989" max="9989" width="17.88671875" style="273" customWidth="1"/>
    <col min="9990" max="10008" width="12.33203125" style="273" customWidth="1"/>
    <col min="10009" max="10009" width="16.77734375" style="273" customWidth="1"/>
    <col min="10010" max="10010" width="15.6640625" style="273" customWidth="1"/>
    <col min="10011" max="10011" width="17" style="273" customWidth="1"/>
    <col min="10012" max="10012" width="15.44140625" style="273" customWidth="1"/>
    <col min="10013" max="10013" width="10.77734375" style="273" customWidth="1"/>
    <col min="10014" max="10014" width="11" style="273" customWidth="1"/>
    <col min="10015" max="10027" width="10.77734375" style="273" customWidth="1"/>
    <col min="10028" max="10240" width="9.44140625" style="273"/>
    <col min="10241" max="10241" width="1.44140625" style="273" customWidth="1"/>
    <col min="10242" max="10242" width="57.88671875" style="273" customWidth="1"/>
    <col min="10243" max="10243" width="5.88671875" style="273" customWidth="1"/>
    <col min="10244" max="10244" width="12.33203125" style="273" customWidth="1"/>
    <col min="10245" max="10245" width="17.88671875" style="273" customWidth="1"/>
    <col min="10246" max="10264" width="12.33203125" style="273" customWidth="1"/>
    <col min="10265" max="10265" width="16.77734375" style="273" customWidth="1"/>
    <col min="10266" max="10266" width="15.6640625" style="273" customWidth="1"/>
    <col min="10267" max="10267" width="17" style="273" customWidth="1"/>
    <col min="10268" max="10268" width="15.44140625" style="273" customWidth="1"/>
    <col min="10269" max="10269" width="10.77734375" style="273" customWidth="1"/>
    <col min="10270" max="10270" width="11" style="273" customWidth="1"/>
    <col min="10271" max="10283" width="10.77734375" style="273" customWidth="1"/>
    <col min="10284" max="10496" width="9.44140625" style="273"/>
    <col min="10497" max="10497" width="1.44140625" style="273" customWidth="1"/>
    <col min="10498" max="10498" width="57.88671875" style="273" customWidth="1"/>
    <col min="10499" max="10499" width="5.88671875" style="273" customWidth="1"/>
    <col min="10500" max="10500" width="12.33203125" style="273" customWidth="1"/>
    <col min="10501" max="10501" width="17.88671875" style="273" customWidth="1"/>
    <col min="10502" max="10520" width="12.33203125" style="273" customWidth="1"/>
    <col min="10521" max="10521" width="16.77734375" style="273" customWidth="1"/>
    <col min="10522" max="10522" width="15.6640625" style="273" customWidth="1"/>
    <col min="10523" max="10523" width="17" style="273" customWidth="1"/>
    <col min="10524" max="10524" width="15.44140625" style="273" customWidth="1"/>
    <col min="10525" max="10525" width="10.77734375" style="273" customWidth="1"/>
    <col min="10526" max="10526" width="11" style="273" customWidth="1"/>
    <col min="10527" max="10539" width="10.77734375" style="273" customWidth="1"/>
    <col min="10540" max="10752" width="9.44140625" style="273"/>
    <col min="10753" max="10753" width="1.44140625" style="273" customWidth="1"/>
    <col min="10754" max="10754" width="57.88671875" style="273" customWidth="1"/>
    <col min="10755" max="10755" width="5.88671875" style="273" customWidth="1"/>
    <col min="10756" max="10756" width="12.33203125" style="273" customWidth="1"/>
    <col min="10757" max="10757" width="17.88671875" style="273" customWidth="1"/>
    <col min="10758" max="10776" width="12.33203125" style="273" customWidth="1"/>
    <col min="10777" max="10777" width="16.77734375" style="273" customWidth="1"/>
    <col min="10778" max="10778" width="15.6640625" style="273" customWidth="1"/>
    <col min="10779" max="10779" width="17" style="273" customWidth="1"/>
    <col min="10780" max="10780" width="15.44140625" style="273" customWidth="1"/>
    <col min="10781" max="10781" width="10.77734375" style="273" customWidth="1"/>
    <col min="10782" max="10782" width="11" style="273" customWidth="1"/>
    <col min="10783" max="10795" width="10.77734375" style="273" customWidth="1"/>
    <col min="10796" max="11008" width="9.44140625" style="273"/>
    <col min="11009" max="11009" width="1.44140625" style="273" customWidth="1"/>
    <col min="11010" max="11010" width="57.88671875" style="273" customWidth="1"/>
    <col min="11011" max="11011" width="5.88671875" style="273" customWidth="1"/>
    <col min="11012" max="11012" width="12.33203125" style="273" customWidth="1"/>
    <col min="11013" max="11013" width="17.88671875" style="273" customWidth="1"/>
    <col min="11014" max="11032" width="12.33203125" style="273" customWidth="1"/>
    <col min="11033" max="11033" width="16.77734375" style="273" customWidth="1"/>
    <col min="11034" max="11034" width="15.6640625" style="273" customWidth="1"/>
    <col min="11035" max="11035" width="17" style="273" customWidth="1"/>
    <col min="11036" max="11036" width="15.44140625" style="273" customWidth="1"/>
    <col min="11037" max="11037" width="10.77734375" style="273" customWidth="1"/>
    <col min="11038" max="11038" width="11" style="273" customWidth="1"/>
    <col min="11039" max="11051" width="10.77734375" style="273" customWidth="1"/>
    <col min="11052" max="11264" width="9.44140625" style="273"/>
    <col min="11265" max="11265" width="1.44140625" style="273" customWidth="1"/>
    <col min="11266" max="11266" width="57.88671875" style="273" customWidth="1"/>
    <col min="11267" max="11267" width="5.88671875" style="273" customWidth="1"/>
    <col min="11268" max="11268" width="12.33203125" style="273" customWidth="1"/>
    <col min="11269" max="11269" width="17.88671875" style="273" customWidth="1"/>
    <col min="11270" max="11288" width="12.33203125" style="273" customWidth="1"/>
    <col min="11289" max="11289" width="16.77734375" style="273" customWidth="1"/>
    <col min="11290" max="11290" width="15.6640625" style="273" customWidth="1"/>
    <col min="11291" max="11291" width="17" style="273" customWidth="1"/>
    <col min="11292" max="11292" width="15.44140625" style="273" customWidth="1"/>
    <col min="11293" max="11293" width="10.77734375" style="273" customWidth="1"/>
    <col min="11294" max="11294" width="11" style="273" customWidth="1"/>
    <col min="11295" max="11307" width="10.77734375" style="273" customWidth="1"/>
    <col min="11308" max="11520" width="9.44140625" style="273"/>
    <col min="11521" max="11521" width="1.44140625" style="273" customWidth="1"/>
    <col min="11522" max="11522" width="57.88671875" style="273" customWidth="1"/>
    <col min="11523" max="11523" width="5.88671875" style="273" customWidth="1"/>
    <col min="11524" max="11524" width="12.33203125" style="273" customWidth="1"/>
    <col min="11525" max="11525" width="17.88671875" style="273" customWidth="1"/>
    <col min="11526" max="11544" width="12.33203125" style="273" customWidth="1"/>
    <col min="11545" max="11545" width="16.77734375" style="273" customWidth="1"/>
    <col min="11546" max="11546" width="15.6640625" style="273" customWidth="1"/>
    <col min="11547" max="11547" width="17" style="273" customWidth="1"/>
    <col min="11548" max="11548" width="15.44140625" style="273" customWidth="1"/>
    <col min="11549" max="11549" width="10.77734375" style="273" customWidth="1"/>
    <col min="11550" max="11550" width="11" style="273" customWidth="1"/>
    <col min="11551" max="11563" width="10.77734375" style="273" customWidth="1"/>
    <col min="11564" max="11776" width="9.44140625" style="273"/>
    <col min="11777" max="11777" width="1.44140625" style="273" customWidth="1"/>
    <col min="11778" max="11778" width="57.88671875" style="273" customWidth="1"/>
    <col min="11779" max="11779" width="5.88671875" style="273" customWidth="1"/>
    <col min="11780" max="11780" width="12.33203125" style="273" customWidth="1"/>
    <col min="11781" max="11781" width="17.88671875" style="273" customWidth="1"/>
    <col min="11782" max="11800" width="12.33203125" style="273" customWidth="1"/>
    <col min="11801" max="11801" width="16.77734375" style="273" customWidth="1"/>
    <col min="11802" max="11802" width="15.6640625" style="273" customWidth="1"/>
    <col min="11803" max="11803" width="17" style="273" customWidth="1"/>
    <col min="11804" max="11804" width="15.44140625" style="273" customWidth="1"/>
    <col min="11805" max="11805" width="10.77734375" style="273" customWidth="1"/>
    <col min="11806" max="11806" width="11" style="273" customWidth="1"/>
    <col min="11807" max="11819" width="10.77734375" style="273" customWidth="1"/>
    <col min="11820" max="12032" width="9.44140625" style="273"/>
    <col min="12033" max="12033" width="1.44140625" style="273" customWidth="1"/>
    <col min="12034" max="12034" width="57.88671875" style="273" customWidth="1"/>
    <col min="12035" max="12035" width="5.88671875" style="273" customWidth="1"/>
    <col min="12036" max="12036" width="12.33203125" style="273" customWidth="1"/>
    <col min="12037" max="12037" width="17.88671875" style="273" customWidth="1"/>
    <col min="12038" max="12056" width="12.33203125" style="273" customWidth="1"/>
    <col min="12057" max="12057" width="16.77734375" style="273" customWidth="1"/>
    <col min="12058" max="12058" width="15.6640625" style="273" customWidth="1"/>
    <col min="12059" max="12059" width="17" style="273" customWidth="1"/>
    <col min="12060" max="12060" width="15.44140625" style="273" customWidth="1"/>
    <col min="12061" max="12061" width="10.77734375" style="273" customWidth="1"/>
    <col min="12062" max="12062" width="11" style="273" customWidth="1"/>
    <col min="12063" max="12075" width="10.77734375" style="273" customWidth="1"/>
    <col min="12076" max="12288" width="9.44140625" style="273"/>
    <col min="12289" max="12289" width="1.44140625" style="273" customWidth="1"/>
    <col min="12290" max="12290" width="57.88671875" style="273" customWidth="1"/>
    <col min="12291" max="12291" width="5.88671875" style="273" customWidth="1"/>
    <col min="12292" max="12292" width="12.33203125" style="273" customWidth="1"/>
    <col min="12293" max="12293" width="17.88671875" style="273" customWidth="1"/>
    <col min="12294" max="12312" width="12.33203125" style="273" customWidth="1"/>
    <col min="12313" max="12313" width="16.77734375" style="273" customWidth="1"/>
    <col min="12314" max="12314" width="15.6640625" style="273" customWidth="1"/>
    <col min="12315" max="12315" width="17" style="273" customWidth="1"/>
    <col min="12316" max="12316" width="15.44140625" style="273" customWidth="1"/>
    <col min="12317" max="12317" width="10.77734375" style="273" customWidth="1"/>
    <col min="12318" max="12318" width="11" style="273" customWidth="1"/>
    <col min="12319" max="12331" width="10.77734375" style="273" customWidth="1"/>
    <col min="12332" max="12544" width="9.44140625" style="273"/>
    <col min="12545" max="12545" width="1.44140625" style="273" customWidth="1"/>
    <col min="12546" max="12546" width="57.88671875" style="273" customWidth="1"/>
    <col min="12547" max="12547" width="5.88671875" style="273" customWidth="1"/>
    <col min="12548" max="12548" width="12.33203125" style="273" customWidth="1"/>
    <col min="12549" max="12549" width="17.88671875" style="273" customWidth="1"/>
    <col min="12550" max="12568" width="12.33203125" style="273" customWidth="1"/>
    <col min="12569" max="12569" width="16.77734375" style="273" customWidth="1"/>
    <col min="12570" max="12570" width="15.6640625" style="273" customWidth="1"/>
    <col min="12571" max="12571" width="17" style="273" customWidth="1"/>
    <col min="12572" max="12572" width="15.44140625" style="273" customWidth="1"/>
    <col min="12573" max="12573" width="10.77734375" style="273" customWidth="1"/>
    <col min="12574" max="12574" width="11" style="273" customWidth="1"/>
    <col min="12575" max="12587" width="10.77734375" style="273" customWidth="1"/>
    <col min="12588" max="12800" width="9.44140625" style="273"/>
    <col min="12801" max="12801" width="1.44140625" style="273" customWidth="1"/>
    <col min="12802" max="12802" width="57.88671875" style="273" customWidth="1"/>
    <col min="12803" max="12803" width="5.88671875" style="273" customWidth="1"/>
    <col min="12804" max="12804" width="12.33203125" style="273" customWidth="1"/>
    <col min="12805" max="12805" width="17.88671875" style="273" customWidth="1"/>
    <col min="12806" max="12824" width="12.33203125" style="273" customWidth="1"/>
    <col min="12825" max="12825" width="16.77734375" style="273" customWidth="1"/>
    <col min="12826" max="12826" width="15.6640625" style="273" customWidth="1"/>
    <col min="12827" max="12827" width="17" style="273" customWidth="1"/>
    <col min="12828" max="12828" width="15.44140625" style="273" customWidth="1"/>
    <col min="12829" max="12829" width="10.77734375" style="273" customWidth="1"/>
    <col min="12830" max="12830" width="11" style="273" customWidth="1"/>
    <col min="12831" max="12843" width="10.77734375" style="273" customWidth="1"/>
    <col min="12844" max="13056" width="9.44140625" style="273"/>
    <col min="13057" max="13057" width="1.44140625" style="273" customWidth="1"/>
    <col min="13058" max="13058" width="57.88671875" style="273" customWidth="1"/>
    <col min="13059" max="13059" width="5.88671875" style="273" customWidth="1"/>
    <col min="13060" max="13060" width="12.33203125" style="273" customWidth="1"/>
    <col min="13061" max="13061" width="17.88671875" style="273" customWidth="1"/>
    <col min="13062" max="13080" width="12.33203125" style="273" customWidth="1"/>
    <col min="13081" max="13081" width="16.77734375" style="273" customWidth="1"/>
    <col min="13082" max="13082" width="15.6640625" style="273" customWidth="1"/>
    <col min="13083" max="13083" width="17" style="273" customWidth="1"/>
    <col min="13084" max="13084" width="15.44140625" style="273" customWidth="1"/>
    <col min="13085" max="13085" width="10.77734375" style="273" customWidth="1"/>
    <col min="13086" max="13086" width="11" style="273" customWidth="1"/>
    <col min="13087" max="13099" width="10.77734375" style="273" customWidth="1"/>
    <col min="13100" max="13312" width="9.44140625" style="273"/>
    <col min="13313" max="13313" width="1.44140625" style="273" customWidth="1"/>
    <col min="13314" max="13314" width="57.88671875" style="273" customWidth="1"/>
    <col min="13315" max="13315" width="5.88671875" style="273" customWidth="1"/>
    <col min="13316" max="13316" width="12.33203125" style="273" customWidth="1"/>
    <col min="13317" max="13317" width="17.88671875" style="273" customWidth="1"/>
    <col min="13318" max="13336" width="12.33203125" style="273" customWidth="1"/>
    <col min="13337" max="13337" width="16.77734375" style="273" customWidth="1"/>
    <col min="13338" max="13338" width="15.6640625" style="273" customWidth="1"/>
    <col min="13339" max="13339" width="17" style="273" customWidth="1"/>
    <col min="13340" max="13340" width="15.44140625" style="273" customWidth="1"/>
    <col min="13341" max="13341" width="10.77734375" style="273" customWidth="1"/>
    <col min="13342" max="13342" width="11" style="273" customWidth="1"/>
    <col min="13343" max="13355" width="10.77734375" style="273" customWidth="1"/>
    <col min="13356" max="13568" width="9.44140625" style="273"/>
    <col min="13569" max="13569" width="1.44140625" style="273" customWidth="1"/>
    <col min="13570" max="13570" width="57.88671875" style="273" customWidth="1"/>
    <col min="13571" max="13571" width="5.88671875" style="273" customWidth="1"/>
    <col min="13572" max="13572" width="12.33203125" style="273" customWidth="1"/>
    <col min="13573" max="13573" width="17.88671875" style="273" customWidth="1"/>
    <col min="13574" max="13592" width="12.33203125" style="273" customWidth="1"/>
    <col min="13593" max="13593" width="16.77734375" style="273" customWidth="1"/>
    <col min="13594" max="13594" width="15.6640625" style="273" customWidth="1"/>
    <col min="13595" max="13595" width="17" style="273" customWidth="1"/>
    <col min="13596" max="13596" width="15.44140625" style="273" customWidth="1"/>
    <col min="13597" max="13597" width="10.77734375" style="273" customWidth="1"/>
    <col min="13598" max="13598" width="11" style="273" customWidth="1"/>
    <col min="13599" max="13611" width="10.77734375" style="273" customWidth="1"/>
    <col min="13612" max="13824" width="9.44140625" style="273"/>
    <col min="13825" max="13825" width="1.44140625" style="273" customWidth="1"/>
    <col min="13826" max="13826" width="57.88671875" style="273" customWidth="1"/>
    <col min="13827" max="13827" width="5.88671875" style="273" customWidth="1"/>
    <col min="13828" max="13828" width="12.33203125" style="273" customWidth="1"/>
    <col min="13829" max="13829" width="17.88671875" style="273" customWidth="1"/>
    <col min="13830" max="13848" width="12.33203125" style="273" customWidth="1"/>
    <col min="13849" max="13849" width="16.77734375" style="273" customWidth="1"/>
    <col min="13850" max="13850" width="15.6640625" style="273" customWidth="1"/>
    <col min="13851" max="13851" width="17" style="273" customWidth="1"/>
    <col min="13852" max="13852" width="15.44140625" style="273" customWidth="1"/>
    <col min="13853" max="13853" width="10.77734375" style="273" customWidth="1"/>
    <col min="13854" max="13854" width="11" style="273" customWidth="1"/>
    <col min="13855" max="13867" width="10.77734375" style="273" customWidth="1"/>
    <col min="13868" max="14080" width="9.44140625" style="273"/>
    <col min="14081" max="14081" width="1.44140625" style="273" customWidth="1"/>
    <col min="14082" max="14082" width="57.88671875" style="273" customWidth="1"/>
    <col min="14083" max="14083" width="5.88671875" style="273" customWidth="1"/>
    <col min="14084" max="14084" width="12.33203125" style="273" customWidth="1"/>
    <col min="14085" max="14085" width="17.88671875" style="273" customWidth="1"/>
    <col min="14086" max="14104" width="12.33203125" style="273" customWidth="1"/>
    <col min="14105" max="14105" width="16.77734375" style="273" customWidth="1"/>
    <col min="14106" max="14106" width="15.6640625" style="273" customWidth="1"/>
    <col min="14107" max="14107" width="17" style="273" customWidth="1"/>
    <col min="14108" max="14108" width="15.44140625" style="273" customWidth="1"/>
    <col min="14109" max="14109" width="10.77734375" style="273" customWidth="1"/>
    <col min="14110" max="14110" width="11" style="273" customWidth="1"/>
    <col min="14111" max="14123" width="10.77734375" style="273" customWidth="1"/>
    <col min="14124" max="14336" width="9.44140625" style="273"/>
    <col min="14337" max="14337" width="1.44140625" style="273" customWidth="1"/>
    <col min="14338" max="14338" width="57.88671875" style="273" customWidth="1"/>
    <col min="14339" max="14339" width="5.88671875" style="273" customWidth="1"/>
    <col min="14340" max="14340" width="12.33203125" style="273" customWidth="1"/>
    <col min="14341" max="14341" width="17.88671875" style="273" customWidth="1"/>
    <col min="14342" max="14360" width="12.33203125" style="273" customWidth="1"/>
    <col min="14361" max="14361" width="16.77734375" style="273" customWidth="1"/>
    <col min="14362" max="14362" width="15.6640625" style="273" customWidth="1"/>
    <col min="14363" max="14363" width="17" style="273" customWidth="1"/>
    <col min="14364" max="14364" width="15.44140625" style="273" customWidth="1"/>
    <col min="14365" max="14365" width="10.77734375" style="273" customWidth="1"/>
    <col min="14366" max="14366" width="11" style="273" customWidth="1"/>
    <col min="14367" max="14379" width="10.77734375" style="273" customWidth="1"/>
    <col min="14380" max="14592" width="9.44140625" style="273"/>
    <col min="14593" max="14593" width="1.44140625" style="273" customWidth="1"/>
    <col min="14594" max="14594" width="57.88671875" style="273" customWidth="1"/>
    <col min="14595" max="14595" width="5.88671875" style="273" customWidth="1"/>
    <col min="14596" max="14596" width="12.33203125" style="273" customWidth="1"/>
    <col min="14597" max="14597" width="17.88671875" style="273" customWidth="1"/>
    <col min="14598" max="14616" width="12.33203125" style="273" customWidth="1"/>
    <col min="14617" max="14617" width="16.77734375" style="273" customWidth="1"/>
    <col min="14618" max="14618" width="15.6640625" style="273" customWidth="1"/>
    <col min="14619" max="14619" width="17" style="273" customWidth="1"/>
    <col min="14620" max="14620" width="15.44140625" style="273" customWidth="1"/>
    <col min="14621" max="14621" width="10.77734375" style="273" customWidth="1"/>
    <col min="14622" max="14622" width="11" style="273" customWidth="1"/>
    <col min="14623" max="14635" width="10.77734375" style="273" customWidth="1"/>
    <col min="14636" max="14848" width="9.44140625" style="273"/>
    <col min="14849" max="14849" width="1.44140625" style="273" customWidth="1"/>
    <col min="14850" max="14850" width="57.88671875" style="273" customWidth="1"/>
    <col min="14851" max="14851" width="5.88671875" style="273" customWidth="1"/>
    <col min="14852" max="14852" width="12.33203125" style="273" customWidth="1"/>
    <col min="14853" max="14853" width="17.88671875" style="273" customWidth="1"/>
    <col min="14854" max="14872" width="12.33203125" style="273" customWidth="1"/>
    <col min="14873" max="14873" width="16.77734375" style="273" customWidth="1"/>
    <col min="14874" max="14874" width="15.6640625" style="273" customWidth="1"/>
    <col min="14875" max="14875" width="17" style="273" customWidth="1"/>
    <col min="14876" max="14876" width="15.44140625" style="273" customWidth="1"/>
    <col min="14877" max="14877" width="10.77734375" style="273" customWidth="1"/>
    <col min="14878" max="14878" width="11" style="273" customWidth="1"/>
    <col min="14879" max="14891" width="10.77734375" style="273" customWidth="1"/>
    <col min="14892" max="15104" width="9.44140625" style="273"/>
    <col min="15105" max="15105" width="1.44140625" style="273" customWidth="1"/>
    <col min="15106" max="15106" width="57.88671875" style="273" customWidth="1"/>
    <col min="15107" max="15107" width="5.88671875" style="273" customWidth="1"/>
    <col min="15108" max="15108" width="12.33203125" style="273" customWidth="1"/>
    <col min="15109" max="15109" width="17.88671875" style="273" customWidth="1"/>
    <col min="15110" max="15128" width="12.33203125" style="273" customWidth="1"/>
    <col min="15129" max="15129" width="16.77734375" style="273" customWidth="1"/>
    <col min="15130" max="15130" width="15.6640625" style="273" customWidth="1"/>
    <col min="15131" max="15131" width="17" style="273" customWidth="1"/>
    <col min="15132" max="15132" width="15.44140625" style="273" customWidth="1"/>
    <col min="15133" max="15133" width="10.77734375" style="273" customWidth="1"/>
    <col min="15134" max="15134" width="11" style="273" customWidth="1"/>
    <col min="15135" max="15147" width="10.77734375" style="273" customWidth="1"/>
    <col min="15148" max="15360" width="9.44140625" style="273"/>
    <col min="15361" max="15361" width="1.44140625" style="273" customWidth="1"/>
    <col min="15362" max="15362" width="57.88671875" style="273" customWidth="1"/>
    <col min="15363" max="15363" width="5.88671875" style="273" customWidth="1"/>
    <col min="15364" max="15364" width="12.33203125" style="273" customWidth="1"/>
    <col min="15365" max="15365" width="17.88671875" style="273" customWidth="1"/>
    <col min="15366" max="15384" width="12.33203125" style="273" customWidth="1"/>
    <col min="15385" max="15385" width="16.77734375" style="273" customWidth="1"/>
    <col min="15386" max="15386" width="15.6640625" style="273" customWidth="1"/>
    <col min="15387" max="15387" width="17" style="273" customWidth="1"/>
    <col min="15388" max="15388" width="15.44140625" style="273" customWidth="1"/>
    <col min="15389" max="15389" width="10.77734375" style="273" customWidth="1"/>
    <col min="15390" max="15390" width="11" style="273" customWidth="1"/>
    <col min="15391" max="15403" width="10.77734375" style="273" customWidth="1"/>
    <col min="15404" max="15616" width="9.44140625" style="273"/>
    <col min="15617" max="15617" width="1.44140625" style="273" customWidth="1"/>
    <col min="15618" max="15618" width="57.88671875" style="273" customWidth="1"/>
    <col min="15619" max="15619" width="5.88671875" style="273" customWidth="1"/>
    <col min="15620" max="15620" width="12.33203125" style="273" customWidth="1"/>
    <col min="15621" max="15621" width="17.88671875" style="273" customWidth="1"/>
    <col min="15622" max="15640" width="12.33203125" style="273" customWidth="1"/>
    <col min="15641" max="15641" width="16.77734375" style="273" customWidth="1"/>
    <col min="15642" max="15642" width="15.6640625" style="273" customWidth="1"/>
    <col min="15643" max="15643" width="17" style="273" customWidth="1"/>
    <col min="15644" max="15644" width="15.44140625" style="273" customWidth="1"/>
    <col min="15645" max="15645" width="10.77734375" style="273" customWidth="1"/>
    <col min="15646" max="15646" width="11" style="273" customWidth="1"/>
    <col min="15647" max="15659" width="10.77734375" style="273" customWidth="1"/>
    <col min="15660" max="15872" width="9.44140625" style="273"/>
    <col min="15873" max="15873" width="1.44140625" style="273" customWidth="1"/>
    <col min="15874" max="15874" width="57.88671875" style="273" customWidth="1"/>
    <col min="15875" max="15875" width="5.88671875" style="273" customWidth="1"/>
    <col min="15876" max="15876" width="12.33203125" style="273" customWidth="1"/>
    <col min="15877" max="15877" width="17.88671875" style="273" customWidth="1"/>
    <col min="15878" max="15896" width="12.33203125" style="273" customWidth="1"/>
    <col min="15897" max="15897" width="16.77734375" style="273" customWidth="1"/>
    <col min="15898" max="15898" width="15.6640625" style="273" customWidth="1"/>
    <col min="15899" max="15899" width="17" style="273" customWidth="1"/>
    <col min="15900" max="15900" width="15.44140625" style="273" customWidth="1"/>
    <col min="15901" max="15901" width="10.77734375" style="273" customWidth="1"/>
    <col min="15902" max="15902" width="11" style="273" customWidth="1"/>
    <col min="15903" max="15915" width="10.77734375" style="273" customWidth="1"/>
    <col min="15916" max="16128" width="9.44140625" style="273"/>
    <col min="16129" max="16129" width="1.44140625" style="273" customWidth="1"/>
    <col min="16130" max="16130" width="57.88671875" style="273" customWidth="1"/>
    <col min="16131" max="16131" width="5.88671875" style="273" customWidth="1"/>
    <col min="16132" max="16132" width="12.33203125" style="273" customWidth="1"/>
    <col min="16133" max="16133" width="17.88671875" style="273" customWidth="1"/>
    <col min="16134" max="16152" width="12.33203125" style="273" customWidth="1"/>
    <col min="16153" max="16153" width="16.77734375" style="273" customWidth="1"/>
    <col min="16154" max="16154" width="15.6640625" style="273" customWidth="1"/>
    <col min="16155" max="16155" width="17" style="273" customWidth="1"/>
    <col min="16156" max="16156" width="15.44140625" style="273" customWidth="1"/>
    <col min="16157" max="16157" width="10.77734375" style="273" customWidth="1"/>
    <col min="16158" max="16158" width="11" style="273" customWidth="1"/>
    <col min="16159" max="16171" width="10.77734375" style="273" customWidth="1"/>
    <col min="16172" max="16384" width="9.44140625" style="273"/>
  </cols>
  <sheetData>
    <row r="1" spans="1:43" ht="3" customHeight="1">
      <c r="A1" s="271"/>
      <c r="B1" s="271"/>
      <c r="C1" s="271"/>
      <c r="D1" s="272"/>
      <c r="E1" s="272"/>
      <c r="F1" s="272"/>
      <c r="G1" s="272"/>
      <c r="H1" s="272"/>
      <c r="I1" s="272"/>
      <c r="J1" s="272"/>
      <c r="K1" s="272"/>
      <c r="L1" s="272"/>
      <c r="M1" s="272"/>
      <c r="N1" s="272"/>
      <c r="O1" s="272"/>
      <c r="P1" s="272"/>
      <c r="Q1" s="272"/>
      <c r="R1" s="272"/>
      <c r="S1" s="272"/>
      <c r="T1" s="272"/>
      <c r="U1" s="272"/>
      <c r="V1" s="272"/>
      <c r="W1" s="272"/>
      <c r="X1" s="272"/>
      <c r="Y1" s="272"/>
      <c r="Z1" s="272"/>
      <c r="AA1" s="272"/>
      <c r="AB1" s="272"/>
      <c r="AC1" s="271"/>
      <c r="AD1" s="271"/>
      <c r="AE1" s="271"/>
      <c r="AF1" s="271"/>
      <c r="AG1" s="271"/>
      <c r="AH1" s="271"/>
      <c r="AI1" s="271"/>
      <c r="AJ1" s="271"/>
      <c r="AK1" s="271"/>
      <c r="AL1" s="271"/>
      <c r="AM1" s="271"/>
      <c r="AN1" s="271"/>
      <c r="AO1" s="271"/>
      <c r="AP1" s="271"/>
      <c r="AQ1" s="271"/>
    </row>
    <row r="2" spans="1:43" ht="24" customHeight="1">
      <c r="A2" s="271"/>
      <c r="B2" s="2542" t="s">
        <v>811</v>
      </c>
      <c r="C2" s="2543"/>
      <c r="D2" s="2544"/>
      <c r="E2" s="2544"/>
      <c r="F2" s="2544"/>
      <c r="G2" s="2544"/>
      <c r="H2" s="2544"/>
      <c r="I2" s="2544"/>
      <c r="J2" s="2544"/>
      <c r="K2" s="2544"/>
      <c r="L2" s="2544"/>
      <c r="M2" s="2544"/>
      <c r="N2" s="2544"/>
      <c r="O2" s="2544"/>
      <c r="P2" s="2544"/>
      <c r="Q2" s="2544"/>
      <c r="R2" s="2544"/>
      <c r="S2" s="2544"/>
      <c r="T2" s="2544"/>
      <c r="U2" s="2544"/>
      <c r="V2" s="2544"/>
      <c r="W2" s="2544"/>
      <c r="X2" s="2544"/>
      <c r="Y2" s="2544"/>
      <c r="Z2" s="2544"/>
      <c r="AA2" s="2544"/>
      <c r="AB2" s="2544"/>
      <c r="AC2" s="271"/>
      <c r="AD2" s="274"/>
      <c r="AE2" s="271"/>
      <c r="AF2" s="271"/>
      <c r="AG2" s="271"/>
      <c r="AH2" s="271"/>
      <c r="AI2" s="271"/>
      <c r="AJ2" s="271"/>
      <c r="AK2" s="271"/>
      <c r="AL2" s="271"/>
      <c r="AM2" s="271"/>
      <c r="AN2" s="271"/>
      <c r="AO2" s="271"/>
      <c r="AP2" s="271"/>
      <c r="AQ2" s="271"/>
    </row>
    <row r="3" spans="1:43" ht="18" customHeight="1">
      <c r="A3" s="271"/>
      <c r="B3" s="275"/>
      <c r="C3" s="276"/>
      <c r="D3" s="339"/>
      <c r="E3" s="339"/>
      <c r="F3" s="339"/>
      <c r="G3" s="339"/>
      <c r="H3" s="339"/>
      <c r="I3" s="339"/>
      <c r="J3" s="339"/>
      <c r="K3" s="339"/>
      <c r="L3" s="339"/>
      <c r="M3" s="339"/>
      <c r="N3" s="339"/>
      <c r="O3" s="339"/>
      <c r="P3" s="339"/>
      <c r="Q3" s="339"/>
      <c r="R3" s="339"/>
      <c r="S3" s="339"/>
      <c r="T3" s="339"/>
      <c r="U3" s="339"/>
      <c r="V3" s="339"/>
      <c r="W3" s="339"/>
      <c r="X3" s="339"/>
      <c r="Y3" s="339"/>
      <c r="Z3" s="339"/>
      <c r="AA3" s="339"/>
      <c r="AB3" s="339" t="s">
        <v>812</v>
      </c>
      <c r="AC3" s="271"/>
      <c r="AD3" s="274"/>
      <c r="AE3" s="271"/>
      <c r="AF3" s="271"/>
      <c r="AG3" s="271"/>
      <c r="AH3" s="271"/>
      <c r="AI3" s="271"/>
      <c r="AJ3" s="271"/>
      <c r="AK3" s="271"/>
      <c r="AL3" s="271"/>
      <c r="AM3" s="271"/>
      <c r="AN3" s="271"/>
      <c r="AO3" s="271"/>
      <c r="AP3" s="271"/>
      <c r="AQ3" s="271"/>
    </row>
    <row r="4" spans="1:43" ht="18" customHeight="1">
      <c r="A4" s="271"/>
      <c r="B4" s="278" t="s">
        <v>813</v>
      </c>
      <c r="C4" s="2545" t="s">
        <v>1081</v>
      </c>
      <c r="D4" s="2546"/>
      <c r="E4" s="2546"/>
      <c r="F4" s="2546"/>
      <c r="G4" s="2546"/>
      <c r="H4" s="2546"/>
      <c r="I4" s="2546"/>
      <c r="J4" s="2546"/>
      <c r="K4" s="2546"/>
      <c r="L4" s="2546"/>
      <c r="M4" s="2546"/>
      <c r="N4" s="2546"/>
      <c r="O4" s="2546"/>
      <c r="P4" s="2546"/>
      <c r="Q4" s="2546"/>
      <c r="R4" s="2546"/>
      <c r="S4" s="2546"/>
      <c r="T4" s="2546"/>
      <c r="U4" s="2546"/>
      <c r="V4" s="2546"/>
      <c r="W4" s="2546"/>
      <c r="X4" s="2546"/>
      <c r="Y4" s="2546"/>
      <c r="Z4" s="2546"/>
      <c r="AA4" s="2546"/>
      <c r="AB4" s="339" t="s">
        <v>815</v>
      </c>
      <c r="AC4" s="271"/>
      <c r="AD4" s="274"/>
      <c r="AE4" s="271"/>
      <c r="AF4" s="271"/>
      <c r="AG4" s="271"/>
      <c r="AH4" s="271"/>
      <c r="AI4" s="271"/>
      <c r="AJ4" s="271"/>
      <c r="AK4" s="271"/>
      <c r="AL4" s="271"/>
      <c r="AM4" s="271"/>
      <c r="AN4" s="271"/>
      <c r="AO4" s="271"/>
      <c r="AP4" s="271"/>
      <c r="AQ4" s="271"/>
    </row>
    <row r="5" spans="1:43" ht="18" customHeight="1">
      <c r="A5" s="271"/>
      <c r="B5" s="2547" t="s">
        <v>445</v>
      </c>
      <c r="C5" s="2547" t="s">
        <v>816</v>
      </c>
      <c r="D5" s="2547" t="s">
        <v>446</v>
      </c>
      <c r="E5" s="2547"/>
      <c r="F5" s="2547"/>
      <c r="G5" s="2547"/>
      <c r="H5" s="2541"/>
      <c r="I5" s="2541"/>
      <c r="J5" s="2541"/>
      <c r="K5" s="2541"/>
      <c r="L5" s="2541"/>
      <c r="M5" s="2541"/>
      <c r="N5" s="2541"/>
      <c r="O5" s="2541"/>
      <c r="P5" s="2547" t="s">
        <v>817</v>
      </c>
      <c r="Q5" s="2547" t="s">
        <v>818</v>
      </c>
      <c r="R5" s="2547"/>
      <c r="S5" s="2547"/>
      <c r="T5" s="2547"/>
      <c r="U5" s="2547"/>
      <c r="V5" s="2547"/>
      <c r="W5" s="2547"/>
      <c r="X5" s="2547"/>
      <c r="Y5" s="2547"/>
      <c r="Z5" s="2547"/>
      <c r="AA5" s="2541" t="s">
        <v>819</v>
      </c>
      <c r="AB5" s="2547" t="s">
        <v>820</v>
      </c>
      <c r="AC5" s="271"/>
      <c r="AD5" s="271"/>
      <c r="AE5" s="271"/>
      <c r="AF5" s="271"/>
      <c r="AG5" s="271"/>
      <c r="AH5" s="271"/>
      <c r="AI5" s="271"/>
      <c r="AJ5" s="271"/>
      <c r="AK5" s="271"/>
      <c r="AL5" s="271"/>
      <c r="AM5" s="271"/>
      <c r="AN5" s="271"/>
      <c r="AO5" s="271"/>
      <c r="AP5" s="271"/>
      <c r="AQ5" s="271"/>
    </row>
    <row r="6" spans="1:43" ht="19.5" customHeight="1">
      <c r="A6" s="271"/>
      <c r="B6" s="2548"/>
      <c r="C6" s="2548"/>
      <c r="D6" s="2547" t="s">
        <v>447</v>
      </c>
      <c r="E6" s="2547" t="s">
        <v>448</v>
      </c>
      <c r="F6" s="2547" t="s">
        <v>449</v>
      </c>
      <c r="G6" s="2547"/>
      <c r="H6" s="2541"/>
      <c r="I6" s="2541"/>
      <c r="J6" s="2541"/>
      <c r="K6" s="2541"/>
      <c r="L6" s="2541" t="s">
        <v>450</v>
      </c>
      <c r="M6" s="2541" t="s">
        <v>451</v>
      </c>
      <c r="N6" s="2541" t="s">
        <v>452</v>
      </c>
      <c r="O6" s="2541" t="s">
        <v>453</v>
      </c>
      <c r="P6" s="2547"/>
      <c r="Q6" s="2547" t="s">
        <v>821</v>
      </c>
      <c r="R6" s="2553" t="s">
        <v>822</v>
      </c>
      <c r="S6" s="2547" t="s">
        <v>823</v>
      </c>
      <c r="T6" s="2547" t="s">
        <v>824</v>
      </c>
      <c r="U6" s="2547" t="s">
        <v>825</v>
      </c>
      <c r="V6" s="2547" t="s">
        <v>826</v>
      </c>
      <c r="W6" s="2541" t="s">
        <v>827</v>
      </c>
      <c r="X6" s="2547" t="s">
        <v>64</v>
      </c>
      <c r="Y6" s="2553" t="s">
        <v>828</v>
      </c>
      <c r="Z6" s="2547" t="s">
        <v>453</v>
      </c>
      <c r="AA6" s="2550"/>
      <c r="AB6" s="2550"/>
      <c r="AC6" s="271"/>
      <c r="AD6" s="271"/>
      <c r="AE6" s="271"/>
      <c r="AF6" s="271"/>
      <c r="AG6" s="271"/>
      <c r="AH6" s="271"/>
      <c r="AI6" s="271"/>
      <c r="AJ6" s="271"/>
      <c r="AK6" s="271"/>
      <c r="AL6" s="271"/>
      <c r="AM6" s="271"/>
      <c r="AN6" s="271"/>
      <c r="AO6" s="271"/>
      <c r="AP6" s="271"/>
      <c r="AQ6" s="271"/>
    </row>
    <row r="7" spans="1:43" ht="47.25" customHeight="1">
      <c r="A7" s="271"/>
      <c r="B7" s="2549" t="s">
        <v>445</v>
      </c>
      <c r="C7" s="2549" t="s">
        <v>816</v>
      </c>
      <c r="D7" s="2548" t="s">
        <v>447</v>
      </c>
      <c r="E7" s="2551"/>
      <c r="F7" s="337" t="s">
        <v>454</v>
      </c>
      <c r="G7" s="337" t="s">
        <v>455</v>
      </c>
      <c r="H7" s="336" t="s">
        <v>456</v>
      </c>
      <c r="I7" s="336" t="s">
        <v>457</v>
      </c>
      <c r="J7" s="336" t="s">
        <v>64</v>
      </c>
      <c r="K7" s="338" t="s">
        <v>458</v>
      </c>
      <c r="L7" s="2541" t="s">
        <v>459</v>
      </c>
      <c r="M7" s="2541" t="s">
        <v>460</v>
      </c>
      <c r="N7" s="2541" t="s">
        <v>461</v>
      </c>
      <c r="O7" s="2541"/>
      <c r="P7" s="2547" t="s">
        <v>829</v>
      </c>
      <c r="Q7" s="2547" t="s">
        <v>830</v>
      </c>
      <c r="R7" s="2547" t="s">
        <v>831</v>
      </c>
      <c r="S7" s="2547" t="s">
        <v>832</v>
      </c>
      <c r="T7" s="2547" t="s">
        <v>833</v>
      </c>
      <c r="U7" s="2547" t="s">
        <v>834</v>
      </c>
      <c r="V7" s="2547" t="s">
        <v>835</v>
      </c>
      <c r="W7" s="2547" t="s">
        <v>836</v>
      </c>
      <c r="X7" s="2552" t="s">
        <v>837</v>
      </c>
      <c r="Y7" s="2553"/>
      <c r="Z7" s="2552" t="s">
        <v>838</v>
      </c>
      <c r="AA7" s="2548" t="s">
        <v>819</v>
      </c>
      <c r="AB7" s="2548" t="s">
        <v>820</v>
      </c>
      <c r="AC7" s="271"/>
      <c r="AD7" s="279"/>
      <c r="AE7" s="271"/>
      <c r="AF7" s="271"/>
      <c r="AG7" s="271"/>
      <c r="AH7" s="271"/>
      <c r="AI7" s="271"/>
      <c r="AJ7" s="271"/>
      <c r="AK7" s="271"/>
      <c r="AL7" s="271"/>
      <c r="AM7" s="271"/>
      <c r="AN7" s="271"/>
      <c r="AO7" s="271"/>
      <c r="AP7" s="271"/>
      <c r="AQ7" s="271"/>
    </row>
    <row r="8" spans="1:43" ht="18" customHeight="1">
      <c r="A8" s="271"/>
      <c r="B8" s="322" t="s">
        <v>462</v>
      </c>
      <c r="C8" s="323" t="s">
        <v>839</v>
      </c>
      <c r="D8" s="324">
        <v>26903.281941547699</v>
      </c>
      <c r="E8" s="324">
        <v>-5270.8849335012001</v>
      </c>
      <c r="F8" s="324">
        <v>576.09534491480008</v>
      </c>
      <c r="G8" s="324">
        <v>88.86657766399999</v>
      </c>
      <c r="H8" s="324"/>
      <c r="I8" s="324"/>
      <c r="J8" s="324"/>
      <c r="K8" s="324">
        <v>-0.55601710039999996</v>
      </c>
      <c r="L8" s="324">
        <v>39.257619058800003</v>
      </c>
      <c r="M8" s="324">
        <v>1.2090991180999999</v>
      </c>
      <c r="N8" s="324">
        <v>-646.91654663370002</v>
      </c>
      <c r="O8" s="324">
        <v>21690.353085068102</v>
      </c>
      <c r="P8" s="324">
        <v>228.19166697430001</v>
      </c>
      <c r="Q8" s="324">
        <v>689.19764893570004</v>
      </c>
      <c r="R8" s="324">
        <v>682.9289256106</v>
      </c>
      <c r="S8" s="324">
        <v>203.42133325099999</v>
      </c>
      <c r="T8" s="324">
        <v>373.49884346179999</v>
      </c>
      <c r="U8" s="324">
        <v>150.28297215379999</v>
      </c>
      <c r="V8" s="324">
        <v>61.250060591199997</v>
      </c>
      <c r="W8" s="324">
        <v>73.394219703399997</v>
      </c>
      <c r="X8" s="324">
        <v>73.24956977890001</v>
      </c>
      <c r="Y8" s="324">
        <v>-39.541518962300003</v>
      </c>
      <c r="Z8" s="324">
        <v>2267.6820545240998</v>
      </c>
      <c r="AA8" s="324">
        <v>-949.6995088307001</v>
      </c>
      <c r="AB8" s="324">
        <v>23236.520329014904</v>
      </c>
      <c r="AC8" s="271"/>
      <c r="AD8" s="274"/>
      <c r="AE8" s="271"/>
      <c r="AF8" s="271"/>
      <c r="AG8" s="271"/>
      <c r="AH8" s="271"/>
      <c r="AI8" s="271"/>
      <c r="AJ8" s="271"/>
      <c r="AK8" s="271"/>
      <c r="AL8" s="271"/>
      <c r="AM8" s="271"/>
      <c r="AN8" s="271"/>
      <c r="AO8" s="271"/>
      <c r="AP8" s="271"/>
      <c r="AQ8" s="271"/>
    </row>
    <row r="9" spans="1:43" ht="18" customHeight="1">
      <c r="A9" s="271"/>
      <c r="B9" s="325" t="s">
        <v>463</v>
      </c>
      <c r="C9" s="323" t="s">
        <v>840</v>
      </c>
      <c r="D9" s="324">
        <v>26903.281941547699</v>
      </c>
      <c r="E9" s="324">
        <v>-5270.8849335012001</v>
      </c>
      <c r="F9" s="324">
        <v>576.09534491480008</v>
      </c>
      <c r="G9" s="324">
        <v>88.86657766399999</v>
      </c>
      <c r="H9" s="324"/>
      <c r="I9" s="324"/>
      <c r="J9" s="324"/>
      <c r="K9" s="324">
        <v>-0.55601710039999996</v>
      </c>
      <c r="L9" s="324">
        <v>39.257619058800003</v>
      </c>
      <c r="M9" s="324">
        <v>1.2090991180999999</v>
      </c>
      <c r="N9" s="324">
        <v>-646.91654663370002</v>
      </c>
      <c r="O9" s="324">
        <v>21690.353085068102</v>
      </c>
      <c r="P9" s="324">
        <v>9.7630826741999996</v>
      </c>
      <c r="Q9" s="324">
        <v>689.19764893570004</v>
      </c>
      <c r="R9" s="324">
        <v>682.9289256106</v>
      </c>
      <c r="S9" s="324">
        <v>203.42133325099999</v>
      </c>
      <c r="T9" s="324">
        <v>373.49884346179999</v>
      </c>
      <c r="U9" s="324">
        <v>150.28297215379999</v>
      </c>
      <c r="V9" s="324">
        <v>61.250060591199997</v>
      </c>
      <c r="W9" s="324">
        <v>73.394219703399997</v>
      </c>
      <c r="X9" s="324">
        <v>73.24956977890001</v>
      </c>
      <c r="Y9" s="324">
        <v>-39.541518962300003</v>
      </c>
      <c r="Z9" s="324">
        <v>2267.6820545240998</v>
      </c>
      <c r="AA9" s="324">
        <v>-863.89837354729991</v>
      </c>
      <c r="AB9" s="324">
        <v>23103.892879998199</v>
      </c>
      <c r="AC9" s="271"/>
      <c r="AD9" s="274"/>
      <c r="AE9" s="271"/>
      <c r="AF9" s="271"/>
      <c r="AG9" s="271"/>
      <c r="AH9" s="271"/>
      <c r="AI9" s="271"/>
      <c r="AJ9" s="271"/>
      <c r="AK9" s="271"/>
      <c r="AL9" s="271"/>
      <c r="AM9" s="271"/>
      <c r="AN9" s="271"/>
      <c r="AO9" s="271"/>
      <c r="AP9" s="271"/>
      <c r="AQ9" s="271"/>
    </row>
    <row r="10" spans="1:43" ht="18" customHeight="1">
      <c r="A10" s="271"/>
      <c r="B10" s="325" t="s">
        <v>464</v>
      </c>
      <c r="C10" s="323" t="s">
        <v>841</v>
      </c>
      <c r="D10" s="324">
        <v>28213.360768392798</v>
      </c>
      <c r="E10" s="324">
        <v>-5287.4968244351003</v>
      </c>
      <c r="F10" s="324">
        <v>565.08221765359997</v>
      </c>
      <c r="G10" s="324">
        <v>87.070583775200006</v>
      </c>
      <c r="H10" s="324"/>
      <c r="I10" s="324"/>
      <c r="J10" s="324"/>
      <c r="K10" s="324">
        <v>-0.50993868310000001</v>
      </c>
      <c r="L10" s="324">
        <v>38.193279713700001</v>
      </c>
      <c r="M10" s="324">
        <v>1.2090991180999999</v>
      </c>
      <c r="N10" s="324">
        <v>-640.27661185969998</v>
      </c>
      <c r="O10" s="324">
        <v>22976.632573675499</v>
      </c>
      <c r="P10" s="324">
        <v>8.6065213817999986</v>
      </c>
      <c r="Q10" s="324">
        <v>689.03706240330007</v>
      </c>
      <c r="R10" s="324">
        <v>675.46639641169998</v>
      </c>
      <c r="S10" s="324">
        <v>202.19822663490001</v>
      </c>
      <c r="T10" s="324">
        <v>370.84334297269999</v>
      </c>
      <c r="U10" s="324">
        <v>150.1387727412</v>
      </c>
      <c r="V10" s="324">
        <v>51.839444997900003</v>
      </c>
      <c r="W10" s="324">
        <v>73.328215337900005</v>
      </c>
      <c r="X10" s="324">
        <v>69.571692787900005</v>
      </c>
      <c r="Y10" s="324">
        <v>-37.505210268200003</v>
      </c>
      <c r="Z10" s="324">
        <v>2244.9179440192997</v>
      </c>
      <c r="AA10" s="324">
        <v>-861.89741252270005</v>
      </c>
      <c r="AB10" s="324">
        <v>24368.252657833</v>
      </c>
      <c r="AC10" s="271"/>
      <c r="AD10" s="271"/>
      <c r="AE10" s="271"/>
      <c r="AF10" s="271"/>
      <c r="AG10" s="271"/>
      <c r="AH10" s="271"/>
      <c r="AI10" s="271"/>
      <c r="AJ10" s="271"/>
      <c r="AK10" s="271"/>
      <c r="AL10" s="271"/>
      <c r="AM10" s="271"/>
      <c r="AN10" s="271"/>
      <c r="AO10" s="271"/>
      <c r="AP10" s="271"/>
      <c r="AQ10" s="271"/>
    </row>
    <row r="11" spans="1:43" ht="18" customHeight="1">
      <c r="A11" s="271"/>
      <c r="B11" s="325" t="s">
        <v>465</v>
      </c>
      <c r="C11" s="323" t="s">
        <v>842</v>
      </c>
      <c r="D11" s="324">
        <v>237.78870013900001</v>
      </c>
      <c r="E11" s="324">
        <v>-10.4283797554</v>
      </c>
      <c r="F11" s="324" t="s">
        <v>414</v>
      </c>
      <c r="G11" s="324" t="s">
        <v>414</v>
      </c>
      <c r="H11" s="324"/>
      <c r="I11" s="324"/>
      <c r="J11" s="324"/>
      <c r="K11" s="324" t="s">
        <v>414</v>
      </c>
      <c r="L11" s="324">
        <v>1.0319300000000001E-5</v>
      </c>
      <c r="M11" s="324" t="s">
        <v>414</v>
      </c>
      <c r="N11" s="324">
        <v>0</v>
      </c>
      <c r="O11" s="324">
        <v>227.3603307029</v>
      </c>
      <c r="P11" s="324" t="s">
        <v>414</v>
      </c>
      <c r="Q11" s="324" t="s">
        <v>414</v>
      </c>
      <c r="R11" s="324" t="s">
        <v>414</v>
      </c>
      <c r="S11" s="324">
        <v>0</v>
      </c>
      <c r="T11" s="324" t="s">
        <v>414</v>
      </c>
      <c r="U11" s="324" t="s">
        <v>414</v>
      </c>
      <c r="V11" s="324" t="s">
        <v>414</v>
      </c>
      <c r="W11" s="324" t="s">
        <v>414</v>
      </c>
      <c r="X11" s="324" t="s">
        <v>414</v>
      </c>
      <c r="Y11" s="324" t="s">
        <v>414</v>
      </c>
      <c r="Z11" s="324">
        <v>0</v>
      </c>
      <c r="AA11" s="324">
        <v>0</v>
      </c>
      <c r="AB11" s="324">
        <v>227.42680264450001</v>
      </c>
      <c r="AC11" s="271"/>
      <c r="AD11" s="271"/>
      <c r="AE11" s="271"/>
      <c r="AF11" s="271"/>
      <c r="AG11" s="271"/>
      <c r="AH11" s="271"/>
      <c r="AI11" s="271"/>
      <c r="AJ11" s="271"/>
      <c r="AK11" s="271"/>
      <c r="AL11" s="271"/>
      <c r="AM11" s="271"/>
      <c r="AN11" s="271"/>
      <c r="AO11" s="271"/>
      <c r="AP11" s="271"/>
      <c r="AQ11" s="271"/>
    </row>
    <row r="12" spans="1:43" ht="18" customHeight="1">
      <c r="A12" s="271"/>
      <c r="B12" s="325" t="s">
        <v>466</v>
      </c>
      <c r="C12" s="323" t="s">
        <v>843</v>
      </c>
      <c r="D12" s="324">
        <v>242.58433146169997</v>
      </c>
      <c r="E12" s="324">
        <v>-4.5769615770999996</v>
      </c>
      <c r="F12" s="324" t="s">
        <v>414</v>
      </c>
      <c r="G12" s="324" t="s">
        <v>414</v>
      </c>
      <c r="H12" s="324"/>
      <c r="I12" s="324"/>
      <c r="J12" s="324"/>
      <c r="K12" s="324" t="s">
        <v>414</v>
      </c>
      <c r="L12" s="324">
        <v>0</v>
      </c>
      <c r="M12" s="324" t="s">
        <v>414</v>
      </c>
      <c r="N12" s="324">
        <v>0</v>
      </c>
      <c r="O12" s="324">
        <v>238.0073698846</v>
      </c>
      <c r="P12" s="324" t="s">
        <v>414</v>
      </c>
      <c r="Q12" s="324" t="s">
        <v>414</v>
      </c>
      <c r="R12" s="324" t="s">
        <v>414</v>
      </c>
      <c r="S12" s="324">
        <v>0</v>
      </c>
      <c r="T12" s="324" t="s">
        <v>414</v>
      </c>
      <c r="U12" s="324" t="s">
        <v>414</v>
      </c>
      <c r="V12" s="324" t="s">
        <v>414</v>
      </c>
      <c r="W12" s="324" t="s">
        <v>414</v>
      </c>
      <c r="X12" s="324" t="s">
        <v>414</v>
      </c>
      <c r="Y12" s="324" t="s">
        <v>414</v>
      </c>
      <c r="Z12" s="324">
        <v>0</v>
      </c>
      <c r="AA12" s="324">
        <v>0</v>
      </c>
      <c r="AB12" s="324">
        <v>237.97132386270002</v>
      </c>
      <c r="AC12" s="271"/>
      <c r="AD12" s="271"/>
      <c r="AE12" s="271"/>
      <c r="AF12" s="271"/>
      <c r="AG12" s="271"/>
      <c r="AH12" s="271"/>
      <c r="AI12" s="271"/>
      <c r="AJ12" s="271"/>
      <c r="AK12" s="271"/>
      <c r="AL12" s="271"/>
      <c r="AM12" s="271"/>
      <c r="AN12" s="271"/>
      <c r="AO12" s="271"/>
      <c r="AP12" s="271"/>
      <c r="AQ12" s="271"/>
    </row>
    <row r="13" spans="1:43" ht="18" customHeight="1">
      <c r="A13" s="271"/>
      <c r="B13" s="325" t="s">
        <v>467</v>
      </c>
      <c r="C13" s="323" t="s">
        <v>844</v>
      </c>
      <c r="D13" s="324">
        <v>217.412372377</v>
      </c>
      <c r="E13" s="324">
        <v>-3.7841116435000002</v>
      </c>
      <c r="F13" s="324" t="s">
        <v>414</v>
      </c>
      <c r="G13" s="324" t="s">
        <v>414</v>
      </c>
      <c r="H13" s="324"/>
      <c r="I13" s="324"/>
      <c r="J13" s="324"/>
      <c r="K13" s="324" t="s">
        <v>414</v>
      </c>
      <c r="L13" s="324">
        <v>0</v>
      </c>
      <c r="M13" s="324" t="s">
        <v>414</v>
      </c>
      <c r="N13" s="324">
        <v>0</v>
      </c>
      <c r="O13" s="324">
        <v>213.62826073349999</v>
      </c>
      <c r="P13" s="324" t="s">
        <v>414</v>
      </c>
      <c r="Q13" s="324" t="s">
        <v>414</v>
      </c>
      <c r="R13" s="324" t="s">
        <v>414</v>
      </c>
      <c r="S13" s="324">
        <v>0</v>
      </c>
      <c r="T13" s="324" t="s">
        <v>414</v>
      </c>
      <c r="U13" s="324" t="s">
        <v>414</v>
      </c>
      <c r="V13" s="324" t="s">
        <v>414</v>
      </c>
      <c r="W13" s="324" t="s">
        <v>414</v>
      </c>
      <c r="X13" s="324" t="s">
        <v>414</v>
      </c>
      <c r="Y13" s="324" t="s">
        <v>414</v>
      </c>
      <c r="Z13" s="324">
        <v>0</v>
      </c>
      <c r="AA13" s="324">
        <v>0</v>
      </c>
      <c r="AB13" s="324">
        <v>213.61354426520001</v>
      </c>
      <c r="AC13" s="271"/>
      <c r="AD13" s="271"/>
      <c r="AE13" s="271"/>
      <c r="AF13" s="271"/>
      <c r="AG13" s="271"/>
      <c r="AH13" s="271"/>
      <c r="AI13" s="271"/>
      <c r="AJ13" s="271"/>
      <c r="AK13" s="271"/>
      <c r="AL13" s="271"/>
      <c r="AM13" s="271"/>
      <c r="AN13" s="271"/>
      <c r="AO13" s="271"/>
      <c r="AP13" s="271"/>
      <c r="AQ13" s="271"/>
    </row>
    <row r="14" spans="1:43" ht="18" customHeight="1">
      <c r="A14" s="271"/>
      <c r="B14" s="325" t="s">
        <v>468</v>
      </c>
      <c r="C14" s="323" t="s">
        <v>845</v>
      </c>
      <c r="D14" s="324">
        <v>501.90971686109998</v>
      </c>
      <c r="E14" s="324">
        <v>-6.0140962759000001</v>
      </c>
      <c r="F14" s="324" t="s">
        <v>414</v>
      </c>
      <c r="G14" s="324" t="s">
        <v>414</v>
      </c>
      <c r="H14" s="324"/>
      <c r="I14" s="324"/>
      <c r="J14" s="324"/>
      <c r="K14" s="324" t="s">
        <v>414</v>
      </c>
      <c r="L14" s="324">
        <v>0</v>
      </c>
      <c r="M14" s="324" t="s">
        <v>414</v>
      </c>
      <c r="N14" s="324">
        <v>0</v>
      </c>
      <c r="O14" s="324">
        <v>495.89562058519999</v>
      </c>
      <c r="P14" s="324" t="s">
        <v>414</v>
      </c>
      <c r="Q14" s="324" t="s">
        <v>414</v>
      </c>
      <c r="R14" s="324" t="s">
        <v>414</v>
      </c>
      <c r="S14" s="324">
        <v>0</v>
      </c>
      <c r="T14" s="324" t="s">
        <v>414</v>
      </c>
      <c r="U14" s="324" t="s">
        <v>414</v>
      </c>
      <c r="V14" s="324" t="s">
        <v>414</v>
      </c>
      <c r="W14" s="324" t="s">
        <v>414</v>
      </c>
      <c r="X14" s="324" t="s">
        <v>414</v>
      </c>
      <c r="Y14" s="324" t="s">
        <v>414</v>
      </c>
      <c r="Z14" s="324">
        <v>0</v>
      </c>
      <c r="AA14" s="324">
        <v>0</v>
      </c>
      <c r="AB14" s="324">
        <v>495.89717547639998</v>
      </c>
      <c r="AC14" s="271"/>
      <c r="AD14" s="271"/>
      <c r="AE14" s="271"/>
      <c r="AF14" s="271"/>
      <c r="AG14" s="271"/>
      <c r="AH14" s="271"/>
      <c r="AI14" s="271"/>
      <c r="AJ14" s="271"/>
      <c r="AK14" s="271"/>
      <c r="AL14" s="271"/>
      <c r="AM14" s="271"/>
      <c r="AN14" s="271"/>
      <c r="AO14" s="271"/>
      <c r="AP14" s="271"/>
      <c r="AQ14" s="271"/>
    </row>
    <row r="15" spans="1:43" ht="18" customHeight="1">
      <c r="A15" s="271"/>
      <c r="B15" s="325" t="s">
        <v>469</v>
      </c>
      <c r="C15" s="323" t="s">
        <v>846</v>
      </c>
      <c r="D15" s="324">
        <v>3.0076972158999999</v>
      </c>
      <c r="E15" s="324">
        <v>0</v>
      </c>
      <c r="F15" s="324" t="s">
        <v>414</v>
      </c>
      <c r="G15" s="324" t="s">
        <v>414</v>
      </c>
      <c r="H15" s="324"/>
      <c r="I15" s="324"/>
      <c r="J15" s="324"/>
      <c r="K15" s="324" t="s">
        <v>414</v>
      </c>
      <c r="L15" s="324">
        <v>0</v>
      </c>
      <c r="M15" s="324" t="s">
        <v>414</v>
      </c>
      <c r="N15" s="324">
        <v>0</v>
      </c>
      <c r="O15" s="324">
        <v>3.0076972158999999</v>
      </c>
      <c r="P15" s="324" t="s">
        <v>414</v>
      </c>
      <c r="Q15" s="324" t="s">
        <v>414</v>
      </c>
      <c r="R15" s="324" t="s">
        <v>414</v>
      </c>
      <c r="S15" s="324">
        <v>0</v>
      </c>
      <c r="T15" s="324" t="s">
        <v>414</v>
      </c>
      <c r="U15" s="324" t="s">
        <v>414</v>
      </c>
      <c r="V15" s="324" t="s">
        <v>414</v>
      </c>
      <c r="W15" s="324" t="s">
        <v>414</v>
      </c>
      <c r="X15" s="324" t="s">
        <v>414</v>
      </c>
      <c r="Y15" s="324" t="s">
        <v>414</v>
      </c>
      <c r="Z15" s="324">
        <v>0</v>
      </c>
      <c r="AA15" s="324">
        <v>0</v>
      </c>
      <c r="AB15" s="324">
        <v>3.0076972158999999</v>
      </c>
      <c r="AC15" s="271"/>
      <c r="AD15" s="271"/>
      <c r="AE15" s="271"/>
      <c r="AF15" s="271"/>
      <c r="AG15" s="271"/>
      <c r="AH15" s="271"/>
      <c r="AI15" s="271"/>
      <c r="AJ15" s="271"/>
      <c r="AK15" s="271"/>
      <c r="AL15" s="271"/>
      <c r="AM15" s="271"/>
      <c r="AN15" s="271"/>
      <c r="AO15" s="271"/>
      <c r="AP15" s="271"/>
      <c r="AQ15" s="271"/>
    </row>
    <row r="16" spans="1:43" ht="18" customHeight="1">
      <c r="A16" s="271"/>
      <c r="B16" s="325" t="s">
        <v>470</v>
      </c>
      <c r="C16" s="323" t="s">
        <v>847</v>
      </c>
      <c r="D16" s="324">
        <v>69.782771285400003</v>
      </c>
      <c r="E16" s="324">
        <v>-4.0830304099999999E-2</v>
      </c>
      <c r="F16" s="324" t="s">
        <v>414</v>
      </c>
      <c r="G16" s="324" t="s">
        <v>414</v>
      </c>
      <c r="H16" s="324"/>
      <c r="I16" s="324"/>
      <c r="J16" s="324"/>
      <c r="K16" s="324" t="s">
        <v>414</v>
      </c>
      <c r="L16" s="324">
        <v>0</v>
      </c>
      <c r="M16" s="324" t="s">
        <v>414</v>
      </c>
      <c r="N16" s="324">
        <v>0</v>
      </c>
      <c r="O16" s="324">
        <v>69.741940981300004</v>
      </c>
      <c r="P16" s="324" t="s">
        <v>414</v>
      </c>
      <c r="Q16" s="324" t="s">
        <v>414</v>
      </c>
      <c r="R16" s="324" t="s">
        <v>414</v>
      </c>
      <c r="S16" s="324">
        <v>0</v>
      </c>
      <c r="T16" s="324" t="s">
        <v>414</v>
      </c>
      <c r="U16" s="324" t="s">
        <v>414</v>
      </c>
      <c r="V16" s="324" t="s">
        <v>414</v>
      </c>
      <c r="W16" s="324" t="s">
        <v>414</v>
      </c>
      <c r="X16" s="324" t="s">
        <v>414</v>
      </c>
      <c r="Y16" s="324" t="s">
        <v>414</v>
      </c>
      <c r="Z16" s="324">
        <v>0</v>
      </c>
      <c r="AA16" s="324">
        <v>0</v>
      </c>
      <c r="AB16" s="324">
        <v>69.697657760799999</v>
      </c>
      <c r="AC16" s="271"/>
      <c r="AD16" s="271"/>
      <c r="AE16" s="271"/>
      <c r="AF16" s="271"/>
      <c r="AG16" s="271"/>
      <c r="AH16" s="271"/>
      <c r="AI16" s="271"/>
      <c r="AJ16" s="271"/>
      <c r="AK16" s="271"/>
      <c r="AL16" s="271"/>
      <c r="AM16" s="271"/>
      <c r="AN16" s="271"/>
      <c r="AO16" s="271"/>
      <c r="AP16" s="271"/>
      <c r="AQ16" s="271"/>
    </row>
    <row r="17" spans="1:43" ht="18" customHeight="1">
      <c r="A17" s="271"/>
      <c r="B17" s="325" t="s">
        <v>471</v>
      </c>
      <c r="C17" s="323" t="s">
        <v>848</v>
      </c>
      <c r="D17" s="324">
        <v>1.738911273</v>
      </c>
      <c r="E17" s="324">
        <v>0</v>
      </c>
      <c r="F17" s="324" t="s">
        <v>414</v>
      </c>
      <c r="G17" s="324" t="s">
        <v>414</v>
      </c>
      <c r="H17" s="324"/>
      <c r="I17" s="324"/>
      <c r="J17" s="324"/>
      <c r="K17" s="324" t="s">
        <v>414</v>
      </c>
      <c r="L17" s="324">
        <v>0</v>
      </c>
      <c r="M17" s="324" t="s">
        <v>414</v>
      </c>
      <c r="N17" s="324">
        <v>0</v>
      </c>
      <c r="O17" s="324">
        <v>1.738911273</v>
      </c>
      <c r="P17" s="324" t="s">
        <v>414</v>
      </c>
      <c r="Q17" s="324" t="s">
        <v>414</v>
      </c>
      <c r="R17" s="324" t="s">
        <v>414</v>
      </c>
      <c r="S17" s="324">
        <v>0</v>
      </c>
      <c r="T17" s="324" t="s">
        <v>414</v>
      </c>
      <c r="U17" s="324" t="s">
        <v>414</v>
      </c>
      <c r="V17" s="324" t="s">
        <v>414</v>
      </c>
      <c r="W17" s="324" t="s">
        <v>414</v>
      </c>
      <c r="X17" s="324" t="s">
        <v>414</v>
      </c>
      <c r="Y17" s="324" t="s">
        <v>414</v>
      </c>
      <c r="Z17" s="324">
        <v>0</v>
      </c>
      <c r="AA17" s="324">
        <v>0</v>
      </c>
      <c r="AB17" s="324">
        <v>1.7389111181000001</v>
      </c>
      <c r="AC17" s="271"/>
      <c r="AD17" s="271"/>
      <c r="AE17" s="271"/>
      <c r="AF17" s="271"/>
      <c r="AG17" s="271"/>
      <c r="AH17" s="271"/>
      <c r="AI17" s="271"/>
      <c r="AJ17" s="271"/>
      <c r="AK17" s="271"/>
      <c r="AL17" s="271"/>
      <c r="AM17" s="271"/>
      <c r="AN17" s="271"/>
      <c r="AO17" s="271"/>
      <c r="AP17" s="271"/>
      <c r="AQ17" s="271"/>
    </row>
    <row r="18" spans="1:43" ht="18" customHeight="1">
      <c r="A18" s="271"/>
      <c r="B18" s="325" t="s">
        <v>472</v>
      </c>
      <c r="C18" s="323" t="s">
        <v>849</v>
      </c>
      <c r="D18" s="324">
        <v>26823.681855118102</v>
      </c>
      <c r="E18" s="324">
        <v>-5262.6524448790997</v>
      </c>
      <c r="F18" s="324">
        <v>564.97736976940007</v>
      </c>
      <c r="G18" s="324">
        <v>87.070583775200006</v>
      </c>
      <c r="H18" s="324"/>
      <c r="I18" s="324"/>
      <c r="J18" s="324"/>
      <c r="K18" s="324">
        <v>-0.50993868310000001</v>
      </c>
      <c r="L18" s="324">
        <v>38.193269394399998</v>
      </c>
      <c r="M18" s="324">
        <v>1.2090991180999999</v>
      </c>
      <c r="N18" s="324">
        <v>-640.27661185969998</v>
      </c>
      <c r="O18" s="324">
        <v>21611.6931817533</v>
      </c>
      <c r="P18" s="324">
        <v>8.6065213817999986</v>
      </c>
      <c r="Q18" s="324">
        <v>689.03706240330007</v>
      </c>
      <c r="R18" s="324">
        <v>675.46639641169998</v>
      </c>
      <c r="S18" s="324">
        <v>202.19822663490001</v>
      </c>
      <c r="T18" s="324">
        <v>370.84334297269999</v>
      </c>
      <c r="U18" s="324">
        <v>150.1387727412</v>
      </c>
      <c r="V18" s="324">
        <v>51.839444997900003</v>
      </c>
      <c r="W18" s="324">
        <v>73.328215337900005</v>
      </c>
      <c r="X18" s="324">
        <v>69.571692787900005</v>
      </c>
      <c r="Y18" s="324">
        <v>-37.505210268200003</v>
      </c>
      <c r="Z18" s="324">
        <v>2244.9179440192997</v>
      </c>
      <c r="AA18" s="324">
        <v>-861.89741252270005</v>
      </c>
      <c r="AB18" s="324">
        <v>23003.313265910801</v>
      </c>
      <c r="AC18" s="271"/>
      <c r="AD18" s="271"/>
      <c r="AE18" s="271"/>
      <c r="AF18" s="271"/>
      <c r="AG18" s="271"/>
      <c r="AH18" s="271"/>
      <c r="AI18" s="271"/>
      <c r="AJ18" s="271"/>
      <c r="AK18" s="271"/>
      <c r="AL18" s="271"/>
      <c r="AM18" s="271"/>
      <c r="AN18" s="271"/>
      <c r="AO18" s="271"/>
      <c r="AP18" s="271"/>
      <c r="AQ18" s="271"/>
    </row>
    <row r="19" spans="1:43" ht="18" customHeight="1">
      <c r="A19" s="271"/>
      <c r="B19" s="325" t="s">
        <v>473</v>
      </c>
      <c r="C19" s="323" t="s">
        <v>850</v>
      </c>
      <c r="D19" s="324">
        <v>24856.286074998599</v>
      </c>
      <c r="E19" s="324">
        <v>-4854.8291082589003</v>
      </c>
      <c r="F19" s="324" t="s">
        <v>414</v>
      </c>
      <c r="G19" s="324" t="s">
        <v>414</v>
      </c>
      <c r="H19" s="324"/>
      <c r="I19" s="324"/>
      <c r="J19" s="324"/>
      <c r="K19" s="324" t="s">
        <v>414</v>
      </c>
      <c r="L19" s="324">
        <v>35.972166813899996</v>
      </c>
      <c r="M19" s="324" t="s">
        <v>414</v>
      </c>
      <c r="N19" s="324">
        <v>-146.49664786399998</v>
      </c>
      <c r="O19" s="324">
        <v>19890.932485689598</v>
      </c>
      <c r="P19" s="324" t="s">
        <v>414</v>
      </c>
      <c r="Q19" s="324" t="s">
        <v>414</v>
      </c>
      <c r="R19" s="324" t="s">
        <v>414</v>
      </c>
      <c r="S19" s="324">
        <v>201.13099020229998</v>
      </c>
      <c r="T19" s="324" t="s">
        <v>414</v>
      </c>
      <c r="U19" s="324" t="s">
        <v>414</v>
      </c>
      <c r="V19" s="324" t="s">
        <v>414</v>
      </c>
      <c r="W19" s="324" t="s">
        <v>414</v>
      </c>
      <c r="X19" s="324" t="s">
        <v>414</v>
      </c>
      <c r="Y19" s="324" t="s">
        <v>414</v>
      </c>
      <c r="Z19" s="324">
        <v>201.13099020229998</v>
      </c>
      <c r="AA19" s="324">
        <v>-252.14406982259999</v>
      </c>
      <c r="AB19" s="324">
        <v>19844.401147480999</v>
      </c>
      <c r="AC19" s="271"/>
      <c r="AD19" s="271"/>
      <c r="AE19" s="271"/>
      <c r="AF19" s="271"/>
      <c r="AG19" s="271"/>
      <c r="AH19" s="271"/>
      <c r="AI19" s="271"/>
      <c r="AJ19" s="271"/>
      <c r="AK19" s="271"/>
      <c r="AL19" s="271"/>
      <c r="AM19" s="271"/>
      <c r="AN19" s="271"/>
      <c r="AO19" s="271"/>
      <c r="AP19" s="271"/>
      <c r="AQ19" s="271"/>
    </row>
    <row r="20" spans="1:43" ht="18" customHeight="1">
      <c r="A20" s="271"/>
      <c r="B20" s="325" t="s">
        <v>474</v>
      </c>
      <c r="C20" s="323" t="s">
        <v>851</v>
      </c>
      <c r="D20" s="324">
        <v>107.3323601706</v>
      </c>
      <c r="E20" s="324">
        <v>0</v>
      </c>
      <c r="F20" s="324" t="s">
        <v>414</v>
      </c>
      <c r="G20" s="324" t="s">
        <v>414</v>
      </c>
      <c r="H20" s="324"/>
      <c r="I20" s="324"/>
      <c r="J20" s="324"/>
      <c r="K20" s="324" t="s">
        <v>414</v>
      </c>
      <c r="L20" s="324">
        <v>0</v>
      </c>
      <c r="M20" s="324" t="s">
        <v>414</v>
      </c>
      <c r="N20" s="324">
        <v>0</v>
      </c>
      <c r="O20" s="324">
        <v>107.3323601706</v>
      </c>
      <c r="P20" s="324" t="s">
        <v>414</v>
      </c>
      <c r="Q20" s="324" t="s">
        <v>414</v>
      </c>
      <c r="R20" s="324" t="s">
        <v>414</v>
      </c>
      <c r="S20" s="324">
        <v>0</v>
      </c>
      <c r="T20" s="324" t="s">
        <v>414</v>
      </c>
      <c r="U20" s="324" t="s">
        <v>414</v>
      </c>
      <c r="V20" s="324" t="s">
        <v>414</v>
      </c>
      <c r="W20" s="324" t="s">
        <v>414</v>
      </c>
      <c r="X20" s="324" t="s">
        <v>414</v>
      </c>
      <c r="Y20" s="324" t="s">
        <v>414</v>
      </c>
      <c r="Z20" s="324">
        <v>0</v>
      </c>
      <c r="AA20" s="324">
        <v>0</v>
      </c>
      <c r="AB20" s="324">
        <v>107.3323601706</v>
      </c>
      <c r="AC20" s="271"/>
      <c r="AD20" s="271"/>
      <c r="AE20" s="271"/>
      <c r="AF20" s="271"/>
      <c r="AG20" s="271"/>
      <c r="AH20" s="271"/>
      <c r="AI20" s="271"/>
      <c r="AJ20" s="271"/>
      <c r="AK20" s="271"/>
      <c r="AL20" s="271"/>
      <c r="AM20" s="271"/>
      <c r="AN20" s="271"/>
      <c r="AO20" s="271"/>
      <c r="AP20" s="271"/>
      <c r="AQ20" s="271"/>
    </row>
    <row r="21" spans="1:43" ht="18" customHeight="1">
      <c r="A21" s="271"/>
      <c r="B21" s="326" t="s">
        <v>475</v>
      </c>
      <c r="C21" s="323" t="s">
        <v>852</v>
      </c>
      <c r="D21" s="324">
        <v>646.8000261226</v>
      </c>
      <c r="E21" s="324">
        <v>-1.4353291305000002</v>
      </c>
      <c r="F21" s="324" t="s">
        <v>414</v>
      </c>
      <c r="G21" s="324" t="s">
        <v>414</v>
      </c>
      <c r="H21" s="324"/>
      <c r="I21" s="324"/>
      <c r="J21" s="324"/>
      <c r="K21" s="324" t="s">
        <v>414</v>
      </c>
      <c r="L21" s="324">
        <v>0</v>
      </c>
      <c r="M21" s="324" t="s">
        <v>414</v>
      </c>
      <c r="N21" s="324">
        <v>0</v>
      </c>
      <c r="O21" s="324">
        <v>645.36469699209999</v>
      </c>
      <c r="P21" s="324" t="s">
        <v>414</v>
      </c>
      <c r="Q21" s="324" t="s">
        <v>414</v>
      </c>
      <c r="R21" s="324" t="s">
        <v>414</v>
      </c>
      <c r="S21" s="324">
        <v>0</v>
      </c>
      <c r="T21" s="324" t="s">
        <v>414</v>
      </c>
      <c r="U21" s="324" t="s">
        <v>414</v>
      </c>
      <c r="V21" s="324" t="s">
        <v>414</v>
      </c>
      <c r="W21" s="324" t="s">
        <v>414</v>
      </c>
      <c r="X21" s="324" t="s">
        <v>414</v>
      </c>
      <c r="Y21" s="324" t="s">
        <v>414</v>
      </c>
      <c r="Z21" s="324">
        <v>0</v>
      </c>
      <c r="AA21" s="324">
        <v>0</v>
      </c>
      <c r="AB21" s="324">
        <v>645.34064209489998</v>
      </c>
      <c r="AC21" s="271"/>
      <c r="AD21" s="271"/>
      <c r="AE21" s="271"/>
      <c r="AF21" s="271"/>
      <c r="AG21" s="271"/>
      <c r="AH21" s="271"/>
      <c r="AI21" s="271"/>
      <c r="AJ21" s="271"/>
      <c r="AK21" s="271"/>
      <c r="AL21" s="271"/>
      <c r="AM21" s="271"/>
      <c r="AN21" s="271"/>
      <c r="AO21" s="271"/>
      <c r="AP21" s="271"/>
      <c r="AQ21" s="271"/>
    </row>
    <row r="22" spans="1:43" ht="18" customHeight="1">
      <c r="A22" s="271"/>
      <c r="B22" s="326" t="s">
        <v>476</v>
      </c>
      <c r="C22" s="323" t="s">
        <v>853</v>
      </c>
      <c r="D22" s="324">
        <v>661.88390772039998</v>
      </c>
      <c r="E22" s="324">
        <v>1.1965179899999999E-2</v>
      </c>
      <c r="F22" s="324" t="s">
        <v>414</v>
      </c>
      <c r="G22" s="324" t="s">
        <v>414</v>
      </c>
      <c r="H22" s="324"/>
      <c r="I22" s="324"/>
      <c r="J22" s="324"/>
      <c r="K22" s="324" t="s">
        <v>414</v>
      </c>
      <c r="L22" s="324">
        <v>1.9880791667</v>
      </c>
      <c r="M22" s="324" t="s">
        <v>414</v>
      </c>
      <c r="N22" s="324">
        <v>1.790783129</v>
      </c>
      <c r="O22" s="324">
        <v>665.67473519600003</v>
      </c>
      <c r="P22" s="324" t="s">
        <v>414</v>
      </c>
      <c r="Q22" s="324" t="s">
        <v>414</v>
      </c>
      <c r="R22" s="324" t="s">
        <v>414</v>
      </c>
      <c r="S22" s="324">
        <v>0</v>
      </c>
      <c r="T22" s="324" t="s">
        <v>414</v>
      </c>
      <c r="U22" s="324" t="s">
        <v>414</v>
      </c>
      <c r="V22" s="324" t="s">
        <v>414</v>
      </c>
      <c r="W22" s="324" t="s">
        <v>414</v>
      </c>
      <c r="X22" s="324" t="s">
        <v>414</v>
      </c>
      <c r="Y22" s="324" t="s">
        <v>414</v>
      </c>
      <c r="Z22" s="324">
        <v>0</v>
      </c>
      <c r="AA22" s="324">
        <v>0</v>
      </c>
      <c r="AB22" s="324">
        <v>668.07729433290001</v>
      </c>
      <c r="AC22" s="271"/>
      <c r="AD22" s="271"/>
      <c r="AE22" s="271"/>
      <c r="AF22" s="271"/>
      <c r="AG22" s="271"/>
      <c r="AH22" s="271"/>
      <c r="AI22" s="271"/>
      <c r="AJ22" s="271"/>
      <c r="AK22" s="271"/>
      <c r="AL22" s="271"/>
      <c r="AM22" s="271"/>
      <c r="AN22" s="271"/>
      <c r="AO22" s="271"/>
      <c r="AP22" s="271"/>
      <c r="AQ22" s="271"/>
    </row>
    <row r="23" spans="1:43" ht="17.25" customHeight="1">
      <c r="A23" s="271"/>
      <c r="B23" s="326" t="s">
        <v>477</v>
      </c>
      <c r="C23" s="323" t="s">
        <v>854</v>
      </c>
      <c r="D23" s="324">
        <v>79.600086429599997</v>
      </c>
      <c r="E23" s="324">
        <v>-8.2324886221</v>
      </c>
      <c r="F23" s="324">
        <v>11.117975145399999</v>
      </c>
      <c r="G23" s="324">
        <v>1.7959938888</v>
      </c>
      <c r="H23" s="324"/>
      <c r="I23" s="324"/>
      <c r="J23" s="324"/>
      <c r="K23" s="324">
        <v>-4.6078417300000007E-2</v>
      </c>
      <c r="L23" s="324">
        <v>1.0643496643999999</v>
      </c>
      <c r="M23" s="324">
        <v>0</v>
      </c>
      <c r="N23" s="324">
        <v>-6.6399347739999994</v>
      </c>
      <c r="O23" s="324">
        <v>78.65990331479999</v>
      </c>
      <c r="P23" s="324">
        <v>1.1565612923999999</v>
      </c>
      <c r="Q23" s="324">
        <v>0.16058653240000001</v>
      </c>
      <c r="R23" s="324">
        <v>7.4625291988999995</v>
      </c>
      <c r="S23" s="324">
        <v>1.2231066160999999</v>
      </c>
      <c r="T23" s="324">
        <v>2.6555004891</v>
      </c>
      <c r="U23" s="324">
        <v>0.14419941259999999</v>
      </c>
      <c r="V23" s="324">
        <v>9.4106155933000011</v>
      </c>
      <c r="W23" s="324">
        <v>6.6004365499999995E-2</v>
      </c>
      <c r="X23" s="324">
        <v>3.6778769910000002</v>
      </c>
      <c r="Y23" s="324">
        <v>-2.0363086941000001</v>
      </c>
      <c r="Z23" s="324">
        <v>22.764110504800001</v>
      </c>
      <c r="AA23" s="324">
        <v>-2.0009610246</v>
      </c>
      <c r="AB23" s="324">
        <v>100.5796140874</v>
      </c>
      <c r="AC23" s="271"/>
      <c r="AD23" s="271"/>
      <c r="AE23" s="271"/>
      <c r="AF23" s="271"/>
      <c r="AG23" s="271"/>
      <c r="AH23" s="271"/>
      <c r="AI23" s="271"/>
      <c r="AJ23" s="271"/>
      <c r="AK23" s="271"/>
      <c r="AL23" s="271"/>
      <c r="AM23" s="271"/>
      <c r="AN23" s="271"/>
      <c r="AO23" s="271"/>
      <c r="AP23" s="271"/>
      <c r="AQ23" s="271"/>
    </row>
    <row r="24" spans="1:43" ht="18" customHeight="1">
      <c r="A24" s="271"/>
      <c r="B24" s="326" t="s">
        <v>478</v>
      </c>
      <c r="C24" s="323" t="s">
        <v>855</v>
      </c>
      <c r="D24" s="324">
        <v>0</v>
      </c>
      <c r="E24" s="324">
        <v>0</v>
      </c>
      <c r="F24" s="324">
        <v>0</v>
      </c>
      <c r="G24" s="324">
        <v>0</v>
      </c>
      <c r="H24" s="324"/>
      <c r="I24" s="324"/>
      <c r="J24" s="324"/>
      <c r="K24" s="324">
        <v>0</v>
      </c>
      <c r="L24" s="324">
        <v>0</v>
      </c>
      <c r="M24" s="324">
        <v>0</v>
      </c>
      <c r="N24" s="324">
        <v>0</v>
      </c>
      <c r="O24" s="324">
        <v>0</v>
      </c>
      <c r="P24" s="324">
        <v>87.950659032199994</v>
      </c>
      <c r="Q24" s="324">
        <v>0</v>
      </c>
      <c r="R24" s="324">
        <v>0</v>
      </c>
      <c r="S24" s="324">
        <v>0</v>
      </c>
      <c r="T24" s="324">
        <v>0</v>
      </c>
      <c r="U24" s="324">
        <v>0</v>
      </c>
      <c r="V24" s="324">
        <v>0</v>
      </c>
      <c r="W24" s="324">
        <v>0</v>
      </c>
      <c r="X24" s="324">
        <v>0</v>
      </c>
      <c r="Y24" s="324">
        <v>0</v>
      </c>
      <c r="Z24" s="324">
        <v>0</v>
      </c>
      <c r="AA24" s="324">
        <v>-52.970207221800003</v>
      </c>
      <c r="AB24" s="324">
        <v>34.980451810399998</v>
      </c>
      <c r="AC24" s="271"/>
      <c r="AD24" s="271"/>
      <c r="AE24" s="271"/>
      <c r="AF24" s="271"/>
      <c r="AG24" s="271"/>
      <c r="AH24" s="271"/>
      <c r="AI24" s="271"/>
      <c r="AJ24" s="271"/>
      <c r="AK24" s="271"/>
      <c r="AL24" s="271"/>
      <c r="AM24" s="271"/>
      <c r="AN24" s="271"/>
      <c r="AO24" s="271"/>
      <c r="AP24" s="271"/>
      <c r="AQ24" s="271"/>
    </row>
    <row r="25" spans="1:43" ht="18" customHeight="1">
      <c r="A25" s="271"/>
      <c r="B25" s="326" t="s">
        <v>479</v>
      </c>
      <c r="C25" s="323" t="s">
        <v>856</v>
      </c>
      <c r="D25" s="324">
        <v>0</v>
      </c>
      <c r="E25" s="324">
        <v>0</v>
      </c>
      <c r="F25" s="324">
        <v>0</v>
      </c>
      <c r="G25" s="324">
        <v>0</v>
      </c>
      <c r="H25" s="324"/>
      <c r="I25" s="324"/>
      <c r="J25" s="324"/>
      <c r="K25" s="324">
        <v>0</v>
      </c>
      <c r="L25" s="324">
        <v>0</v>
      </c>
      <c r="M25" s="324">
        <v>0</v>
      </c>
      <c r="N25" s="324">
        <v>0</v>
      </c>
      <c r="O25" s="324">
        <v>0</v>
      </c>
      <c r="P25" s="324">
        <v>114.21443621280001</v>
      </c>
      <c r="Q25" s="324">
        <v>0</v>
      </c>
      <c r="R25" s="324">
        <v>0</v>
      </c>
      <c r="S25" s="324">
        <v>0</v>
      </c>
      <c r="T25" s="324">
        <v>0</v>
      </c>
      <c r="U25" s="324">
        <v>0</v>
      </c>
      <c r="V25" s="324">
        <v>0</v>
      </c>
      <c r="W25" s="324">
        <v>0</v>
      </c>
      <c r="X25" s="324">
        <v>0</v>
      </c>
      <c r="Y25" s="324">
        <v>0</v>
      </c>
      <c r="Z25" s="324">
        <v>0</v>
      </c>
      <c r="AA25" s="324">
        <v>-29.196295477899998</v>
      </c>
      <c r="AB25" s="324">
        <v>85.018140734900001</v>
      </c>
      <c r="AC25" s="271"/>
      <c r="AD25" s="271"/>
      <c r="AE25" s="271"/>
      <c r="AF25" s="271"/>
      <c r="AG25" s="271"/>
      <c r="AH25" s="271"/>
      <c r="AI25" s="271"/>
      <c r="AJ25" s="271"/>
      <c r="AK25" s="271"/>
      <c r="AL25" s="271"/>
      <c r="AM25" s="271"/>
      <c r="AN25" s="271"/>
      <c r="AO25" s="271"/>
      <c r="AP25" s="271"/>
      <c r="AQ25" s="271"/>
    </row>
    <row r="26" spans="1:43" ht="18" customHeight="1">
      <c r="A26" s="271"/>
      <c r="B26" s="326" t="s">
        <v>480</v>
      </c>
      <c r="C26" s="323" t="s">
        <v>857</v>
      </c>
      <c r="D26" s="324">
        <v>0</v>
      </c>
      <c r="E26" s="324">
        <v>0</v>
      </c>
      <c r="F26" s="324">
        <v>0</v>
      </c>
      <c r="G26" s="324">
        <v>0</v>
      </c>
      <c r="H26" s="324"/>
      <c r="I26" s="324"/>
      <c r="J26" s="324"/>
      <c r="K26" s="324">
        <v>0</v>
      </c>
      <c r="L26" s="324">
        <v>0</v>
      </c>
      <c r="M26" s="324">
        <v>0</v>
      </c>
      <c r="N26" s="324">
        <v>0</v>
      </c>
      <c r="O26" s="324">
        <v>0</v>
      </c>
      <c r="P26" s="324">
        <v>15.919682288299999</v>
      </c>
      <c r="Q26" s="324">
        <v>0</v>
      </c>
      <c r="R26" s="324">
        <v>0</v>
      </c>
      <c r="S26" s="324">
        <v>0</v>
      </c>
      <c r="T26" s="324">
        <v>0</v>
      </c>
      <c r="U26" s="324">
        <v>0</v>
      </c>
      <c r="V26" s="324">
        <v>0</v>
      </c>
      <c r="W26" s="324">
        <v>0</v>
      </c>
      <c r="X26" s="324">
        <v>0</v>
      </c>
      <c r="Y26" s="324">
        <v>0</v>
      </c>
      <c r="Z26" s="324">
        <v>0</v>
      </c>
      <c r="AA26" s="324">
        <v>-3.6346325837000002</v>
      </c>
      <c r="AB26" s="324">
        <v>12.2850497046</v>
      </c>
      <c r="AC26" s="271"/>
      <c r="AD26" s="271"/>
      <c r="AE26" s="271"/>
      <c r="AF26" s="271"/>
      <c r="AG26" s="271"/>
      <c r="AH26" s="271"/>
      <c r="AI26" s="271"/>
      <c r="AJ26" s="271"/>
      <c r="AK26" s="271"/>
      <c r="AL26" s="271"/>
      <c r="AM26" s="271"/>
      <c r="AN26" s="271"/>
      <c r="AO26" s="271"/>
      <c r="AP26" s="271"/>
      <c r="AQ26" s="271"/>
    </row>
    <row r="27" spans="1:43" ht="18" customHeight="1">
      <c r="A27" s="271"/>
      <c r="B27" s="327" t="s">
        <v>44</v>
      </c>
      <c r="C27" s="323" t="s">
        <v>858</v>
      </c>
      <c r="D27" s="324">
        <v>26223.5970188662</v>
      </c>
      <c r="E27" s="324">
        <v>-5434.8406676039003</v>
      </c>
      <c r="F27" s="324">
        <v>654.90542898870001</v>
      </c>
      <c r="G27" s="324">
        <v>90.180304866900002</v>
      </c>
      <c r="H27" s="324"/>
      <c r="I27" s="324"/>
      <c r="J27" s="324"/>
      <c r="K27" s="324">
        <v>-0.55544904350000002</v>
      </c>
      <c r="L27" s="324">
        <v>29.447093345799999</v>
      </c>
      <c r="M27" s="324">
        <v>1.1818015693000001</v>
      </c>
      <c r="N27" s="324">
        <v>-501.95767729779999</v>
      </c>
      <c r="O27" s="324">
        <v>21061.9578536917</v>
      </c>
      <c r="P27" s="324">
        <v>205.47082132680001</v>
      </c>
      <c r="Q27" s="324">
        <v>674.89102186380001</v>
      </c>
      <c r="R27" s="324">
        <v>644.53499402540001</v>
      </c>
      <c r="S27" s="324">
        <v>178.44314883779998</v>
      </c>
      <c r="T27" s="324">
        <v>340.82784449119998</v>
      </c>
      <c r="U27" s="324">
        <v>131.42153414239999</v>
      </c>
      <c r="V27" s="324">
        <v>53.665625427499997</v>
      </c>
      <c r="W27" s="324">
        <v>62.791378720299996</v>
      </c>
      <c r="X27" s="324">
        <v>83.000876947600005</v>
      </c>
      <c r="Y27" s="324">
        <v>-50.485317161800005</v>
      </c>
      <c r="Z27" s="324">
        <v>2119.0911072942004</v>
      </c>
      <c r="AA27" s="324">
        <v>-918.17150496960005</v>
      </c>
      <c r="AB27" s="324">
        <v>22468.483269644501</v>
      </c>
      <c r="AC27" s="271"/>
      <c r="AD27" s="271"/>
      <c r="AE27" s="271"/>
      <c r="AF27" s="271"/>
      <c r="AG27" s="271"/>
      <c r="AH27" s="271"/>
      <c r="AI27" s="271"/>
      <c r="AJ27" s="271"/>
      <c r="AK27" s="271"/>
      <c r="AL27" s="271"/>
      <c r="AM27" s="271"/>
      <c r="AN27" s="271"/>
      <c r="AO27" s="271"/>
      <c r="AP27" s="271"/>
      <c r="AQ27" s="271"/>
    </row>
    <row r="28" spans="1:43" ht="18" customHeight="1">
      <c r="A28" s="271"/>
      <c r="B28" s="352" t="s">
        <v>481</v>
      </c>
      <c r="C28" s="353" t="s">
        <v>859</v>
      </c>
      <c r="D28" s="354">
        <v>25820.684702250001</v>
      </c>
      <c r="E28" s="354">
        <v>-5385.9407230622</v>
      </c>
      <c r="F28" s="354">
        <v>611.4210669414</v>
      </c>
      <c r="G28" s="354">
        <v>81.136934896</v>
      </c>
      <c r="H28" s="354"/>
      <c r="I28" s="354"/>
      <c r="J28" s="354"/>
      <c r="K28" s="354">
        <v>-0.44983153640000001</v>
      </c>
      <c r="L28" s="354">
        <v>25.488573078000002</v>
      </c>
      <c r="M28" s="354">
        <v>1.1746559937000001</v>
      </c>
      <c r="N28" s="354">
        <v>-515.10157515699996</v>
      </c>
      <c r="O28" s="354">
        <v>20638.413803403502</v>
      </c>
      <c r="P28" s="354">
        <v>7.6353067076999999</v>
      </c>
      <c r="Q28" s="354">
        <v>597.98157091639996</v>
      </c>
      <c r="R28" s="354">
        <v>534.41324372199995</v>
      </c>
      <c r="S28" s="354">
        <v>157.99058810860001</v>
      </c>
      <c r="T28" s="354">
        <v>270.22862319180001</v>
      </c>
      <c r="U28" s="354">
        <v>114.433310224</v>
      </c>
      <c r="V28" s="354">
        <v>46.8749621033</v>
      </c>
      <c r="W28" s="354">
        <v>57.449949674099997</v>
      </c>
      <c r="X28" s="354">
        <v>59.067915963000004</v>
      </c>
      <c r="Y28" s="354">
        <v>-46.809831574999997</v>
      </c>
      <c r="Z28" s="354">
        <v>1791.6303323282</v>
      </c>
      <c r="AA28" s="354">
        <v>-852.71329705869994</v>
      </c>
      <c r="AB28" s="354">
        <v>21584.959176659799</v>
      </c>
      <c r="AC28" s="271"/>
      <c r="AD28" s="271"/>
      <c r="AE28" s="271"/>
      <c r="AF28" s="271"/>
      <c r="AG28" s="271"/>
      <c r="AH28" s="271"/>
      <c r="AI28" s="271"/>
      <c r="AJ28" s="271"/>
      <c r="AK28" s="271"/>
      <c r="AL28" s="271"/>
      <c r="AM28" s="271"/>
      <c r="AN28" s="271"/>
      <c r="AO28" s="271"/>
      <c r="AP28" s="271"/>
      <c r="AQ28" s="271"/>
    </row>
    <row r="29" spans="1:43" ht="18" customHeight="1">
      <c r="A29" s="271"/>
      <c r="B29" s="326" t="s">
        <v>482</v>
      </c>
      <c r="C29" s="323" t="s">
        <v>860</v>
      </c>
      <c r="D29" s="324">
        <v>25768.1298943648</v>
      </c>
      <c r="E29" s="324">
        <v>-5382.3393821802001</v>
      </c>
      <c r="F29" s="324">
        <v>602.84954444410005</v>
      </c>
      <c r="G29" s="324">
        <v>80.442878324999995</v>
      </c>
      <c r="H29" s="324"/>
      <c r="I29" s="324"/>
      <c r="J29" s="324"/>
      <c r="K29" s="324">
        <v>-0.44795398920000001</v>
      </c>
      <c r="L29" s="324">
        <v>25.1760915678</v>
      </c>
      <c r="M29" s="324">
        <v>1.1746559937000001</v>
      </c>
      <c r="N29" s="324">
        <v>-511.73174274190001</v>
      </c>
      <c r="O29" s="324">
        <v>20583.2539857841</v>
      </c>
      <c r="P29" s="324">
        <v>7.2284682740999999</v>
      </c>
      <c r="Q29" s="324">
        <v>20.640634263800003</v>
      </c>
      <c r="R29" s="324">
        <v>529.66104719730004</v>
      </c>
      <c r="S29" s="324">
        <v>157.52045600450001</v>
      </c>
      <c r="T29" s="324">
        <v>265.97690781150004</v>
      </c>
      <c r="U29" s="324">
        <v>114.3989773495</v>
      </c>
      <c r="V29" s="324">
        <v>36.8930661176</v>
      </c>
      <c r="W29" s="324">
        <v>57.429208631400002</v>
      </c>
      <c r="X29" s="324">
        <v>634.48148143690003</v>
      </c>
      <c r="Y29" s="324">
        <v>-46.110448144199999</v>
      </c>
      <c r="Z29" s="324">
        <v>1770.8913306682998</v>
      </c>
      <c r="AA29" s="324">
        <v>-851.14332121940004</v>
      </c>
      <c r="AB29" s="324">
        <v>21510.223494786202</v>
      </c>
      <c r="AC29" s="271"/>
      <c r="AD29" s="271"/>
      <c r="AE29" s="271"/>
      <c r="AF29" s="271"/>
      <c r="AG29" s="271"/>
      <c r="AH29" s="271"/>
      <c r="AI29" s="271"/>
      <c r="AJ29" s="271"/>
      <c r="AK29" s="271"/>
      <c r="AL29" s="271"/>
      <c r="AM29" s="271"/>
      <c r="AN29" s="271"/>
      <c r="AO29" s="271"/>
      <c r="AP29" s="271"/>
      <c r="AQ29" s="271"/>
    </row>
    <row r="30" spans="1:43" ht="18" customHeight="1">
      <c r="A30" s="271"/>
      <c r="B30" s="325" t="s">
        <v>483</v>
      </c>
      <c r="C30" s="323" t="s">
        <v>861</v>
      </c>
      <c r="D30" s="324">
        <v>586.29684520490002</v>
      </c>
      <c r="E30" s="324">
        <v>-1.6164755625</v>
      </c>
      <c r="F30" s="324">
        <v>0</v>
      </c>
      <c r="G30" s="324">
        <v>0</v>
      </c>
      <c r="H30" s="324"/>
      <c r="I30" s="324"/>
      <c r="J30" s="324"/>
      <c r="K30" s="324">
        <v>0</v>
      </c>
      <c r="L30" s="324">
        <v>0</v>
      </c>
      <c r="M30" s="324">
        <v>0</v>
      </c>
      <c r="N30" s="324">
        <v>-0.13251764569999999</v>
      </c>
      <c r="O30" s="324">
        <v>584.54785199669993</v>
      </c>
      <c r="P30" s="324">
        <v>0</v>
      </c>
      <c r="Q30" s="324">
        <v>0</v>
      </c>
      <c r="R30" s="324">
        <v>0</v>
      </c>
      <c r="S30" s="324">
        <v>0</v>
      </c>
      <c r="T30" s="324">
        <v>0</v>
      </c>
      <c r="U30" s="324">
        <v>0</v>
      </c>
      <c r="V30" s="324">
        <v>0</v>
      </c>
      <c r="W30" s="324">
        <v>0</v>
      </c>
      <c r="X30" s="324">
        <v>0</v>
      </c>
      <c r="Y30" s="324">
        <v>0</v>
      </c>
      <c r="Z30" s="324">
        <v>0</v>
      </c>
      <c r="AA30" s="324">
        <v>0</v>
      </c>
      <c r="AB30" s="324">
        <v>584.54785199669993</v>
      </c>
      <c r="AC30" s="271"/>
      <c r="AD30" s="271"/>
      <c r="AE30" s="271"/>
      <c r="AF30" s="271"/>
      <c r="AG30" s="271"/>
      <c r="AH30" s="271"/>
      <c r="AI30" s="271"/>
      <c r="AJ30" s="271"/>
      <c r="AK30" s="271"/>
      <c r="AL30" s="271"/>
      <c r="AM30" s="271"/>
      <c r="AN30" s="271"/>
      <c r="AO30" s="271"/>
      <c r="AP30" s="271"/>
      <c r="AQ30" s="271"/>
    </row>
    <row r="31" spans="1:43" ht="18" customHeight="1">
      <c r="A31" s="271"/>
      <c r="B31" s="326" t="s">
        <v>484</v>
      </c>
      <c r="C31" s="323" t="s">
        <v>862</v>
      </c>
      <c r="D31" s="324">
        <v>52.461467669099996</v>
      </c>
      <c r="E31" s="324">
        <v>-3.6013408819999997</v>
      </c>
      <c r="F31" s="324">
        <v>8.5716244973000002</v>
      </c>
      <c r="G31" s="324">
        <v>0.69405657099999996</v>
      </c>
      <c r="H31" s="324"/>
      <c r="I31" s="324"/>
      <c r="J31" s="324"/>
      <c r="K31" s="324">
        <v>-1.8775472000000001E-3</v>
      </c>
      <c r="L31" s="324">
        <v>0.31248151019999998</v>
      </c>
      <c r="M31" s="324">
        <v>0</v>
      </c>
      <c r="N31" s="324">
        <v>-3.3698324150999999</v>
      </c>
      <c r="O31" s="324">
        <v>55.066579403299997</v>
      </c>
      <c r="P31" s="324">
        <v>0.40623466000000003</v>
      </c>
      <c r="Q31" s="324">
        <v>0.17922240850000001</v>
      </c>
      <c r="R31" s="324">
        <v>4.7521965247000004</v>
      </c>
      <c r="S31" s="324">
        <v>0.4700505586</v>
      </c>
      <c r="T31" s="324">
        <v>4.2517153802999994</v>
      </c>
      <c r="U31" s="324">
        <v>3.3729010199999999E-2</v>
      </c>
      <c r="V31" s="324">
        <v>9.9818959857000014</v>
      </c>
      <c r="W31" s="324">
        <v>2.07410427E-2</v>
      </c>
      <c r="X31" s="324">
        <v>1.7481487702</v>
      </c>
      <c r="Y31" s="324">
        <v>-0.69938343079999998</v>
      </c>
      <c r="Z31" s="324">
        <v>20.738316250099999</v>
      </c>
      <c r="AA31" s="324">
        <v>-1.5699758393000001</v>
      </c>
      <c r="AB31" s="324">
        <v>74.641154474099991</v>
      </c>
      <c r="AC31" s="271"/>
      <c r="AD31" s="271"/>
      <c r="AE31" s="271"/>
      <c r="AF31" s="271"/>
      <c r="AG31" s="271"/>
      <c r="AH31" s="271"/>
      <c r="AI31" s="271"/>
      <c r="AJ31" s="271"/>
      <c r="AK31" s="271"/>
      <c r="AL31" s="271"/>
      <c r="AM31" s="271"/>
      <c r="AN31" s="271"/>
      <c r="AO31" s="271"/>
      <c r="AP31" s="271"/>
      <c r="AQ31" s="271"/>
    </row>
    <row r="32" spans="1:43" ht="18" customHeight="1">
      <c r="A32" s="271"/>
      <c r="B32" s="326" t="s">
        <v>485</v>
      </c>
      <c r="C32" s="323" t="s">
        <v>863</v>
      </c>
      <c r="D32" s="324">
        <v>0</v>
      </c>
      <c r="E32" s="324">
        <v>0</v>
      </c>
      <c r="F32" s="324">
        <v>0</v>
      </c>
      <c r="G32" s="324">
        <v>0</v>
      </c>
      <c r="H32" s="324"/>
      <c r="I32" s="324"/>
      <c r="J32" s="324"/>
      <c r="K32" s="324">
        <v>0</v>
      </c>
      <c r="L32" s="324">
        <v>0</v>
      </c>
      <c r="M32" s="324">
        <v>0</v>
      </c>
      <c r="N32" s="324">
        <v>0</v>
      </c>
      <c r="O32" s="324">
        <v>0</v>
      </c>
      <c r="P32" s="324">
        <v>44.850604063299997</v>
      </c>
      <c r="Q32" s="324">
        <v>0</v>
      </c>
      <c r="R32" s="324">
        <v>0</v>
      </c>
      <c r="S32" s="324">
        <v>0</v>
      </c>
      <c r="T32" s="324">
        <v>0</v>
      </c>
      <c r="U32" s="324">
        <v>0</v>
      </c>
      <c r="V32" s="324">
        <v>0</v>
      </c>
      <c r="W32" s="324">
        <v>0</v>
      </c>
      <c r="X32" s="324">
        <v>0</v>
      </c>
      <c r="Y32" s="324">
        <v>0</v>
      </c>
      <c r="Z32" s="324">
        <v>0</v>
      </c>
      <c r="AA32" s="324">
        <v>-11.3388347314</v>
      </c>
      <c r="AB32" s="324">
        <v>33.511769331899998</v>
      </c>
      <c r="AC32" s="271"/>
      <c r="AD32" s="271"/>
      <c r="AE32" s="271"/>
      <c r="AF32" s="271"/>
      <c r="AG32" s="271"/>
      <c r="AH32" s="271"/>
      <c r="AI32" s="271"/>
      <c r="AJ32" s="271"/>
      <c r="AK32" s="271"/>
      <c r="AL32" s="271"/>
      <c r="AM32" s="271"/>
      <c r="AN32" s="271"/>
      <c r="AO32" s="271"/>
      <c r="AP32" s="271"/>
      <c r="AQ32" s="271"/>
    </row>
    <row r="33" spans="1:43" ht="18" customHeight="1">
      <c r="A33" s="271"/>
      <c r="B33" s="326" t="s">
        <v>486</v>
      </c>
      <c r="C33" s="323" t="s">
        <v>864</v>
      </c>
      <c r="D33" s="324">
        <v>0</v>
      </c>
      <c r="E33" s="324">
        <v>0</v>
      </c>
      <c r="F33" s="324">
        <v>0</v>
      </c>
      <c r="G33" s="324">
        <v>0</v>
      </c>
      <c r="H33" s="324"/>
      <c r="I33" s="324"/>
      <c r="J33" s="324"/>
      <c r="K33" s="324">
        <v>0</v>
      </c>
      <c r="L33" s="324">
        <v>0</v>
      </c>
      <c r="M33" s="324">
        <v>0</v>
      </c>
      <c r="N33" s="324">
        <v>0</v>
      </c>
      <c r="O33" s="324">
        <v>0</v>
      </c>
      <c r="P33" s="324">
        <v>16.4716247637</v>
      </c>
      <c r="Q33" s="324">
        <v>0</v>
      </c>
      <c r="R33" s="324">
        <v>0</v>
      </c>
      <c r="S33" s="324">
        <v>0</v>
      </c>
      <c r="T33" s="324">
        <v>0</v>
      </c>
      <c r="U33" s="324">
        <v>0</v>
      </c>
      <c r="V33" s="324">
        <v>0</v>
      </c>
      <c r="W33" s="324">
        <v>0</v>
      </c>
      <c r="X33" s="324">
        <v>0</v>
      </c>
      <c r="Y33" s="324">
        <v>0</v>
      </c>
      <c r="Z33" s="324">
        <v>0</v>
      </c>
      <c r="AA33" s="324">
        <v>0</v>
      </c>
      <c r="AB33" s="324">
        <v>16.4716247637</v>
      </c>
      <c r="AC33" s="271"/>
      <c r="AD33" s="271"/>
      <c r="AE33" s="271"/>
      <c r="AF33" s="271"/>
      <c r="AG33" s="271"/>
      <c r="AH33" s="271"/>
      <c r="AI33" s="271"/>
      <c r="AJ33" s="271"/>
      <c r="AK33" s="271"/>
      <c r="AL33" s="271"/>
      <c r="AM33" s="271"/>
      <c r="AN33" s="271"/>
      <c r="AO33" s="271"/>
      <c r="AP33" s="271"/>
      <c r="AQ33" s="271"/>
    </row>
    <row r="34" spans="1:43" ht="18" customHeight="1">
      <c r="A34" s="271"/>
      <c r="B34" s="326" t="s">
        <v>487</v>
      </c>
      <c r="C34" s="323" t="s">
        <v>865</v>
      </c>
      <c r="D34" s="324">
        <v>0</v>
      </c>
      <c r="E34" s="324">
        <v>0</v>
      </c>
      <c r="F34" s="324">
        <v>0</v>
      </c>
      <c r="G34" s="324">
        <v>0</v>
      </c>
      <c r="H34" s="324"/>
      <c r="I34" s="324"/>
      <c r="J34" s="324"/>
      <c r="K34" s="324">
        <v>0</v>
      </c>
      <c r="L34" s="324">
        <v>0</v>
      </c>
      <c r="M34" s="324">
        <v>0</v>
      </c>
      <c r="N34" s="324">
        <v>0</v>
      </c>
      <c r="O34" s="324">
        <v>0</v>
      </c>
      <c r="P34" s="324">
        <v>6.1948639885999999</v>
      </c>
      <c r="Q34" s="324">
        <v>0</v>
      </c>
      <c r="R34" s="324">
        <v>0</v>
      </c>
      <c r="S34" s="324">
        <v>0</v>
      </c>
      <c r="T34" s="324">
        <v>0</v>
      </c>
      <c r="U34" s="324">
        <v>0</v>
      </c>
      <c r="V34" s="324">
        <v>0</v>
      </c>
      <c r="W34" s="324">
        <v>0</v>
      </c>
      <c r="X34" s="324">
        <v>0</v>
      </c>
      <c r="Y34" s="324">
        <v>0</v>
      </c>
      <c r="Z34" s="324">
        <v>0</v>
      </c>
      <c r="AA34" s="324">
        <v>0</v>
      </c>
      <c r="AB34" s="324">
        <v>6.1948639885999999</v>
      </c>
      <c r="AC34" s="271"/>
      <c r="AD34" s="271"/>
      <c r="AE34" s="271"/>
      <c r="AF34" s="271"/>
      <c r="AG34" s="271"/>
      <c r="AH34" s="271"/>
      <c r="AI34" s="271"/>
      <c r="AJ34" s="271"/>
      <c r="AK34" s="271"/>
      <c r="AL34" s="271"/>
      <c r="AM34" s="271"/>
      <c r="AN34" s="271"/>
      <c r="AO34" s="271"/>
      <c r="AP34" s="271"/>
      <c r="AQ34" s="271"/>
    </row>
    <row r="35" spans="1:43" ht="18" customHeight="1">
      <c r="A35" s="271"/>
      <c r="B35" s="326" t="s">
        <v>488</v>
      </c>
      <c r="C35" s="323" t="s">
        <v>866</v>
      </c>
      <c r="D35" s="324">
        <v>0</v>
      </c>
      <c r="E35" s="324">
        <v>0</v>
      </c>
      <c r="F35" s="324">
        <v>0</v>
      </c>
      <c r="G35" s="324">
        <v>0</v>
      </c>
      <c r="H35" s="324"/>
      <c r="I35" s="324"/>
      <c r="J35" s="324"/>
      <c r="K35" s="324">
        <v>0</v>
      </c>
      <c r="L35" s="324">
        <v>0</v>
      </c>
      <c r="M35" s="324">
        <v>0</v>
      </c>
      <c r="N35" s="324">
        <v>0</v>
      </c>
      <c r="O35" s="324">
        <v>0</v>
      </c>
      <c r="P35" s="324">
        <v>44.1579863941</v>
      </c>
      <c r="Q35" s="324">
        <v>0</v>
      </c>
      <c r="R35" s="324">
        <v>0</v>
      </c>
      <c r="S35" s="324">
        <v>0</v>
      </c>
      <c r="T35" s="324">
        <v>0</v>
      </c>
      <c r="U35" s="324">
        <v>0</v>
      </c>
      <c r="V35" s="324">
        <v>0</v>
      </c>
      <c r="W35" s="324">
        <v>0</v>
      </c>
      <c r="X35" s="324">
        <v>0</v>
      </c>
      <c r="Y35" s="324">
        <v>0</v>
      </c>
      <c r="Z35" s="324">
        <v>0</v>
      </c>
      <c r="AA35" s="324">
        <v>-11.788326162899999</v>
      </c>
      <c r="AB35" s="324">
        <v>32.369660231200001</v>
      </c>
      <c r="AC35" s="271"/>
      <c r="AD35" s="271"/>
      <c r="AE35" s="271"/>
      <c r="AF35" s="271"/>
      <c r="AG35" s="271"/>
      <c r="AH35" s="271"/>
      <c r="AI35" s="271"/>
      <c r="AJ35" s="271"/>
      <c r="AK35" s="271"/>
      <c r="AL35" s="271"/>
      <c r="AM35" s="271"/>
      <c r="AN35" s="271"/>
      <c r="AO35" s="271"/>
      <c r="AP35" s="271"/>
      <c r="AQ35" s="271"/>
    </row>
    <row r="36" spans="1:43" ht="18" customHeight="1">
      <c r="A36" s="271"/>
      <c r="B36" s="326" t="s">
        <v>489</v>
      </c>
      <c r="C36" s="323" t="s">
        <v>867</v>
      </c>
      <c r="D36" s="324">
        <v>0</v>
      </c>
      <c r="E36" s="324">
        <v>0</v>
      </c>
      <c r="F36" s="324">
        <v>0</v>
      </c>
      <c r="G36" s="324">
        <v>0</v>
      </c>
      <c r="H36" s="324"/>
      <c r="I36" s="324"/>
      <c r="J36" s="324"/>
      <c r="K36" s="324">
        <v>0</v>
      </c>
      <c r="L36" s="324">
        <v>0</v>
      </c>
      <c r="M36" s="324">
        <v>0</v>
      </c>
      <c r="N36" s="324">
        <v>0</v>
      </c>
      <c r="O36" s="324">
        <v>0</v>
      </c>
      <c r="P36" s="324">
        <v>30.7024497112</v>
      </c>
      <c r="Q36" s="324">
        <v>0</v>
      </c>
      <c r="R36" s="324">
        <v>0</v>
      </c>
      <c r="S36" s="324">
        <v>0</v>
      </c>
      <c r="T36" s="324">
        <v>0</v>
      </c>
      <c r="U36" s="324">
        <v>0</v>
      </c>
      <c r="V36" s="324">
        <v>0</v>
      </c>
      <c r="W36" s="324">
        <v>0</v>
      </c>
      <c r="X36" s="324">
        <v>0</v>
      </c>
      <c r="Y36" s="324">
        <v>0</v>
      </c>
      <c r="Z36" s="324">
        <v>0</v>
      </c>
      <c r="AA36" s="324">
        <v>-4.6763469705</v>
      </c>
      <c r="AB36" s="324">
        <v>26.026102740700001</v>
      </c>
      <c r="AC36" s="271"/>
      <c r="AD36" s="271"/>
      <c r="AE36" s="271"/>
      <c r="AF36" s="271"/>
      <c r="AG36" s="271"/>
      <c r="AH36" s="271"/>
      <c r="AI36" s="271"/>
      <c r="AJ36" s="271"/>
      <c r="AK36" s="271"/>
      <c r="AL36" s="271"/>
      <c r="AM36" s="271"/>
      <c r="AN36" s="271"/>
      <c r="AO36" s="271"/>
      <c r="AP36" s="271"/>
      <c r="AQ36" s="271"/>
    </row>
    <row r="37" spans="1:43" ht="18" customHeight="1">
      <c r="A37" s="271"/>
      <c r="B37" s="326" t="s">
        <v>490</v>
      </c>
      <c r="C37" s="323" t="s">
        <v>868</v>
      </c>
      <c r="D37" s="324">
        <v>0</v>
      </c>
      <c r="E37" s="324">
        <v>0</v>
      </c>
      <c r="F37" s="324">
        <v>0</v>
      </c>
      <c r="G37" s="324">
        <v>0</v>
      </c>
      <c r="H37" s="324"/>
      <c r="I37" s="324"/>
      <c r="J37" s="324"/>
      <c r="K37" s="324">
        <v>0</v>
      </c>
      <c r="L37" s="324">
        <v>0</v>
      </c>
      <c r="M37" s="324">
        <v>0</v>
      </c>
      <c r="N37" s="324">
        <v>0</v>
      </c>
      <c r="O37" s="324">
        <v>0</v>
      </c>
      <c r="P37" s="324">
        <v>0.72619991110000004</v>
      </c>
      <c r="Q37" s="324">
        <v>0</v>
      </c>
      <c r="R37" s="324">
        <v>0</v>
      </c>
      <c r="S37" s="324">
        <v>0</v>
      </c>
      <c r="T37" s="324">
        <v>0</v>
      </c>
      <c r="U37" s="324">
        <v>0</v>
      </c>
      <c r="V37" s="324">
        <v>0</v>
      </c>
      <c r="W37" s="324">
        <v>0</v>
      </c>
      <c r="X37" s="324">
        <v>0</v>
      </c>
      <c r="Y37" s="324">
        <v>0</v>
      </c>
      <c r="Z37" s="324">
        <v>0</v>
      </c>
      <c r="AA37" s="324">
        <v>0</v>
      </c>
      <c r="AB37" s="324">
        <v>0.72619991110000004</v>
      </c>
      <c r="AC37" s="271"/>
      <c r="AD37" s="271"/>
      <c r="AE37" s="271"/>
      <c r="AF37" s="271"/>
      <c r="AG37" s="271"/>
      <c r="AH37" s="271"/>
      <c r="AI37" s="271"/>
      <c r="AJ37" s="271"/>
      <c r="AK37" s="271"/>
      <c r="AL37" s="271"/>
      <c r="AM37" s="271"/>
      <c r="AN37" s="271"/>
      <c r="AO37" s="271"/>
      <c r="AP37" s="271"/>
      <c r="AQ37" s="271"/>
    </row>
    <row r="38" spans="1:43" ht="18" customHeight="1">
      <c r="A38" s="271"/>
      <c r="B38" s="326" t="s">
        <v>491</v>
      </c>
      <c r="C38" s="323" t="s">
        <v>869</v>
      </c>
      <c r="D38" s="324">
        <v>0</v>
      </c>
      <c r="E38" s="324">
        <v>0</v>
      </c>
      <c r="F38" s="324">
        <v>0</v>
      </c>
      <c r="G38" s="324">
        <v>0</v>
      </c>
      <c r="H38" s="324"/>
      <c r="I38" s="324"/>
      <c r="J38" s="324"/>
      <c r="K38" s="324">
        <v>0</v>
      </c>
      <c r="L38" s="324">
        <v>0</v>
      </c>
      <c r="M38" s="324">
        <v>0</v>
      </c>
      <c r="N38" s="324">
        <v>0</v>
      </c>
      <c r="O38" s="324">
        <v>0</v>
      </c>
      <c r="P38" s="324">
        <v>-4.5810387267000001</v>
      </c>
      <c r="Q38" s="324">
        <v>0</v>
      </c>
      <c r="R38" s="324">
        <v>0</v>
      </c>
      <c r="S38" s="324">
        <v>0</v>
      </c>
      <c r="T38" s="324">
        <v>0</v>
      </c>
      <c r="U38" s="324">
        <v>0</v>
      </c>
      <c r="V38" s="324">
        <v>0</v>
      </c>
      <c r="W38" s="324">
        <v>0</v>
      </c>
      <c r="X38" s="324">
        <v>0</v>
      </c>
      <c r="Y38" s="324">
        <v>0</v>
      </c>
      <c r="Z38" s="324">
        <v>0</v>
      </c>
      <c r="AA38" s="324">
        <v>0</v>
      </c>
      <c r="AB38" s="324">
        <v>-4.5810387267000001</v>
      </c>
      <c r="AC38" s="271"/>
      <c r="AD38" s="271"/>
      <c r="AE38" s="271"/>
      <c r="AF38" s="271"/>
      <c r="AG38" s="271"/>
      <c r="AH38" s="271"/>
      <c r="AI38" s="271"/>
      <c r="AJ38" s="271"/>
      <c r="AK38" s="271"/>
      <c r="AL38" s="271"/>
      <c r="AM38" s="271"/>
      <c r="AN38" s="271"/>
      <c r="AO38" s="271"/>
      <c r="AP38" s="271"/>
      <c r="AQ38" s="271"/>
    </row>
    <row r="39" spans="1:43" ht="18" customHeight="1">
      <c r="A39" s="271"/>
      <c r="B39" s="326" t="s">
        <v>492</v>
      </c>
      <c r="C39" s="323" t="s">
        <v>870</v>
      </c>
      <c r="D39" s="324">
        <v>112.7600824701</v>
      </c>
      <c r="E39" s="324">
        <v>1.6052798700000002E-2</v>
      </c>
      <c r="F39" s="324">
        <v>3.8811242989999997</v>
      </c>
      <c r="G39" s="324">
        <v>0.63765954540000003</v>
      </c>
      <c r="H39" s="324"/>
      <c r="I39" s="324"/>
      <c r="J39" s="324"/>
      <c r="K39" s="324">
        <v>0</v>
      </c>
      <c r="L39" s="324">
        <v>0.80020986199999999</v>
      </c>
      <c r="M39" s="324">
        <v>1.40633797E-2</v>
      </c>
      <c r="N39" s="324">
        <v>2.8430453985000002</v>
      </c>
      <c r="O39" s="324">
        <v>120.9522377534</v>
      </c>
      <c r="P39" s="324">
        <v>1.6108870822999999</v>
      </c>
      <c r="Q39" s="324">
        <v>9.2838432990999991</v>
      </c>
      <c r="R39" s="324">
        <v>6.7308946824999998</v>
      </c>
      <c r="S39" s="324">
        <v>3.1305831255999998</v>
      </c>
      <c r="T39" s="324">
        <v>27.0593533286</v>
      </c>
      <c r="U39" s="324">
        <v>0.61802552229999996</v>
      </c>
      <c r="V39" s="324">
        <v>0.53180052389999999</v>
      </c>
      <c r="W39" s="324">
        <v>0.16362360539999998</v>
      </c>
      <c r="X39" s="324">
        <v>1.3855932678</v>
      </c>
      <c r="Y39" s="324">
        <v>0</v>
      </c>
      <c r="Z39" s="324">
        <v>48.903717355200001</v>
      </c>
      <c r="AA39" s="324">
        <v>0</v>
      </c>
      <c r="AB39" s="324">
        <v>171.4668421909</v>
      </c>
      <c r="AC39" s="271"/>
      <c r="AD39" s="271"/>
      <c r="AE39" s="271"/>
      <c r="AF39" s="271"/>
      <c r="AG39" s="271"/>
      <c r="AH39" s="271"/>
      <c r="AI39" s="271"/>
      <c r="AJ39" s="271"/>
      <c r="AK39" s="271"/>
      <c r="AL39" s="271"/>
      <c r="AM39" s="271"/>
      <c r="AN39" s="271"/>
      <c r="AO39" s="271"/>
      <c r="AP39" s="271"/>
      <c r="AQ39" s="271"/>
    </row>
    <row r="40" spans="1:43" ht="18" customHeight="1">
      <c r="A40" s="271"/>
      <c r="B40" s="326" t="s">
        <v>493</v>
      </c>
      <c r="C40" s="323" t="s">
        <v>871</v>
      </c>
      <c r="D40" s="324">
        <v>104.8428363506</v>
      </c>
      <c r="E40" s="324">
        <v>1.16462931E-2</v>
      </c>
      <c r="F40" s="324">
        <v>3.2297930327</v>
      </c>
      <c r="G40" s="324">
        <v>0.53402553200000002</v>
      </c>
      <c r="H40" s="324"/>
      <c r="I40" s="324"/>
      <c r="J40" s="324"/>
      <c r="K40" s="324">
        <v>0</v>
      </c>
      <c r="L40" s="324">
        <v>0.66861414720000001</v>
      </c>
      <c r="M40" s="324">
        <v>2.279943E-3</v>
      </c>
      <c r="N40" s="324">
        <v>1.4484954531000001</v>
      </c>
      <c r="O40" s="324">
        <v>110.7376907517</v>
      </c>
      <c r="P40" s="324">
        <v>1.5251596099</v>
      </c>
      <c r="Q40" s="324">
        <v>7.0419221609000004</v>
      </c>
      <c r="R40" s="324">
        <v>6.2870254335000002</v>
      </c>
      <c r="S40" s="324">
        <v>3.0259458775999999</v>
      </c>
      <c r="T40" s="324">
        <v>25.714779929899997</v>
      </c>
      <c r="U40" s="324">
        <v>0.50245083359999998</v>
      </c>
      <c r="V40" s="324">
        <v>0.2578875357</v>
      </c>
      <c r="W40" s="324">
        <v>0.14139745649999999</v>
      </c>
      <c r="X40" s="324">
        <v>0.66122212960000004</v>
      </c>
      <c r="Y40" s="324">
        <v>9.8069000000000003E-3</v>
      </c>
      <c r="Z40" s="324">
        <v>43.642438257299993</v>
      </c>
      <c r="AA40" s="324">
        <v>0</v>
      </c>
      <c r="AB40" s="324">
        <v>155.90528861889999</v>
      </c>
      <c r="AC40" s="271"/>
      <c r="AD40" s="271"/>
      <c r="AE40" s="271"/>
      <c r="AF40" s="271"/>
      <c r="AG40" s="271"/>
      <c r="AH40" s="271"/>
      <c r="AI40" s="271"/>
      <c r="AJ40" s="271"/>
      <c r="AK40" s="271"/>
      <c r="AL40" s="271"/>
      <c r="AM40" s="271"/>
      <c r="AN40" s="271"/>
      <c r="AO40" s="271"/>
      <c r="AP40" s="271"/>
      <c r="AQ40" s="271"/>
    </row>
    <row r="41" spans="1:43" ht="18" customHeight="1">
      <c r="A41" s="271"/>
      <c r="B41" s="326" t="s">
        <v>494</v>
      </c>
      <c r="C41" s="323" t="s">
        <v>872</v>
      </c>
      <c r="D41" s="324">
        <v>0.1423377066</v>
      </c>
      <c r="E41" s="324">
        <v>-2.8437358000000003E-3</v>
      </c>
      <c r="F41" s="324">
        <v>0.91372466010000009</v>
      </c>
      <c r="G41" s="324">
        <v>0.72877923629999997</v>
      </c>
      <c r="H41" s="324"/>
      <c r="I41" s="324"/>
      <c r="J41" s="324"/>
      <c r="K41" s="324">
        <v>-8.0438292000000008E-2</v>
      </c>
      <c r="L41" s="324">
        <v>0</v>
      </c>
      <c r="M41" s="324">
        <v>0</v>
      </c>
      <c r="N41" s="324">
        <v>-5.42199378E-2</v>
      </c>
      <c r="O41" s="324">
        <v>1.6473396374</v>
      </c>
      <c r="P41" s="324">
        <v>44.361815759099997</v>
      </c>
      <c r="Q41" s="324">
        <v>0.1263315206</v>
      </c>
      <c r="R41" s="324">
        <v>32.802317017699998</v>
      </c>
      <c r="S41" s="324">
        <v>8.1278130000000004E-4</v>
      </c>
      <c r="T41" s="324">
        <v>26.966833396799998</v>
      </c>
      <c r="U41" s="324">
        <v>4.0648698314000002</v>
      </c>
      <c r="V41" s="324">
        <v>1.79739945E-2</v>
      </c>
      <c r="W41" s="324">
        <v>2.8479470399000002</v>
      </c>
      <c r="X41" s="324">
        <v>2.2419434134</v>
      </c>
      <c r="Y41" s="324">
        <v>-2.3937891203000001</v>
      </c>
      <c r="Z41" s="324">
        <v>66.675239875299994</v>
      </c>
      <c r="AA41" s="324">
        <v>-4.2133022904999997</v>
      </c>
      <c r="AB41" s="324">
        <v>108.47109298129999</v>
      </c>
      <c r="AC41" s="271"/>
      <c r="AD41" s="271"/>
      <c r="AE41" s="271"/>
      <c r="AF41" s="271"/>
      <c r="AG41" s="271"/>
      <c r="AH41" s="271"/>
      <c r="AI41" s="271"/>
      <c r="AJ41" s="271"/>
      <c r="AK41" s="271"/>
      <c r="AL41" s="271"/>
      <c r="AM41" s="271"/>
      <c r="AN41" s="271"/>
      <c r="AO41" s="271"/>
      <c r="AP41" s="271"/>
      <c r="AQ41" s="271"/>
    </row>
    <row r="42" spans="1:43" ht="18" customHeight="1">
      <c r="A42" s="271"/>
      <c r="B42" s="326" t="s">
        <v>495</v>
      </c>
      <c r="C42" s="323" t="s">
        <v>873</v>
      </c>
      <c r="D42" s="324">
        <v>5.2820738354000003</v>
      </c>
      <c r="E42" s="324">
        <v>1.8275092252</v>
      </c>
      <c r="F42" s="324">
        <v>38.752439627900003</v>
      </c>
      <c r="G42" s="324">
        <v>6.8003917100999995</v>
      </c>
      <c r="H42" s="324"/>
      <c r="I42" s="324"/>
      <c r="J42" s="324"/>
      <c r="K42" s="324">
        <v>-1.80694273E-2</v>
      </c>
      <c r="L42" s="324">
        <v>1.5183773899999999E-2</v>
      </c>
      <c r="M42" s="324">
        <v>5.3507000000000001E-4</v>
      </c>
      <c r="N42" s="324">
        <v>1.8957322038999997</v>
      </c>
      <c r="O42" s="324">
        <v>54.555796019100001</v>
      </c>
      <c r="P42" s="324">
        <v>2.4399531000000002E-2</v>
      </c>
      <c r="Q42" s="324">
        <v>0.61312512699999999</v>
      </c>
      <c r="R42" s="324">
        <v>54.969930909700004</v>
      </c>
      <c r="S42" s="324">
        <v>0.30252917159999998</v>
      </c>
      <c r="T42" s="324">
        <v>12.4573030682</v>
      </c>
      <c r="U42" s="324">
        <v>11.820999604700001</v>
      </c>
      <c r="V42" s="324">
        <v>6.7536897925000003</v>
      </c>
      <c r="W42" s="324">
        <v>1.9827017068000001</v>
      </c>
      <c r="X42" s="324">
        <v>16.5121689831</v>
      </c>
      <c r="Y42" s="324">
        <v>-2.2629711409</v>
      </c>
      <c r="Z42" s="324">
        <v>103.1494772227</v>
      </c>
      <c r="AA42" s="324">
        <v>14.835930789200001</v>
      </c>
      <c r="AB42" s="324">
        <v>172.56560356200001</v>
      </c>
      <c r="AC42" s="271"/>
      <c r="AD42" s="271"/>
      <c r="AE42" s="271"/>
      <c r="AF42" s="271"/>
      <c r="AG42" s="271"/>
      <c r="AH42" s="271"/>
      <c r="AI42" s="271"/>
      <c r="AJ42" s="271"/>
      <c r="AK42" s="271"/>
      <c r="AL42" s="271"/>
      <c r="AM42" s="271"/>
      <c r="AN42" s="271"/>
      <c r="AO42" s="271"/>
      <c r="AP42" s="271"/>
      <c r="AQ42" s="271"/>
    </row>
    <row r="43" spans="1:43" ht="18" customHeight="1">
      <c r="A43" s="271"/>
      <c r="B43" s="326" t="s">
        <v>496</v>
      </c>
      <c r="C43" s="323" t="s">
        <v>874</v>
      </c>
      <c r="D43" s="324">
        <v>284.01778635470004</v>
      </c>
      <c r="E43" s="324">
        <v>-50.740554795100003</v>
      </c>
      <c r="F43" s="324">
        <v>0.36074096509999998</v>
      </c>
      <c r="G43" s="324">
        <v>0.75244827530000002</v>
      </c>
      <c r="H43" s="324"/>
      <c r="I43" s="324"/>
      <c r="J43" s="324"/>
      <c r="K43" s="324">
        <v>-7.1097878000000005E-3</v>
      </c>
      <c r="L43" s="324">
        <v>3.0754459769999998</v>
      </c>
      <c r="M43" s="324">
        <v>-7.4528741000000004E-3</v>
      </c>
      <c r="N43" s="324">
        <v>7.2386655494000003</v>
      </c>
      <c r="O43" s="324">
        <v>244.68996966450001</v>
      </c>
      <c r="P43" s="324">
        <v>2.9161463083999997</v>
      </c>
      <c r="Q43" s="324">
        <v>63.9198558553</v>
      </c>
      <c r="R43" s="324">
        <v>9.2221541197000008</v>
      </c>
      <c r="S43" s="324">
        <v>16.4564659943</v>
      </c>
      <c r="T43" s="324">
        <v>4.1593227105999997</v>
      </c>
      <c r="U43" s="324">
        <v>0.4919965905</v>
      </c>
      <c r="V43" s="324">
        <v>-0.53084364149999996</v>
      </c>
      <c r="W43" s="324">
        <v>0.42334233520000003</v>
      </c>
      <c r="X43" s="324">
        <v>5.3840227660000002</v>
      </c>
      <c r="Y43" s="324">
        <v>-2.0431627659</v>
      </c>
      <c r="Z43" s="324">
        <v>97.4831539642</v>
      </c>
      <c r="AA43" s="324">
        <v>-38.725396396400001</v>
      </c>
      <c r="AB43" s="324">
        <v>306.36387354070001</v>
      </c>
      <c r="AC43" s="271"/>
      <c r="AD43" s="271"/>
      <c r="AE43" s="271"/>
      <c r="AF43" s="271"/>
      <c r="AG43" s="271"/>
      <c r="AH43" s="271"/>
      <c r="AI43" s="271"/>
      <c r="AJ43" s="271"/>
      <c r="AK43" s="271"/>
      <c r="AL43" s="271"/>
      <c r="AM43" s="271"/>
      <c r="AN43" s="271"/>
      <c r="AO43" s="271"/>
      <c r="AP43" s="271"/>
      <c r="AQ43" s="271"/>
    </row>
    <row r="44" spans="1:43" ht="18" customHeight="1">
      <c r="A44" s="271"/>
      <c r="B44" s="326" t="s">
        <v>497</v>
      </c>
      <c r="C44" s="323" t="s">
        <v>875</v>
      </c>
      <c r="D44" s="324">
        <v>287.96099471330001</v>
      </c>
      <c r="E44" s="324">
        <v>-51.423184022000001</v>
      </c>
      <c r="F44" s="324">
        <v>0.94019190699999999</v>
      </c>
      <c r="G44" s="324">
        <v>0.98126933519999993</v>
      </c>
      <c r="H44" s="324"/>
      <c r="I44" s="324"/>
      <c r="J44" s="324"/>
      <c r="K44" s="324">
        <v>-7.1097878000000005E-3</v>
      </c>
      <c r="L44" s="324">
        <v>3.3452878651</v>
      </c>
      <c r="M44" s="324">
        <v>0</v>
      </c>
      <c r="N44" s="324">
        <v>7.2473782004999991</v>
      </c>
      <c r="O44" s="324">
        <v>249.0448282113</v>
      </c>
      <c r="P44" s="324">
        <v>2.9685738644000002</v>
      </c>
      <c r="Q44" s="324">
        <v>87.5429540903</v>
      </c>
      <c r="R44" s="324">
        <v>8.7721298604999998</v>
      </c>
      <c r="S44" s="324">
        <v>17.3761721626</v>
      </c>
      <c r="T44" s="324">
        <v>5.5739960345000004</v>
      </c>
      <c r="U44" s="324">
        <v>0.55022872609999995</v>
      </c>
      <c r="V44" s="324">
        <v>4.6653990999999994E-3</v>
      </c>
      <c r="W44" s="324">
        <v>1.3116043365999999</v>
      </c>
      <c r="X44" s="324">
        <v>5.2340584721000001</v>
      </c>
      <c r="Y44" s="324">
        <v>-3.3190656757000001</v>
      </c>
      <c r="Z44" s="324">
        <v>123.04674340610001</v>
      </c>
      <c r="AA44" s="324">
        <v>-44.918022418500001</v>
      </c>
      <c r="AB44" s="324">
        <v>330.13472509330001</v>
      </c>
      <c r="AC44" s="271"/>
      <c r="AD44" s="271"/>
      <c r="AE44" s="271"/>
      <c r="AF44" s="271"/>
      <c r="AG44" s="271"/>
      <c r="AH44" s="271"/>
      <c r="AI44" s="271"/>
      <c r="AJ44" s="271"/>
      <c r="AK44" s="271"/>
      <c r="AL44" s="271"/>
      <c r="AM44" s="271"/>
      <c r="AN44" s="271"/>
      <c r="AO44" s="271"/>
      <c r="AP44" s="271"/>
      <c r="AQ44" s="271"/>
    </row>
    <row r="45" spans="1:43" ht="18" customHeight="1">
      <c r="A45" s="271"/>
      <c r="B45" s="326" t="s">
        <v>498</v>
      </c>
      <c r="C45" s="323" t="s">
        <v>876</v>
      </c>
      <c r="D45" s="324">
        <v>0.85199727170000006</v>
      </c>
      <c r="E45" s="324">
        <v>-1.080347E-4</v>
      </c>
      <c r="F45" s="324">
        <v>-0.42366750479999998</v>
      </c>
      <c r="G45" s="324">
        <v>0.12409120380000001</v>
      </c>
      <c r="H45" s="324"/>
      <c r="I45" s="324"/>
      <c r="J45" s="324"/>
      <c r="K45" s="324">
        <v>0</v>
      </c>
      <c r="L45" s="324">
        <v>6.7680654899999998E-2</v>
      </c>
      <c r="M45" s="324">
        <v>0</v>
      </c>
      <c r="N45" s="324">
        <v>1.2206746451999999</v>
      </c>
      <c r="O45" s="324">
        <v>1.8406682361000002</v>
      </c>
      <c r="P45" s="324">
        <v>10.399575833</v>
      </c>
      <c r="Q45" s="324">
        <v>2.9662951454000002</v>
      </c>
      <c r="R45" s="324">
        <v>6.3964535737999997</v>
      </c>
      <c r="S45" s="324">
        <v>0.56216965640000005</v>
      </c>
      <c r="T45" s="324">
        <v>-4.3591204800000005E-2</v>
      </c>
      <c r="U45" s="324">
        <v>-7.6676305000000005E-3</v>
      </c>
      <c r="V45" s="324">
        <v>1.8042654799999999E-2</v>
      </c>
      <c r="W45" s="324">
        <v>-7.6185641100000007E-2</v>
      </c>
      <c r="X45" s="324">
        <v>-1.5907674456999998</v>
      </c>
      <c r="Y45" s="324">
        <v>3.0244374402999998</v>
      </c>
      <c r="Z45" s="324">
        <v>11.249186548599999</v>
      </c>
      <c r="AA45" s="324">
        <v>-9.5519321484000006</v>
      </c>
      <c r="AB45" s="324">
        <v>13.937498469300001</v>
      </c>
      <c r="AC45" s="271"/>
      <c r="AD45" s="271"/>
      <c r="AE45" s="271"/>
      <c r="AF45" s="271"/>
      <c r="AG45" s="271"/>
      <c r="AH45" s="271"/>
      <c r="AI45" s="271"/>
      <c r="AJ45" s="271"/>
      <c r="AK45" s="271"/>
      <c r="AL45" s="271"/>
      <c r="AM45" s="271"/>
      <c r="AN45" s="271"/>
      <c r="AO45" s="271"/>
      <c r="AP45" s="271"/>
      <c r="AQ45" s="271"/>
    </row>
    <row r="46" spans="1:43" ht="18" customHeight="1">
      <c r="A46" s="271"/>
      <c r="B46" s="326" t="s">
        <v>499</v>
      </c>
      <c r="C46" s="323" t="s">
        <v>877</v>
      </c>
      <c r="D46" s="324">
        <v>1.0800000000000001E-2</v>
      </c>
      <c r="E46" s="324">
        <v>0</v>
      </c>
      <c r="F46" s="324">
        <v>0</v>
      </c>
      <c r="G46" s="324">
        <v>0</v>
      </c>
      <c r="H46" s="324"/>
      <c r="I46" s="324"/>
      <c r="J46" s="324"/>
      <c r="K46" s="324">
        <v>0</v>
      </c>
      <c r="L46" s="324">
        <v>0</v>
      </c>
      <c r="M46" s="324">
        <v>0</v>
      </c>
      <c r="N46" s="324">
        <v>0</v>
      </c>
      <c r="O46" s="324">
        <v>1.0800000000000001E-2</v>
      </c>
      <c r="P46" s="324">
        <v>0</v>
      </c>
      <c r="Q46" s="324">
        <v>0</v>
      </c>
      <c r="R46" s="324">
        <v>1.7065526999999999E-3</v>
      </c>
      <c r="S46" s="324">
        <v>0</v>
      </c>
      <c r="T46" s="324">
        <v>0</v>
      </c>
      <c r="U46" s="324">
        <v>0</v>
      </c>
      <c r="V46" s="324">
        <v>0</v>
      </c>
      <c r="W46" s="324">
        <v>0</v>
      </c>
      <c r="X46" s="324">
        <v>0</v>
      </c>
      <c r="Y46" s="324">
        <v>0</v>
      </c>
      <c r="Z46" s="324">
        <v>1.7065526999999999E-3</v>
      </c>
      <c r="AA46" s="324">
        <v>0</v>
      </c>
      <c r="AB46" s="324">
        <v>1.25065527E-2</v>
      </c>
      <c r="AC46" s="271"/>
      <c r="AD46" s="271"/>
      <c r="AE46" s="271"/>
      <c r="AF46" s="271"/>
      <c r="AG46" s="271"/>
      <c r="AH46" s="271"/>
      <c r="AI46" s="271"/>
      <c r="AJ46" s="271"/>
      <c r="AK46" s="271"/>
      <c r="AL46" s="271"/>
      <c r="AM46" s="271"/>
      <c r="AN46" s="271"/>
      <c r="AO46" s="271"/>
      <c r="AP46" s="271"/>
      <c r="AQ46" s="271"/>
    </row>
    <row r="47" spans="1:43" ht="18" customHeight="1">
      <c r="A47" s="271"/>
      <c r="B47" s="326" t="s">
        <v>1076</v>
      </c>
      <c r="C47" s="323" t="s">
        <v>879</v>
      </c>
      <c r="D47" s="324">
        <v>0</v>
      </c>
      <c r="E47" s="324">
        <v>0</v>
      </c>
      <c r="F47" s="324">
        <v>-6.54464E-3</v>
      </c>
      <c r="G47" s="324">
        <v>0</v>
      </c>
      <c r="H47" s="324"/>
      <c r="I47" s="324"/>
      <c r="J47" s="324"/>
      <c r="K47" s="324">
        <v>0</v>
      </c>
      <c r="L47" s="324">
        <v>0</v>
      </c>
      <c r="M47" s="324">
        <v>0</v>
      </c>
      <c r="N47" s="324">
        <v>0</v>
      </c>
      <c r="O47" s="324">
        <v>-6.54464E-3</v>
      </c>
      <c r="P47" s="324">
        <v>-0.14188274470000001</v>
      </c>
      <c r="Q47" s="324">
        <v>0.1908398848</v>
      </c>
      <c r="R47" s="324">
        <v>0</v>
      </c>
      <c r="S47" s="324">
        <v>0.12223511289999998</v>
      </c>
      <c r="T47" s="324">
        <v>0</v>
      </c>
      <c r="U47" s="324">
        <v>0</v>
      </c>
      <c r="V47" s="324">
        <v>0</v>
      </c>
      <c r="W47" s="324">
        <v>0</v>
      </c>
      <c r="X47" s="324">
        <v>0.226592133</v>
      </c>
      <c r="Y47" s="324">
        <v>0</v>
      </c>
      <c r="Z47" s="324">
        <v>0.53966713070000005</v>
      </c>
      <c r="AA47" s="324">
        <v>0</v>
      </c>
      <c r="AB47" s="324">
        <v>0.391239746</v>
      </c>
      <c r="AC47" s="271"/>
      <c r="AD47" s="271"/>
      <c r="AE47" s="271"/>
      <c r="AF47" s="271"/>
      <c r="AG47" s="271"/>
      <c r="AH47" s="271"/>
      <c r="AI47" s="271"/>
      <c r="AJ47" s="271"/>
      <c r="AK47" s="271"/>
      <c r="AL47" s="271"/>
      <c r="AM47" s="271"/>
      <c r="AN47" s="271"/>
      <c r="AO47" s="271"/>
      <c r="AP47" s="271"/>
      <c r="AQ47" s="271"/>
    </row>
    <row r="48" spans="1:43" ht="18" customHeight="1">
      <c r="A48" s="271"/>
      <c r="B48" s="326" t="s">
        <v>1077</v>
      </c>
      <c r="C48" s="323" t="s">
        <v>881</v>
      </c>
      <c r="D48" s="324">
        <v>516.65249407519991</v>
      </c>
      <c r="E48" s="324">
        <v>-454.96273829839998</v>
      </c>
      <c r="F48" s="324">
        <v>2.0472967485</v>
      </c>
      <c r="G48" s="324">
        <v>-8.0293370500000003E-2</v>
      </c>
      <c r="H48" s="324"/>
      <c r="I48" s="324"/>
      <c r="J48" s="324"/>
      <c r="K48" s="324">
        <v>-7.1097878000000005E-3</v>
      </c>
      <c r="L48" s="324">
        <v>8.7349811999999999E-2</v>
      </c>
      <c r="M48" s="324">
        <v>0</v>
      </c>
      <c r="N48" s="324">
        <v>-16.584304507900001</v>
      </c>
      <c r="O48" s="324">
        <v>47.152694671099994</v>
      </c>
      <c r="P48" s="324">
        <v>75.358503163500004</v>
      </c>
      <c r="Q48" s="324">
        <v>48.2515112229</v>
      </c>
      <c r="R48" s="324">
        <v>0.61782440280000006</v>
      </c>
      <c r="S48" s="324">
        <v>0.80954999010000006</v>
      </c>
      <c r="T48" s="324">
        <v>1.3521395790000001</v>
      </c>
      <c r="U48" s="324">
        <v>2.4838654200000001E-2</v>
      </c>
      <c r="V48" s="324">
        <v>1.2382289117</v>
      </c>
      <c r="W48" s="324">
        <v>3.6252545599999998E-2</v>
      </c>
      <c r="X48" s="324">
        <v>35.119049887999999</v>
      </c>
      <c r="Y48" s="324">
        <v>-23.833582689899998</v>
      </c>
      <c r="Z48" s="324">
        <v>63.615812504399997</v>
      </c>
      <c r="AA48" s="324">
        <v>-40.828625929699996</v>
      </c>
      <c r="AB48" s="324">
        <v>145.29838440930001</v>
      </c>
      <c r="AC48" s="271"/>
      <c r="AD48" s="271"/>
      <c r="AE48" s="271"/>
      <c r="AF48" s="271"/>
      <c r="AG48" s="271"/>
      <c r="AH48" s="271"/>
      <c r="AI48" s="271"/>
      <c r="AJ48" s="271"/>
      <c r="AK48" s="271"/>
      <c r="AL48" s="271"/>
      <c r="AM48" s="271"/>
      <c r="AN48" s="271"/>
      <c r="AO48" s="271"/>
      <c r="AP48" s="271"/>
      <c r="AQ48" s="271"/>
    </row>
    <row r="49" spans="1:43" ht="18" customHeight="1">
      <c r="A49" s="271"/>
      <c r="B49" s="326" t="s">
        <v>882</v>
      </c>
      <c r="C49" s="323" t="s">
        <v>883</v>
      </c>
      <c r="D49" s="324">
        <v>0</v>
      </c>
      <c r="E49" s="324">
        <v>0</v>
      </c>
      <c r="F49" s="324">
        <v>0</v>
      </c>
      <c r="G49" s="324">
        <v>0</v>
      </c>
      <c r="H49" s="324"/>
      <c r="I49" s="324"/>
      <c r="J49" s="324"/>
      <c r="K49" s="324">
        <v>0</v>
      </c>
      <c r="L49" s="324">
        <v>0</v>
      </c>
      <c r="M49" s="324">
        <v>0</v>
      </c>
      <c r="N49" s="324">
        <v>0</v>
      </c>
      <c r="O49" s="324">
        <v>0</v>
      </c>
      <c r="P49" s="324">
        <v>-0.23372561850000001</v>
      </c>
      <c r="Q49" s="324">
        <v>4.7717000000000004E-6</v>
      </c>
      <c r="R49" s="324">
        <v>0</v>
      </c>
      <c r="S49" s="324">
        <v>0</v>
      </c>
      <c r="T49" s="324">
        <v>0</v>
      </c>
      <c r="U49" s="324">
        <v>0</v>
      </c>
      <c r="V49" s="324">
        <v>0</v>
      </c>
      <c r="W49" s="324">
        <v>0</v>
      </c>
      <c r="X49" s="324">
        <v>0</v>
      </c>
      <c r="Y49" s="324">
        <v>0</v>
      </c>
      <c r="Z49" s="324">
        <v>4.7717000000000004E-6</v>
      </c>
      <c r="AA49" s="324">
        <v>0</v>
      </c>
      <c r="AB49" s="324">
        <v>-0.23372084679999999</v>
      </c>
      <c r="AC49" s="271"/>
      <c r="AD49" s="271"/>
      <c r="AE49" s="271"/>
      <c r="AF49" s="271"/>
      <c r="AG49" s="271"/>
      <c r="AH49" s="271"/>
      <c r="AI49" s="271"/>
      <c r="AJ49" s="271"/>
      <c r="AK49" s="271"/>
      <c r="AL49" s="271"/>
      <c r="AM49" s="271"/>
      <c r="AN49" s="271"/>
      <c r="AO49" s="271"/>
      <c r="AP49" s="271"/>
      <c r="AQ49" s="271"/>
    </row>
    <row r="50" spans="1:43" ht="18" customHeight="1">
      <c r="A50" s="271"/>
      <c r="B50" s="326" t="s">
        <v>1165</v>
      </c>
      <c r="C50" s="323" t="s">
        <v>884</v>
      </c>
      <c r="D50" s="286">
        <f>1158126217.29/(10^8)</f>
        <v>11.581262172899999</v>
      </c>
      <c r="E50" s="286">
        <f>609475.5/(10^8)</f>
        <v>6.0947550000000003E-3</v>
      </c>
      <c r="F50" s="286">
        <f>26797811.05/(10^8)</f>
        <v>0.26797811050000003</v>
      </c>
      <c r="G50" s="286">
        <f>91591790.65/(10^8)</f>
        <v>0.91591790650000005</v>
      </c>
      <c r="H50" s="286">
        <f>0/(10^8)</f>
        <v>0</v>
      </c>
      <c r="I50" s="286">
        <f>0/(10^8)</f>
        <v>0</v>
      </c>
      <c r="J50" s="286">
        <f>0/(10^8)</f>
        <v>0</v>
      </c>
      <c r="K50" s="286">
        <f>0/(10^8)</f>
        <v>0</v>
      </c>
      <c r="L50" s="286">
        <f>38501028.97/(10^8)</f>
        <v>0.38501028970000001</v>
      </c>
      <c r="M50" s="286">
        <f>0/(10^8)</f>
        <v>0</v>
      </c>
      <c r="N50" s="286">
        <f>194687715/(10^8)</f>
        <v>1.9468771499999999</v>
      </c>
      <c r="O50" s="286">
        <f>1510314038.46/(10^8)</f>
        <v>15.1031403846</v>
      </c>
      <c r="P50" s="286">
        <f>16109246.25/(10^8)</f>
        <v>0.16109246250000001</v>
      </c>
      <c r="Q50" s="286">
        <f>0/(10^8)</f>
        <v>0</v>
      </c>
      <c r="R50" s="286">
        <f>754219448.32/(10^8)</f>
        <v>7.5421944832000003</v>
      </c>
      <c r="S50" s="286">
        <f>567634165.82/(10^8)</f>
        <v>5.6763416582000001</v>
      </c>
      <c r="T50" s="286">
        <f>2201417.34/(10^8)</f>
        <v>2.20141734E-2</v>
      </c>
      <c r="U50" s="286">
        <f>69455895.46/(10^8)</f>
        <v>0.69455895459999994</v>
      </c>
      <c r="V50" s="286">
        <f>165242841/(10^8)</f>
        <v>1.65242841</v>
      </c>
      <c r="W50" s="286">
        <f>2520286/(10^8)</f>
        <v>2.5202860000000001E-2</v>
      </c>
      <c r="X50" s="286">
        <f>26009558.46/(10^8)</f>
        <v>0.26009558459999998</v>
      </c>
      <c r="Y50" s="286">
        <f>-2081781.77/(10^8)</f>
        <v>-2.0817817700000001E-2</v>
      </c>
      <c r="Z50" s="286">
        <f>1585201830.63/(10^8)</f>
        <v>15.852018306300002</v>
      </c>
      <c r="AA50" s="286">
        <f>0/(10^8)</f>
        <v>0</v>
      </c>
      <c r="AB50" s="286">
        <f>3111625115.34/(10^8)</f>
        <v>31.1162511534</v>
      </c>
      <c r="AC50" s="271"/>
      <c r="AD50" s="271"/>
      <c r="AE50" s="271"/>
      <c r="AF50" s="271"/>
      <c r="AG50" s="271"/>
      <c r="AH50" s="271"/>
      <c r="AI50" s="271"/>
      <c r="AJ50" s="271"/>
      <c r="AK50" s="271"/>
      <c r="AL50" s="271"/>
      <c r="AM50" s="271"/>
      <c r="AN50" s="271"/>
      <c r="AO50" s="271"/>
      <c r="AP50" s="271"/>
      <c r="AQ50" s="271"/>
    </row>
    <row r="51" spans="1:43" ht="18" customHeight="1">
      <c r="A51" s="271"/>
      <c r="B51" s="327" t="s">
        <v>1078</v>
      </c>
      <c r="C51" s="323" t="s">
        <v>885</v>
      </c>
      <c r="D51" s="324">
        <v>1207.7767179073001</v>
      </c>
      <c r="E51" s="324">
        <v>-291.00090944070001</v>
      </c>
      <c r="F51" s="324">
        <v>-76.501353854900003</v>
      </c>
      <c r="G51" s="324">
        <v>-0.47810266689999997</v>
      </c>
      <c r="H51" s="324"/>
      <c r="I51" s="324"/>
      <c r="J51" s="324"/>
      <c r="K51" s="324">
        <v>-7.6778446999999994E-3</v>
      </c>
      <c r="L51" s="324">
        <v>10.2828858147</v>
      </c>
      <c r="M51" s="324">
        <v>2.7297548799999998E-2</v>
      </c>
      <c r="N51" s="324">
        <v>-159.59629669379999</v>
      </c>
      <c r="O51" s="324">
        <v>690.50256076979997</v>
      </c>
      <c r="P51" s="324">
        <v>97.864832910300009</v>
      </c>
      <c r="Q51" s="324">
        <v>62.948082981300004</v>
      </c>
      <c r="R51" s="324">
        <v>46.544560757399999</v>
      </c>
      <c r="S51" s="324">
        <v>31.586311174400002</v>
      </c>
      <c r="T51" s="324">
        <v>34.045152723000001</v>
      </c>
      <c r="U51" s="324">
        <v>19.580835620199998</v>
      </c>
      <c r="V51" s="324">
        <v>10.475092485399999</v>
      </c>
      <c r="W51" s="324">
        <v>10.6736861025</v>
      </c>
      <c r="X51" s="324">
        <v>25.655330406899999</v>
      </c>
      <c r="Y51" s="324">
        <v>-12.9106023081</v>
      </c>
      <c r="Z51" s="324">
        <v>228.59844994299999</v>
      </c>
      <c r="AA51" s="324">
        <v>-72.3566297908</v>
      </c>
      <c r="AB51" s="324">
        <v>944.60921383229993</v>
      </c>
      <c r="AC51" s="271"/>
      <c r="AD51" s="271"/>
      <c r="AE51" s="271"/>
      <c r="AF51" s="271"/>
      <c r="AG51" s="271"/>
      <c r="AH51" s="271"/>
      <c r="AI51" s="271"/>
      <c r="AJ51" s="271"/>
      <c r="AK51" s="271"/>
      <c r="AL51" s="271"/>
      <c r="AM51" s="271"/>
      <c r="AN51" s="271"/>
      <c r="AO51" s="271"/>
      <c r="AP51" s="271"/>
      <c r="AQ51" s="271"/>
    </row>
    <row r="52" spans="1:43" ht="18" customHeight="1">
      <c r="A52" s="271"/>
      <c r="B52" s="328" t="s">
        <v>500</v>
      </c>
      <c r="C52" s="323" t="s">
        <v>886</v>
      </c>
      <c r="D52" s="324">
        <v>76.082312854500003</v>
      </c>
      <c r="E52" s="324">
        <v>-11.933835855999998</v>
      </c>
      <c r="F52" s="324">
        <v>1.717072105</v>
      </c>
      <c r="G52" s="324">
        <v>2.6054331554000001</v>
      </c>
      <c r="H52" s="324"/>
      <c r="I52" s="324"/>
      <c r="J52" s="324"/>
      <c r="K52" s="324">
        <v>0</v>
      </c>
      <c r="L52" s="324">
        <v>0.29220229269999998</v>
      </c>
      <c r="M52" s="324">
        <v>0</v>
      </c>
      <c r="N52" s="324">
        <v>-1.8933492184</v>
      </c>
      <c r="O52" s="324">
        <v>66.869835333200001</v>
      </c>
      <c r="P52" s="324">
        <v>0.56191522390000004</v>
      </c>
      <c r="Q52" s="324">
        <v>0.25499893960000003</v>
      </c>
      <c r="R52" s="324">
        <v>4.3258620676000001</v>
      </c>
      <c r="S52" s="324">
        <v>5.1870553565000002</v>
      </c>
      <c r="T52" s="324">
        <v>0.31998271340000001</v>
      </c>
      <c r="U52" s="324">
        <v>0.1051293831</v>
      </c>
      <c r="V52" s="324">
        <v>0.96389001669999996</v>
      </c>
      <c r="W52" s="324">
        <v>6.3995980499999994E-2</v>
      </c>
      <c r="X52" s="324">
        <v>0.29598306089999998</v>
      </c>
      <c r="Y52" s="324">
        <v>0</v>
      </c>
      <c r="Z52" s="324">
        <v>11.516897518299999</v>
      </c>
      <c r="AA52" s="324">
        <v>-11.788326162899999</v>
      </c>
      <c r="AB52" s="324">
        <v>67.160321912499995</v>
      </c>
      <c r="AC52" s="271"/>
      <c r="AD52" s="271"/>
      <c r="AE52" s="271"/>
      <c r="AF52" s="271"/>
      <c r="AG52" s="271"/>
      <c r="AH52" s="271"/>
      <c r="AI52" s="271"/>
      <c r="AJ52" s="271"/>
      <c r="AK52" s="271"/>
      <c r="AL52" s="271"/>
      <c r="AM52" s="271"/>
      <c r="AN52" s="271"/>
      <c r="AO52" s="271"/>
      <c r="AP52" s="271"/>
      <c r="AQ52" s="271"/>
    </row>
    <row r="53" spans="1:43" ht="18" customHeight="1">
      <c r="A53" s="271"/>
      <c r="B53" s="328" t="s">
        <v>501</v>
      </c>
      <c r="C53" s="323" t="s">
        <v>887</v>
      </c>
      <c r="D53" s="324">
        <v>111.2864688068</v>
      </c>
      <c r="E53" s="324">
        <v>-11.9564284809</v>
      </c>
      <c r="F53" s="324">
        <v>0.5377126404</v>
      </c>
      <c r="G53" s="324">
        <v>0.1175304672</v>
      </c>
      <c r="H53" s="324"/>
      <c r="I53" s="324"/>
      <c r="J53" s="324"/>
      <c r="K53" s="324">
        <v>0</v>
      </c>
      <c r="L53" s="324">
        <v>0.1140290618</v>
      </c>
      <c r="M53" s="324">
        <v>0</v>
      </c>
      <c r="N53" s="324">
        <v>-2.1218867744000001</v>
      </c>
      <c r="O53" s="324">
        <v>97.977425720900001</v>
      </c>
      <c r="P53" s="324">
        <v>6.1954316900000007E-2</v>
      </c>
      <c r="Q53" s="324">
        <v>1.7425738244</v>
      </c>
      <c r="R53" s="324">
        <v>0.55625625629999997</v>
      </c>
      <c r="S53" s="324">
        <v>0.73691443919999999</v>
      </c>
      <c r="T53" s="324">
        <v>0.33280889949999998</v>
      </c>
      <c r="U53" s="324">
        <v>9.0196475000000002E-3</v>
      </c>
      <c r="V53" s="324">
        <v>3.4283478999999999E-2</v>
      </c>
      <c r="W53" s="324">
        <v>2.3934531999999999E-3</v>
      </c>
      <c r="X53" s="324">
        <v>0.16157759460000001</v>
      </c>
      <c r="Y53" s="324">
        <v>-2.9392453000000002E-3</v>
      </c>
      <c r="Z53" s="324">
        <v>3.5728883483999998</v>
      </c>
      <c r="AA53" s="324">
        <v>0</v>
      </c>
      <c r="AB53" s="324">
        <v>101.61226838620001</v>
      </c>
      <c r="AC53" s="271"/>
      <c r="AD53" s="271"/>
      <c r="AE53" s="271"/>
      <c r="AF53" s="271"/>
      <c r="AG53" s="271"/>
      <c r="AH53" s="271"/>
      <c r="AI53" s="271"/>
      <c r="AJ53" s="271"/>
      <c r="AK53" s="271"/>
      <c r="AL53" s="271"/>
      <c r="AM53" s="271"/>
      <c r="AN53" s="271"/>
      <c r="AO53" s="271"/>
      <c r="AP53" s="271"/>
      <c r="AQ53" s="271"/>
    </row>
    <row r="54" spans="1:43" ht="18" customHeight="1">
      <c r="A54" s="271"/>
      <c r="B54" s="327" t="s">
        <v>1079</v>
      </c>
      <c r="C54" s="323" t="s">
        <v>888</v>
      </c>
      <c r="D54" s="324">
        <v>1172.5725619550001</v>
      </c>
      <c r="E54" s="324">
        <v>-290.97831681580004</v>
      </c>
      <c r="F54" s="324">
        <v>-75.217146506099994</v>
      </c>
      <c r="G54" s="324">
        <v>2.0098000212999998</v>
      </c>
      <c r="H54" s="324"/>
      <c r="I54" s="324"/>
      <c r="J54" s="324"/>
      <c r="K54" s="324">
        <v>-7.6778446999999994E-3</v>
      </c>
      <c r="L54" s="324">
        <v>10.461059045599999</v>
      </c>
      <c r="M54" s="324">
        <v>2.7297548799999998E-2</v>
      </c>
      <c r="N54" s="324">
        <v>-159.36775913779999</v>
      </c>
      <c r="O54" s="324">
        <v>659.49981826629994</v>
      </c>
      <c r="P54" s="324">
        <v>98.364793817299997</v>
      </c>
      <c r="Q54" s="324">
        <v>61.460508096499993</v>
      </c>
      <c r="R54" s="324">
        <v>50.3235562825</v>
      </c>
      <c r="S54" s="324">
        <v>36.036452091699999</v>
      </c>
      <c r="T54" s="324">
        <v>34.032326536900001</v>
      </c>
      <c r="U54" s="324">
        <v>19.676945355800001</v>
      </c>
      <c r="V54" s="324">
        <v>11.404699023099999</v>
      </c>
      <c r="W54" s="324">
        <v>10.725898916</v>
      </c>
      <c r="X54" s="324">
        <v>25.789735873200001</v>
      </c>
      <c r="Y54" s="324">
        <v>-12.907663062799999</v>
      </c>
      <c r="Z54" s="324">
        <v>236.54245911290002</v>
      </c>
      <c r="AA54" s="324">
        <v>-84.144955953700006</v>
      </c>
      <c r="AB54" s="324">
        <v>910.15726735860005</v>
      </c>
      <c r="AC54" s="271"/>
      <c r="AD54" s="271"/>
      <c r="AE54" s="271"/>
      <c r="AF54" s="271"/>
      <c r="AG54" s="271"/>
      <c r="AH54" s="271"/>
      <c r="AI54" s="271"/>
      <c r="AJ54" s="271"/>
      <c r="AK54" s="271"/>
      <c r="AL54" s="271"/>
      <c r="AM54" s="271"/>
      <c r="AN54" s="271"/>
      <c r="AO54" s="271"/>
      <c r="AP54" s="271"/>
      <c r="AQ54" s="271"/>
    </row>
    <row r="55" spans="1:43" ht="18" customHeight="1">
      <c r="A55" s="271"/>
      <c r="B55" s="326" t="s">
        <v>502</v>
      </c>
      <c r="C55" s="323" t="s">
        <v>889</v>
      </c>
      <c r="D55" s="324">
        <v>164.78575531449999</v>
      </c>
      <c r="E55" s="324">
        <v>-2.0954216294000001</v>
      </c>
      <c r="F55" s="324">
        <v>9.5776943569000004</v>
      </c>
      <c r="G55" s="324">
        <v>0.86102744269999998</v>
      </c>
      <c r="H55" s="324"/>
      <c r="I55" s="324"/>
      <c r="J55" s="324"/>
      <c r="K55" s="324">
        <v>-1.8450695000000001E-3</v>
      </c>
      <c r="L55" s="324">
        <v>3.3505861218000002</v>
      </c>
      <c r="M55" s="324">
        <v>1.3979772E-2</v>
      </c>
      <c r="N55" s="324">
        <v>-1.0335552690000001</v>
      </c>
      <c r="O55" s="324">
        <v>175.45822104000001</v>
      </c>
      <c r="P55" s="324">
        <v>15.9219701499</v>
      </c>
      <c r="Q55" s="324">
        <v>16.553156126300003</v>
      </c>
      <c r="R55" s="324">
        <v>6.7715130201999996</v>
      </c>
      <c r="S55" s="324">
        <v>9.1985139575999995</v>
      </c>
      <c r="T55" s="324">
        <v>9.8503260447000009</v>
      </c>
      <c r="U55" s="324">
        <v>2.4910820680999999</v>
      </c>
      <c r="V55" s="324">
        <v>2.2980485941</v>
      </c>
      <c r="W55" s="324">
        <v>2.7930364923000002</v>
      </c>
      <c r="X55" s="324">
        <v>6.7739481635000001</v>
      </c>
      <c r="Y55" s="324">
        <v>-0.39667454009999997</v>
      </c>
      <c r="Z55" s="324">
        <v>56.332949926700003</v>
      </c>
      <c r="AA55" s="324">
        <v>-10.7272326934</v>
      </c>
      <c r="AB55" s="324">
        <v>236.98590842319999</v>
      </c>
      <c r="AC55" s="271"/>
      <c r="AD55" s="271"/>
      <c r="AE55" s="271"/>
      <c r="AF55" s="271"/>
      <c r="AG55" s="271"/>
      <c r="AH55" s="271"/>
      <c r="AI55" s="271"/>
      <c r="AJ55" s="271"/>
      <c r="AK55" s="271"/>
      <c r="AL55" s="271"/>
      <c r="AM55" s="271"/>
      <c r="AN55" s="271"/>
      <c r="AO55" s="271"/>
      <c r="AP55" s="271"/>
      <c r="AQ55" s="271"/>
    </row>
    <row r="56" spans="1:43" ht="18" customHeight="1">
      <c r="A56" s="271"/>
      <c r="B56" s="327" t="s">
        <v>1080</v>
      </c>
      <c r="C56" s="323" t="s">
        <v>890</v>
      </c>
      <c r="D56" s="324">
        <v>1007.7868066405</v>
      </c>
      <c r="E56" s="324">
        <v>-288.88289518639999</v>
      </c>
      <c r="F56" s="324">
        <v>-84.899688747200003</v>
      </c>
      <c r="G56" s="324">
        <v>1.1487725786</v>
      </c>
      <c r="H56" s="324"/>
      <c r="I56" s="324"/>
      <c r="J56" s="324"/>
      <c r="K56" s="324">
        <v>-5.8327752000000002E-3</v>
      </c>
      <c r="L56" s="324">
        <v>7.1104729237999997</v>
      </c>
      <c r="M56" s="324">
        <v>1.33177768E-2</v>
      </c>
      <c r="N56" s="324">
        <v>-158.33420386879999</v>
      </c>
      <c r="O56" s="324">
        <v>483.93674934209997</v>
      </c>
      <c r="P56" s="324">
        <v>82.442823667399992</v>
      </c>
      <c r="Q56" s="324">
        <v>44.907351970200004</v>
      </c>
      <c r="R56" s="324">
        <v>43.552043262299996</v>
      </c>
      <c r="S56" s="324">
        <v>26.8379381341</v>
      </c>
      <c r="T56" s="324">
        <v>24.182000492199997</v>
      </c>
      <c r="U56" s="324">
        <v>17.185863287699998</v>
      </c>
      <c r="V56" s="324">
        <v>9.1066504290000001</v>
      </c>
      <c r="W56" s="324">
        <v>7.9328624236999996</v>
      </c>
      <c r="X56" s="324">
        <v>19.0157877097</v>
      </c>
      <c r="Y56" s="324">
        <v>-12.5109885227</v>
      </c>
      <c r="Z56" s="324">
        <v>180.20950918619999</v>
      </c>
      <c r="AA56" s="324">
        <v>-73.417723260299994</v>
      </c>
      <c r="AB56" s="324">
        <v>673.17135893540001</v>
      </c>
      <c r="AC56" s="271"/>
      <c r="AD56" s="271"/>
      <c r="AE56" s="271"/>
      <c r="AF56" s="271"/>
      <c r="AG56" s="271"/>
      <c r="AH56" s="271"/>
      <c r="AI56" s="271"/>
      <c r="AJ56" s="271"/>
      <c r="AK56" s="271"/>
      <c r="AL56" s="271"/>
      <c r="AM56" s="271"/>
      <c r="AN56" s="271"/>
      <c r="AO56" s="271"/>
      <c r="AP56" s="271"/>
      <c r="AQ56" s="271"/>
    </row>
    <row r="57" spans="1:43" ht="18" customHeight="1">
      <c r="A57" s="271"/>
      <c r="B57" s="326" t="s">
        <v>503</v>
      </c>
      <c r="C57" s="323" t="s">
        <v>891</v>
      </c>
      <c r="D57" s="324">
        <v>1006.9884895714999</v>
      </c>
      <c r="E57" s="324">
        <v>-283.71830661630003</v>
      </c>
      <c r="F57" s="324">
        <v>-84.899688747200003</v>
      </c>
      <c r="G57" s="324">
        <v>1.1495549917000001</v>
      </c>
      <c r="H57" s="324"/>
      <c r="I57" s="324"/>
      <c r="J57" s="324"/>
      <c r="K57" s="324">
        <v>5.1248635999999993E-2</v>
      </c>
      <c r="L57" s="324">
        <v>7.1104729237999997</v>
      </c>
      <c r="M57" s="324">
        <v>1.33177768E-2</v>
      </c>
      <c r="N57" s="324">
        <v>-161.2826341713</v>
      </c>
      <c r="O57" s="324">
        <v>485.41245436499997</v>
      </c>
      <c r="P57" s="324">
        <v>61.245415268000002</v>
      </c>
      <c r="Q57" s="324">
        <v>38.490298799000001</v>
      </c>
      <c r="R57" s="324">
        <v>24.117638734299998</v>
      </c>
      <c r="S57" s="324">
        <v>18.841976287200001</v>
      </c>
      <c r="T57" s="324">
        <v>22.9983136763</v>
      </c>
      <c r="U57" s="324">
        <v>16.403215616400001</v>
      </c>
      <c r="V57" s="324">
        <v>9.1066504290000001</v>
      </c>
      <c r="W57" s="324">
        <v>7.9328624236999996</v>
      </c>
      <c r="X57" s="324">
        <v>19.012918386900001</v>
      </c>
      <c r="Y57" s="324">
        <v>-17.912088921700001</v>
      </c>
      <c r="Z57" s="324">
        <v>138.9917854311</v>
      </c>
      <c r="AA57" s="324">
        <v>-38.742625579399999</v>
      </c>
      <c r="AB57" s="324">
        <v>646.90702948470005</v>
      </c>
      <c r="AC57" s="271"/>
      <c r="AD57" s="271"/>
      <c r="AE57" s="271"/>
      <c r="AF57" s="271"/>
      <c r="AG57" s="271"/>
      <c r="AH57" s="271"/>
      <c r="AI57" s="271"/>
      <c r="AJ57" s="271"/>
      <c r="AK57" s="271"/>
      <c r="AL57" s="271"/>
      <c r="AM57" s="271"/>
      <c r="AN57" s="271"/>
      <c r="AO57" s="271"/>
      <c r="AP57" s="271"/>
      <c r="AQ57" s="271"/>
    </row>
    <row r="58" spans="1:43" ht="18" customHeight="1">
      <c r="A58" s="271"/>
      <c r="B58" s="326" t="s">
        <v>504</v>
      </c>
      <c r="C58" s="323" t="s">
        <v>892</v>
      </c>
      <c r="D58" s="324">
        <v>0.7983170690000001</v>
      </c>
      <c r="E58" s="324">
        <v>-5.1645885701000003</v>
      </c>
      <c r="F58" s="324">
        <v>0</v>
      </c>
      <c r="G58" s="324">
        <v>-7.8241309999999996E-4</v>
      </c>
      <c r="H58" s="324"/>
      <c r="I58" s="324"/>
      <c r="J58" s="324"/>
      <c r="K58" s="324">
        <v>-5.7081411200000001E-2</v>
      </c>
      <c r="L58" s="324">
        <v>0</v>
      </c>
      <c r="M58" s="324">
        <v>0</v>
      </c>
      <c r="N58" s="324">
        <v>2.9484303024999998</v>
      </c>
      <c r="O58" s="324">
        <v>-1.4757050228999999</v>
      </c>
      <c r="P58" s="324">
        <v>21.1974083994</v>
      </c>
      <c r="Q58" s="324">
        <v>6.4170531712000001</v>
      </c>
      <c r="R58" s="324">
        <v>19.434404527999998</v>
      </c>
      <c r="S58" s="324">
        <v>7.9959618469000002</v>
      </c>
      <c r="T58" s="324">
        <v>1.1836868159</v>
      </c>
      <c r="U58" s="324">
        <v>0.7826476712999999</v>
      </c>
      <c r="V58" s="324">
        <v>0</v>
      </c>
      <c r="W58" s="324">
        <v>0</v>
      </c>
      <c r="X58" s="324">
        <v>2.8693228000000004E-3</v>
      </c>
      <c r="Y58" s="324">
        <v>5.4011003989999997</v>
      </c>
      <c r="Z58" s="324">
        <v>41.217723755100003</v>
      </c>
      <c r="AA58" s="324">
        <v>-34.675097680900002</v>
      </c>
      <c r="AB58" s="324">
        <v>26.2643294507</v>
      </c>
      <c r="AC58" s="271"/>
      <c r="AD58" s="271"/>
      <c r="AE58" s="271"/>
      <c r="AF58" s="271"/>
      <c r="AG58" s="271"/>
      <c r="AH58" s="271"/>
      <c r="AI58" s="271"/>
      <c r="AJ58" s="271"/>
      <c r="AK58" s="271"/>
      <c r="AL58" s="271"/>
      <c r="AM58" s="271"/>
      <c r="AN58" s="271"/>
      <c r="AO58" s="271"/>
      <c r="AP58" s="271"/>
      <c r="AQ58" s="271"/>
    </row>
    <row r="59" spans="1:43" ht="18" customHeight="1">
      <c r="A59" s="271"/>
      <c r="B59" s="327" t="s">
        <v>48</v>
      </c>
      <c r="C59" s="323" t="s">
        <v>893</v>
      </c>
      <c r="D59" s="324">
        <v>-1.1036745110999999</v>
      </c>
      <c r="E59" s="324">
        <v>-0.62828294730000001</v>
      </c>
      <c r="F59" s="324">
        <v>1.95E-2</v>
      </c>
      <c r="G59" s="324">
        <v>6.3438880000000007E-3</v>
      </c>
      <c r="H59" s="324"/>
      <c r="I59" s="324"/>
      <c r="J59" s="324"/>
      <c r="K59" s="324">
        <v>0</v>
      </c>
      <c r="L59" s="324">
        <v>0</v>
      </c>
      <c r="M59" s="324">
        <v>-1.2323661000000001E-2</v>
      </c>
      <c r="N59" s="324">
        <v>-2.1661009799999999E-2</v>
      </c>
      <c r="O59" s="324">
        <v>-1.7400982412000001</v>
      </c>
      <c r="P59" s="324">
        <v>3.7965542742</v>
      </c>
      <c r="Q59" s="324">
        <v>-43.209670671700003</v>
      </c>
      <c r="R59" s="324">
        <v>-3.6189000299999996E-2</v>
      </c>
      <c r="S59" s="324">
        <v>0</v>
      </c>
      <c r="T59" s="324">
        <v>0</v>
      </c>
      <c r="U59" s="324">
        <v>0</v>
      </c>
      <c r="V59" s="324">
        <v>0</v>
      </c>
      <c r="W59" s="324">
        <v>0</v>
      </c>
      <c r="X59" s="324">
        <v>2.9154693904000002</v>
      </c>
      <c r="Y59" s="324">
        <v>-2.0102575000000001E-2</v>
      </c>
      <c r="Z59" s="324">
        <v>-40.350492856599999</v>
      </c>
      <c r="AA59" s="324">
        <v>0</v>
      </c>
      <c r="AB59" s="324">
        <v>-38.2487906737</v>
      </c>
      <c r="AC59" s="271"/>
      <c r="AD59" s="271"/>
      <c r="AE59" s="271"/>
      <c r="AF59" s="271"/>
      <c r="AG59" s="271"/>
      <c r="AH59" s="271"/>
      <c r="AI59" s="271"/>
      <c r="AJ59" s="271"/>
      <c r="AK59" s="271"/>
      <c r="AL59" s="271"/>
      <c r="AM59" s="271"/>
      <c r="AN59" s="271"/>
      <c r="AO59" s="271"/>
      <c r="AP59" s="271"/>
      <c r="AQ59" s="271"/>
    </row>
    <row r="60" spans="1:43" ht="18" customHeight="1">
      <c r="A60" s="271"/>
      <c r="B60" s="327" t="s">
        <v>49</v>
      </c>
      <c r="C60" s="323" t="s">
        <v>894</v>
      </c>
      <c r="D60" s="324">
        <v>1006.6831321294001</v>
      </c>
      <c r="E60" s="324">
        <v>-289.51117813370001</v>
      </c>
      <c r="F60" s="324">
        <v>-84.880188747200009</v>
      </c>
      <c r="G60" s="324">
        <v>1.1551164666</v>
      </c>
      <c r="H60" s="324"/>
      <c r="I60" s="324"/>
      <c r="J60" s="324"/>
      <c r="K60" s="324">
        <v>-5.8327752000000002E-3</v>
      </c>
      <c r="L60" s="324">
        <v>7.1104729237999997</v>
      </c>
      <c r="M60" s="324">
        <v>9.9411580000000012E-4</v>
      </c>
      <c r="N60" s="324">
        <v>-158.35586487860002</v>
      </c>
      <c r="O60" s="324">
        <v>482.19665110089994</v>
      </c>
      <c r="P60" s="324">
        <v>86.239377941599997</v>
      </c>
      <c r="Q60" s="324">
        <v>1.6976812985</v>
      </c>
      <c r="R60" s="324">
        <v>43.515854261999998</v>
      </c>
      <c r="S60" s="324">
        <v>26.8379381341</v>
      </c>
      <c r="T60" s="324">
        <v>24.182000492199997</v>
      </c>
      <c r="U60" s="324">
        <v>17.185863287699998</v>
      </c>
      <c r="V60" s="324">
        <v>9.1066504290000001</v>
      </c>
      <c r="W60" s="324">
        <v>7.9328624236999996</v>
      </c>
      <c r="X60" s="324">
        <v>21.931257100100002</v>
      </c>
      <c r="Y60" s="324">
        <v>-12.531091097699999</v>
      </c>
      <c r="Z60" s="324">
        <v>139.8590163296</v>
      </c>
      <c r="AA60" s="324">
        <v>-73.417723260299994</v>
      </c>
      <c r="AB60" s="324">
        <v>634.92256826170001</v>
      </c>
      <c r="AC60" s="271"/>
      <c r="AD60" s="271"/>
      <c r="AE60" s="271"/>
      <c r="AF60" s="271"/>
      <c r="AG60" s="271"/>
      <c r="AH60" s="271"/>
      <c r="AI60" s="271"/>
      <c r="AJ60" s="271"/>
      <c r="AK60" s="271"/>
      <c r="AL60" s="271"/>
      <c r="AM60" s="271"/>
      <c r="AN60" s="271"/>
      <c r="AO60" s="271"/>
      <c r="AP60" s="271"/>
      <c r="AQ60" s="271"/>
    </row>
    <row r="61" spans="1:43" ht="18" customHeight="1">
      <c r="A61" s="271"/>
      <c r="B61" s="327" t="s">
        <v>505</v>
      </c>
      <c r="C61" s="323" t="s">
        <v>895</v>
      </c>
      <c r="D61" s="324">
        <v>1005.8233397461</v>
      </c>
      <c r="E61" s="324">
        <v>-290.76677851599999</v>
      </c>
      <c r="F61" s="324">
        <v>-84.880188747200009</v>
      </c>
      <c r="G61" s="324">
        <v>1.1558988797</v>
      </c>
      <c r="H61" s="324"/>
      <c r="I61" s="324"/>
      <c r="J61" s="324"/>
      <c r="K61" s="324">
        <v>5.1248635999999993E-2</v>
      </c>
      <c r="L61" s="324">
        <v>7.1104729237999997</v>
      </c>
      <c r="M61" s="324">
        <v>9.9411580000000012E-4</v>
      </c>
      <c r="N61" s="324">
        <v>-161.3042951811</v>
      </c>
      <c r="O61" s="324">
        <v>477.19069185709998</v>
      </c>
      <c r="P61" s="324">
        <v>67.597553005799995</v>
      </c>
      <c r="Q61" s="324">
        <v>-6.0013321807000004</v>
      </c>
      <c r="R61" s="324">
        <v>24.1283783638</v>
      </c>
      <c r="S61" s="324">
        <v>18.841976287200001</v>
      </c>
      <c r="T61" s="324">
        <v>22.9983136763</v>
      </c>
      <c r="U61" s="324">
        <v>16.403312831800001</v>
      </c>
      <c r="V61" s="324">
        <v>9.1066504290000001</v>
      </c>
      <c r="W61" s="324">
        <v>7.9328624236999996</v>
      </c>
      <c r="X61" s="324">
        <v>21.928387777299999</v>
      </c>
      <c r="Y61" s="324">
        <v>-17.835861852499999</v>
      </c>
      <c r="Z61" s="324">
        <v>97.502687755899998</v>
      </c>
      <c r="AA61" s="324">
        <v>-33.951789817699996</v>
      </c>
      <c r="AB61" s="324">
        <v>608.38438895100001</v>
      </c>
      <c r="AC61" s="271"/>
      <c r="AD61" s="271"/>
      <c r="AE61" s="271"/>
      <c r="AF61" s="271"/>
      <c r="AG61" s="271"/>
      <c r="AH61" s="271"/>
      <c r="AI61" s="271"/>
      <c r="AJ61" s="271"/>
      <c r="AK61" s="271"/>
      <c r="AL61" s="271"/>
      <c r="AM61" s="271"/>
      <c r="AN61" s="271"/>
      <c r="AO61" s="271"/>
      <c r="AP61" s="271"/>
      <c r="AQ61" s="271"/>
    </row>
    <row r="62" spans="1:43" ht="18" customHeight="1">
      <c r="A62" s="271"/>
      <c r="B62" s="327" t="s">
        <v>506</v>
      </c>
      <c r="C62" s="323" t="s">
        <v>896</v>
      </c>
      <c r="D62" s="324">
        <v>0.85979238329999996</v>
      </c>
      <c r="E62" s="324">
        <v>1.2556003823000002</v>
      </c>
      <c r="F62" s="324">
        <v>0</v>
      </c>
      <c r="G62" s="324">
        <v>-7.8241309999999996E-4</v>
      </c>
      <c r="H62" s="324"/>
      <c r="I62" s="324"/>
      <c r="J62" s="324"/>
      <c r="K62" s="324">
        <v>-5.7081411200000001E-2</v>
      </c>
      <c r="L62" s="324">
        <v>0</v>
      </c>
      <c r="M62" s="324">
        <v>0</v>
      </c>
      <c r="N62" s="324">
        <v>2.9484303024999998</v>
      </c>
      <c r="O62" s="324">
        <v>5.0059592437999996</v>
      </c>
      <c r="P62" s="324">
        <v>18.641824935799999</v>
      </c>
      <c r="Q62" s="324">
        <v>7.6990134791999996</v>
      </c>
      <c r="R62" s="324">
        <v>19.387475898199998</v>
      </c>
      <c r="S62" s="324">
        <v>7.9959618469000002</v>
      </c>
      <c r="T62" s="324">
        <v>1.1836868159</v>
      </c>
      <c r="U62" s="324">
        <v>0.78255045590000005</v>
      </c>
      <c r="V62" s="324">
        <v>0</v>
      </c>
      <c r="W62" s="324">
        <v>0</v>
      </c>
      <c r="X62" s="324">
        <v>2.8693228000000004E-3</v>
      </c>
      <c r="Y62" s="324">
        <v>5.3047707547999998</v>
      </c>
      <c r="Z62" s="324">
        <v>42.356328573699997</v>
      </c>
      <c r="AA62" s="324">
        <v>-39.465933442600004</v>
      </c>
      <c r="AB62" s="324">
        <v>26.538179310700002</v>
      </c>
      <c r="AC62" s="271"/>
      <c r="AD62" s="271"/>
      <c r="AE62" s="271"/>
      <c r="AF62" s="271"/>
      <c r="AG62" s="271"/>
      <c r="AH62" s="271"/>
      <c r="AI62" s="271"/>
      <c r="AJ62" s="271"/>
      <c r="AK62" s="271"/>
      <c r="AL62" s="271"/>
      <c r="AM62" s="271"/>
      <c r="AN62" s="271"/>
      <c r="AO62" s="271"/>
      <c r="AP62" s="271"/>
      <c r="AQ62" s="271"/>
    </row>
    <row r="63" spans="1:43" ht="18" customHeight="1">
      <c r="A63" s="271"/>
      <c r="B63" s="327" t="s">
        <v>507</v>
      </c>
      <c r="C63" s="323" t="s">
        <v>897</v>
      </c>
      <c r="D63" s="324" t="s">
        <v>414</v>
      </c>
      <c r="E63" s="324" t="s">
        <v>414</v>
      </c>
      <c r="F63" s="324" t="s">
        <v>414</v>
      </c>
      <c r="G63" s="324" t="s">
        <v>414</v>
      </c>
      <c r="H63" s="324"/>
      <c r="I63" s="324"/>
      <c r="J63" s="324"/>
      <c r="K63" s="324" t="s">
        <v>414</v>
      </c>
      <c r="L63" s="324" t="s">
        <v>414</v>
      </c>
      <c r="M63" s="324" t="s">
        <v>414</v>
      </c>
      <c r="N63" s="324" t="s">
        <v>414</v>
      </c>
      <c r="O63" s="324" t="s">
        <v>414</v>
      </c>
      <c r="P63" s="324" t="s">
        <v>414</v>
      </c>
      <c r="Q63" s="324" t="s">
        <v>414</v>
      </c>
      <c r="R63" s="324" t="s">
        <v>414</v>
      </c>
      <c r="S63" s="324" t="s">
        <v>414</v>
      </c>
      <c r="T63" s="324" t="s">
        <v>414</v>
      </c>
      <c r="U63" s="324" t="s">
        <v>414</v>
      </c>
      <c r="V63" s="324" t="s">
        <v>414</v>
      </c>
      <c r="W63" s="324" t="s">
        <v>414</v>
      </c>
      <c r="X63" s="324" t="s">
        <v>414</v>
      </c>
      <c r="Y63" s="324" t="s">
        <v>414</v>
      </c>
      <c r="Z63" s="324" t="s">
        <v>414</v>
      </c>
      <c r="AA63" s="324" t="s">
        <v>414</v>
      </c>
      <c r="AB63" s="324" t="s">
        <v>414</v>
      </c>
      <c r="AC63" s="271"/>
      <c r="AD63" s="271"/>
      <c r="AE63" s="271"/>
      <c r="AF63" s="271"/>
      <c r="AG63" s="271"/>
      <c r="AH63" s="271"/>
      <c r="AI63" s="271"/>
      <c r="AJ63" s="271"/>
      <c r="AK63" s="271"/>
      <c r="AL63" s="271"/>
      <c r="AM63" s="271"/>
      <c r="AN63" s="271"/>
      <c r="AO63" s="271"/>
      <c r="AP63" s="271"/>
      <c r="AQ63" s="271"/>
    </row>
    <row r="64" spans="1:43" ht="18" customHeight="1">
      <c r="A64" s="271"/>
      <c r="B64" s="326" t="s">
        <v>508</v>
      </c>
      <c r="C64" s="323" t="s">
        <v>898</v>
      </c>
      <c r="D64" s="324">
        <v>28875.139718207796</v>
      </c>
      <c r="E64" s="324">
        <v>-1910.5231454435998</v>
      </c>
      <c r="F64" s="324">
        <v>584.73626443180001</v>
      </c>
      <c r="G64" s="324">
        <v>83.296672311899997</v>
      </c>
      <c r="H64" s="324"/>
      <c r="I64" s="324"/>
      <c r="J64" s="324"/>
      <c r="K64" s="324">
        <v>-52.187948742399996</v>
      </c>
      <c r="L64" s="324">
        <v>43.975770087400001</v>
      </c>
      <c r="M64" s="324">
        <v>0.95452900979999999</v>
      </c>
      <c r="N64" s="324">
        <v>385.82363883610003</v>
      </c>
      <c r="O64" s="324">
        <v>28011.215498698799</v>
      </c>
      <c r="P64" s="324">
        <v>61.806671706700001</v>
      </c>
      <c r="Q64" s="324">
        <v>679.40306041600002</v>
      </c>
      <c r="R64" s="324">
        <v>672.96456919709999</v>
      </c>
      <c r="S64" s="324">
        <v>189.27456319590001</v>
      </c>
      <c r="T64" s="324">
        <v>595.88523694740002</v>
      </c>
      <c r="U64" s="324">
        <v>153.32777340219999</v>
      </c>
      <c r="V64" s="324">
        <v>64.259745419200001</v>
      </c>
      <c r="W64" s="324">
        <v>77.362082269799998</v>
      </c>
      <c r="X64" s="324">
        <v>69.711573589899999</v>
      </c>
      <c r="Y64" s="324">
        <v>-8.1984151832999999</v>
      </c>
      <c r="Z64" s="324">
        <v>2493.9901892542002</v>
      </c>
      <c r="AA64" s="324">
        <v>-4446.1358600630001</v>
      </c>
      <c r="AB64" s="324">
        <v>26120.876499596699</v>
      </c>
      <c r="AC64" s="271"/>
      <c r="AD64" s="271"/>
      <c r="AE64" s="271"/>
      <c r="AF64" s="271"/>
      <c r="AG64" s="271"/>
      <c r="AH64" s="271"/>
      <c r="AI64" s="271"/>
      <c r="AJ64" s="271"/>
      <c r="AK64" s="271"/>
      <c r="AL64" s="271"/>
      <c r="AM64" s="271"/>
      <c r="AN64" s="271"/>
      <c r="AO64" s="271"/>
      <c r="AP64" s="271"/>
      <c r="AQ64" s="271"/>
    </row>
    <row r="65" spans="1:43" ht="18" customHeight="1">
      <c r="A65" s="271"/>
      <c r="B65" s="326" t="s">
        <v>509</v>
      </c>
      <c r="C65" s="323" t="s">
        <v>899</v>
      </c>
      <c r="D65" s="324">
        <v>21321.499565566701</v>
      </c>
      <c r="E65" s="324">
        <v>-1689.5115646086999</v>
      </c>
      <c r="F65" s="324">
        <v>410.27391453889999</v>
      </c>
      <c r="G65" s="324">
        <v>57.396519476599998</v>
      </c>
      <c r="H65" s="324"/>
      <c r="I65" s="324"/>
      <c r="J65" s="324"/>
      <c r="K65" s="324">
        <v>-43.653231588599994</v>
      </c>
      <c r="L65" s="324">
        <v>6.8954620517999992</v>
      </c>
      <c r="M65" s="324">
        <v>0.98767921459999997</v>
      </c>
      <c r="N65" s="324">
        <v>93.510360543399997</v>
      </c>
      <c r="O65" s="324">
        <v>20157.398705194701</v>
      </c>
      <c r="P65" s="324">
        <v>72.270852565400006</v>
      </c>
      <c r="Q65" s="324">
        <v>431.37246870400003</v>
      </c>
      <c r="R65" s="324">
        <v>507.60049210940002</v>
      </c>
      <c r="S65" s="324">
        <v>62.141865263500002</v>
      </c>
      <c r="T65" s="324">
        <v>291.61511402919996</v>
      </c>
      <c r="U65" s="324">
        <v>109.1388827915</v>
      </c>
      <c r="V65" s="324">
        <v>25.586904267399998</v>
      </c>
      <c r="W65" s="324">
        <v>53.0731688332</v>
      </c>
      <c r="X65" s="324">
        <v>46.712183767100001</v>
      </c>
      <c r="Y65" s="324">
        <v>-5.9603128825000002</v>
      </c>
      <c r="Z65" s="324">
        <v>1521.2807668828</v>
      </c>
      <c r="AA65" s="324">
        <v>-4126.4129408827002</v>
      </c>
      <c r="AB65" s="324">
        <v>17624.537383760202</v>
      </c>
      <c r="AC65" s="271"/>
      <c r="AD65" s="271"/>
      <c r="AE65" s="271"/>
      <c r="AF65" s="271"/>
      <c r="AG65" s="271"/>
      <c r="AH65" s="271"/>
      <c r="AI65" s="271"/>
      <c r="AJ65" s="271"/>
      <c r="AK65" s="271"/>
      <c r="AL65" s="271"/>
      <c r="AM65" s="271"/>
      <c r="AN65" s="271"/>
      <c r="AO65" s="271"/>
      <c r="AP65" s="271"/>
      <c r="AQ65" s="271"/>
    </row>
    <row r="66" spans="1:43" ht="18" customHeight="1">
      <c r="A66" s="271"/>
      <c r="B66" s="329" t="s">
        <v>510</v>
      </c>
      <c r="C66" s="323" t="s">
        <v>900</v>
      </c>
      <c r="D66" s="324" t="s">
        <v>414</v>
      </c>
      <c r="E66" s="324" t="s">
        <v>414</v>
      </c>
      <c r="F66" s="324" t="s">
        <v>414</v>
      </c>
      <c r="G66" s="324" t="s">
        <v>414</v>
      </c>
      <c r="H66" s="324"/>
      <c r="I66" s="324"/>
      <c r="J66" s="324"/>
      <c r="K66" s="324" t="s">
        <v>414</v>
      </c>
      <c r="L66" s="324" t="s">
        <v>414</v>
      </c>
      <c r="M66" s="324" t="s">
        <v>414</v>
      </c>
      <c r="N66" s="324" t="s">
        <v>414</v>
      </c>
      <c r="O66" s="324" t="s">
        <v>414</v>
      </c>
      <c r="P66" s="324" t="s">
        <v>414</v>
      </c>
      <c r="Q66" s="324" t="s">
        <v>414</v>
      </c>
      <c r="R66" s="324" t="s">
        <v>414</v>
      </c>
      <c r="S66" s="324" t="s">
        <v>414</v>
      </c>
      <c r="T66" s="324" t="s">
        <v>414</v>
      </c>
      <c r="U66" s="324" t="s">
        <v>414</v>
      </c>
      <c r="V66" s="324" t="s">
        <v>414</v>
      </c>
      <c r="W66" s="324" t="s">
        <v>414</v>
      </c>
      <c r="X66" s="324" t="s">
        <v>414</v>
      </c>
      <c r="Y66" s="324" t="s">
        <v>414</v>
      </c>
      <c r="Z66" s="324" t="s">
        <v>414</v>
      </c>
      <c r="AA66" s="324" t="s">
        <v>414</v>
      </c>
      <c r="AB66" s="324" t="s">
        <v>414</v>
      </c>
      <c r="AC66" s="271"/>
      <c r="AD66" s="271"/>
      <c r="AE66" s="271"/>
      <c r="AF66" s="271"/>
      <c r="AG66" s="271"/>
      <c r="AH66" s="271"/>
      <c r="AI66" s="271"/>
      <c r="AJ66" s="271"/>
      <c r="AK66" s="271"/>
      <c r="AL66" s="271"/>
      <c r="AM66" s="271"/>
      <c r="AN66" s="271"/>
      <c r="AO66" s="271"/>
      <c r="AP66" s="271"/>
      <c r="AQ66" s="271"/>
    </row>
    <row r="67" spans="1:43" ht="18" customHeight="1">
      <c r="A67" s="271"/>
      <c r="B67" s="326" t="s">
        <v>511</v>
      </c>
      <c r="C67" s="323" t="s">
        <v>901</v>
      </c>
      <c r="D67" s="324">
        <v>2686.8405972782998</v>
      </c>
      <c r="E67" s="324">
        <v>-1.7527725602000002</v>
      </c>
      <c r="F67" s="324">
        <v>85.417289090200001</v>
      </c>
      <c r="G67" s="324">
        <v>5.4697754096000004</v>
      </c>
      <c r="H67" s="324"/>
      <c r="I67" s="324"/>
      <c r="J67" s="324"/>
      <c r="K67" s="324">
        <v>0</v>
      </c>
      <c r="L67" s="324">
        <v>10.574893158</v>
      </c>
      <c r="M67" s="324">
        <v>3.4862510000000001E-4</v>
      </c>
      <c r="N67" s="324">
        <v>-4.1546438322000006</v>
      </c>
      <c r="O67" s="324">
        <v>2782.3954871688002</v>
      </c>
      <c r="P67" s="324">
        <v>2.3957277716999998</v>
      </c>
      <c r="Q67" s="324">
        <v>21.869680988500001</v>
      </c>
      <c r="R67" s="324">
        <v>12.820392952999999</v>
      </c>
      <c r="S67" s="324">
        <v>41.752598473900001</v>
      </c>
      <c r="T67" s="324">
        <v>3.0912699329000004</v>
      </c>
      <c r="U67" s="324">
        <v>0.63641842939999993</v>
      </c>
      <c r="V67" s="324">
        <v>6.0187439071000002</v>
      </c>
      <c r="W67" s="324">
        <v>0.2378948005</v>
      </c>
      <c r="X67" s="324">
        <v>4.5181340955999998</v>
      </c>
      <c r="Y67" s="324">
        <v>0.26988419969999999</v>
      </c>
      <c r="Z67" s="324">
        <v>91.215017780599993</v>
      </c>
      <c r="AA67" s="324">
        <v>-21.342199880399999</v>
      </c>
      <c r="AB67" s="324">
        <v>2854.6640328407002</v>
      </c>
      <c r="AC67" s="271"/>
      <c r="AD67" s="271"/>
      <c r="AE67" s="271"/>
      <c r="AF67" s="271"/>
      <c r="AG67" s="271"/>
      <c r="AH67" s="271"/>
      <c r="AI67" s="271"/>
      <c r="AJ67" s="271"/>
      <c r="AK67" s="271"/>
      <c r="AL67" s="271"/>
      <c r="AM67" s="271"/>
      <c r="AN67" s="271"/>
      <c r="AO67" s="271"/>
      <c r="AP67" s="271"/>
      <c r="AQ67" s="271"/>
    </row>
    <row r="68" spans="1:43" ht="18" customHeight="1">
      <c r="A68" s="271"/>
      <c r="B68" s="325" t="s">
        <v>512</v>
      </c>
      <c r="C68" s="323" t="s">
        <v>1166</v>
      </c>
      <c r="D68" s="324">
        <v>24.582749024400002</v>
      </c>
      <c r="E68" s="324">
        <v>-0.1146412149</v>
      </c>
      <c r="F68" s="324">
        <v>3.0747590554000004</v>
      </c>
      <c r="G68" s="324">
        <v>0.22106912989999999</v>
      </c>
      <c r="H68" s="324"/>
      <c r="I68" s="324"/>
      <c r="J68" s="324"/>
      <c r="K68" s="324">
        <v>0</v>
      </c>
      <c r="L68" s="324">
        <v>5.8140613299999998E-2</v>
      </c>
      <c r="M68" s="324">
        <v>8.8136299999999992E-5</v>
      </c>
      <c r="N68" s="324">
        <v>-0.2904823372</v>
      </c>
      <c r="O68" s="324">
        <v>27.531682407199998</v>
      </c>
      <c r="P68" s="324">
        <v>0.79948944769999997</v>
      </c>
      <c r="Q68" s="324">
        <v>39.822859806499999</v>
      </c>
      <c r="R68" s="324">
        <v>3.1186726502999997</v>
      </c>
      <c r="S68" s="324">
        <v>0.82536296440000001</v>
      </c>
      <c r="T68" s="324">
        <v>1.2032101398000001</v>
      </c>
      <c r="U68" s="324">
        <v>0.59050375310000003</v>
      </c>
      <c r="V68" s="324">
        <v>0.6090316214</v>
      </c>
      <c r="W68" s="324">
        <v>0.2333000965</v>
      </c>
      <c r="X68" s="324">
        <v>0.92033323849999993</v>
      </c>
      <c r="Y68" s="324">
        <v>8.1632434800000001E-2</v>
      </c>
      <c r="Z68" s="324">
        <v>47.4049067053</v>
      </c>
      <c r="AA68" s="324">
        <v>0</v>
      </c>
      <c r="AB68" s="324">
        <v>75.736078560199999</v>
      </c>
      <c r="AC68" s="271"/>
      <c r="AD68" s="271"/>
      <c r="AE68" s="271"/>
      <c r="AF68" s="271"/>
      <c r="AG68" s="271"/>
      <c r="AH68" s="271"/>
      <c r="AI68" s="271"/>
      <c r="AJ68" s="271"/>
      <c r="AK68" s="271"/>
      <c r="AL68" s="271"/>
      <c r="AM68" s="271"/>
      <c r="AN68" s="271"/>
      <c r="AO68" s="271"/>
      <c r="AP68" s="271"/>
      <c r="AQ68" s="271"/>
    </row>
    <row r="69" spans="1:43" ht="14.25" customHeight="1">
      <c r="A69" s="271"/>
      <c r="B69" s="280"/>
      <c r="C69" s="280"/>
      <c r="D69" s="271"/>
      <c r="E69" s="271"/>
      <c r="F69" s="271"/>
      <c r="G69" s="271"/>
      <c r="H69" s="271"/>
      <c r="I69" s="271"/>
      <c r="J69" s="271"/>
      <c r="K69" s="271"/>
      <c r="L69" s="271"/>
      <c r="M69" s="271"/>
      <c r="N69" s="271"/>
      <c r="O69" s="271"/>
      <c r="P69" s="271"/>
      <c r="Q69" s="271"/>
      <c r="R69" s="271"/>
      <c r="S69" s="271"/>
      <c r="T69" s="271"/>
      <c r="U69" s="271"/>
      <c r="V69" s="271"/>
      <c r="W69" s="271"/>
      <c r="X69" s="271"/>
      <c r="Y69" s="271"/>
      <c r="Z69" s="271"/>
      <c r="AA69" s="271"/>
      <c r="AB69" s="271"/>
      <c r="AC69" s="271"/>
      <c r="AD69" s="271"/>
      <c r="AE69" s="271"/>
      <c r="AF69" s="271"/>
      <c r="AG69" s="271"/>
      <c r="AH69" s="271"/>
      <c r="AI69" s="271"/>
      <c r="AJ69" s="271"/>
      <c r="AK69" s="271"/>
      <c r="AL69" s="271"/>
      <c r="AM69" s="271"/>
      <c r="AN69" s="271"/>
      <c r="AO69" s="271"/>
      <c r="AP69" s="271"/>
      <c r="AQ69" s="271"/>
    </row>
    <row r="70" spans="1:43" ht="14.25" customHeight="1">
      <c r="A70" s="271"/>
      <c r="B70" s="281"/>
      <c r="C70" s="281"/>
      <c r="D70" s="271"/>
      <c r="E70" s="271"/>
      <c r="F70" s="271"/>
      <c r="G70" s="271"/>
      <c r="H70" s="271"/>
      <c r="I70" s="271"/>
      <c r="J70" s="271"/>
      <c r="K70" s="271"/>
      <c r="L70" s="271"/>
      <c r="M70" s="271"/>
      <c r="N70" s="271"/>
      <c r="O70" s="271"/>
      <c r="P70" s="271"/>
      <c r="Q70" s="271"/>
      <c r="R70" s="271"/>
      <c r="S70" s="271"/>
      <c r="T70" s="271"/>
      <c r="U70" s="271"/>
      <c r="V70" s="271"/>
      <c r="W70" s="271"/>
      <c r="X70" s="271"/>
      <c r="Y70" s="271"/>
      <c r="Z70" s="271"/>
      <c r="AA70" s="271"/>
      <c r="AB70" s="271"/>
      <c r="AC70" s="271"/>
      <c r="AD70" s="271"/>
      <c r="AE70" s="271"/>
      <c r="AF70" s="271"/>
      <c r="AG70" s="271"/>
      <c r="AH70" s="271"/>
      <c r="AI70" s="271"/>
      <c r="AJ70" s="271"/>
      <c r="AK70" s="271"/>
      <c r="AL70" s="271"/>
      <c r="AM70" s="271"/>
      <c r="AN70" s="271"/>
      <c r="AO70" s="271"/>
      <c r="AP70" s="271"/>
      <c r="AQ70" s="271"/>
    </row>
    <row r="71" spans="1:43" ht="14.25" customHeight="1">
      <c r="A71" s="271"/>
      <c r="B71" s="281"/>
      <c r="C71" s="281"/>
      <c r="D71" s="271"/>
      <c r="E71" s="271"/>
      <c r="F71" s="271"/>
      <c r="G71" s="271"/>
      <c r="H71" s="271"/>
      <c r="I71" s="271"/>
      <c r="J71" s="271"/>
      <c r="K71" s="271"/>
      <c r="L71" s="271"/>
      <c r="M71" s="271"/>
      <c r="N71" s="271"/>
      <c r="O71" s="271"/>
      <c r="P71" s="271"/>
      <c r="Q71" s="271"/>
      <c r="R71" s="271"/>
      <c r="S71" s="271"/>
      <c r="T71" s="271"/>
      <c r="U71" s="271"/>
      <c r="V71" s="271"/>
      <c r="W71" s="271"/>
      <c r="X71" s="271"/>
      <c r="Y71" s="271"/>
      <c r="Z71" s="271"/>
      <c r="AA71" s="271"/>
      <c r="AB71" s="271"/>
      <c r="AC71" s="271"/>
      <c r="AD71" s="271"/>
      <c r="AE71" s="271"/>
      <c r="AF71" s="271"/>
      <c r="AG71" s="271"/>
      <c r="AH71" s="271"/>
      <c r="AI71" s="271"/>
      <c r="AJ71" s="271"/>
      <c r="AK71" s="271"/>
      <c r="AL71" s="271"/>
      <c r="AM71" s="271"/>
      <c r="AN71" s="271"/>
      <c r="AO71" s="271"/>
      <c r="AP71" s="271"/>
      <c r="AQ71" s="271"/>
    </row>
    <row r="72" spans="1:43" ht="14.25" customHeight="1">
      <c r="A72" s="271"/>
      <c r="B72" s="306" t="s">
        <v>980</v>
      </c>
      <c r="C72" s="307"/>
      <c r="D72" s="308" t="s">
        <v>1006</v>
      </c>
      <c r="E72" s="308" t="s">
        <v>1005</v>
      </c>
      <c r="F72" s="271"/>
      <c r="G72" s="271"/>
      <c r="H72" s="271"/>
      <c r="I72" s="271"/>
      <c r="J72" s="271"/>
      <c r="K72" s="271"/>
      <c r="L72" s="271"/>
      <c r="M72" s="271"/>
      <c r="N72" s="271"/>
      <c r="O72" s="271"/>
      <c r="P72" s="271"/>
      <c r="Q72" s="271"/>
      <c r="R72" s="271"/>
      <c r="S72" s="271"/>
      <c r="T72" s="271"/>
      <c r="U72" s="271"/>
      <c r="V72" s="271"/>
      <c r="W72" s="271"/>
      <c r="X72" s="271"/>
      <c r="Y72" s="271"/>
      <c r="Z72" s="271"/>
      <c r="AA72" s="271"/>
      <c r="AB72" s="271"/>
      <c r="AC72" s="271"/>
      <c r="AD72" s="271"/>
      <c r="AE72" s="271"/>
      <c r="AF72" s="271"/>
      <c r="AG72" s="271"/>
      <c r="AH72" s="271"/>
      <c r="AI72" s="271"/>
      <c r="AJ72" s="271"/>
      <c r="AK72" s="271"/>
      <c r="AL72" s="271"/>
      <c r="AM72" s="271"/>
      <c r="AN72" s="271"/>
      <c r="AO72" s="271"/>
      <c r="AP72" s="271"/>
      <c r="AQ72" s="271"/>
    </row>
    <row r="73" spans="1:43" ht="14.25" customHeight="1">
      <c r="A73" s="271"/>
      <c r="B73" s="270" t="s">
        <v>1002</v>
      </c>
      <c r="C73" s="311"/>
      <c r="D73" s="312"/>
      <c r="E73" s="305"/>
      <c r="F73" s="271"/>
      <c r="G73" s="271"/>
      <c r="H73" s="271"/>
      <c r="I73" s="271"/>
      <c r="J73" s="271"/>
      <c r="K73" s="271"/>
      <c r="L73" s="271"/>
      <c r="M73" s="271"/>
      <c r="N73" s="271"/>
      <c r="O73" s="271"/>
      <c r="P73" s="271"/>
      <c r="Q73" s="271"/>
      <c r="R73" s="271"/>
      <c r="S73" s="271"/>
      <c r="T73" s="271"/>
      <c r="U73" s="271"/>
      <c r="V73" s="271"/>
      <c r="W73" s="271"/>
      <c r="X73" s="271"/>
      <c r="Y73" s="271"/>
      <c r="Z73" s="271"/>
      <c r="AA73" s="271"/>
      <c r="AB73" s="271"/>
      <c r="AC73" s="271"/>
      <c r="AD73" s="271"/>
      <c r="AE73" s="271"/>
      <c r="AF73" s="271"/>
      <c r="AG73" s="271"/>
      <c r="AH73" s="271"/>
      <c r="AI73" s="271"/>
      <c r="AJ73" s="271"/>
      <c r="AK73" s="271"/>
      <c r="AL73" s="271"/>
      <c r="AM73" s="271"/>
      <c r="AN73" s="271"/>
      <c r="AO73" s="271"/>
      <c r="AP73" s="271"/>
      <c r="AQ73" s="271"/>
    </row>
    <row r="74" spans="1:43" ht="14.25" customHeight="1">
      <c r="B74" s="287" t="s">
        <v>996</v>
      </c>
      <c r="C74" s="304"/>
      <c r="D74" s="286">
        <f>SUM(D8:E8,L8:M8)</f>
        <v>21672.863726223401</v>
      </c>
      <c r="E74" s="305" t="s">
        <v>1020</v>
      </c>
      <c r="F74" s="271"/>
      <c r="G74" s="271"/>
      <c r="H74" s="271"/>
      <c r="I74" s="271"/>
      <c r="J74" s="271"/>
      <c r="K74" s="271"/>
      <c r="L74" s="271"/>
      <c r="M74" s="271"/>
      <c r="N74" s="271"/>
      <c r="O74" s="271"/>
      <c r="P74" s="271"/>
      <c r="Q74" s="271"/>
      <c r="R74" s="271"/>
      <c r="S74" s="271"/>
      <c r="T74" s="271"/>
      <c r="U74" s="271"/>
      <c r="V74" s="271"/>
      <c r="W74" s="271"/>
      <c r="X74" s="271"/>
      <c r="Y74" s="271"/>
      <c r="Z74" s="271"/>
      <c r="AA74" s="271"/>
      <c r="AB74" s="271"/>
    </row>
    <row r="75" spans="1:43" ht="14.25" customHeight="1">
      <c r="B75" s="313" t="s">
        <v>997</v>
      </c>
      <c r="C75" s="304"/>
      <c r="D75" s="286">
        <f>D18+E18+L18-O22</f>
        <v>20933.547944437403</v>
      </c>
      <c r="E75" s="305" t="s">
        <v>1019</v>
      </c>
      <c r="F75" s="271"/>
      <c r="G75" s="271"/>
      <c r="H75" s="271"/>
      <c r="I75" s="271"/>
      <c r="J75" s="271"/>
      <c r="K75" s="271"/>
      <c r="L75" s="271"/>
      <c r="M75" s="271"/>
      <c r="N75" s="271"/>
      <c r="O75" s="271"/>
      <c r="P75" s="271"/>
      <c r="Q75" s="271"/>
      <c r="R75" s="271"/>
      <c r="S75" s="271"/>
      <c r="T75" s="271"/>
      <c r="U75" s="271"/>
      <c r="V75" s="271"/>
      <c r="W75" s="271"/>
      <c r="X75" s="271"/>
      <c r="Y75" s="271"/>
      <c r="Z75" s="271"/>
      <c r="AA75" s="271"/>
      <c r="AB75" s="271"/>
    </row>
    <row r="76" spans="1:43" ht="14.25" customHeight="1">
      <c r="B76" s="313" t="s">
        <v>84</v>
      </c>
      <c r="C76" s="304"/>
      <c r="D76" s="286">
        <f>O22</f>
        <v>665.67473519600003</v>
      </c>
      <c r="E76" s="305" t="s">
        <v>1026</v>
      </c>
      <c r="F76" s="271"/>
      <c r="G76" s="271"/>
      <c r="H76" s="271"/>
      <c r="I76" s="271"/>
      <c r="J76" s="271"/>
      <c r="K76" s="271"/>
      <c r="L76" s="271"/>
      <c r="M76" s="271"/>
      <c r="N76" s="271"/>
      <c r="O76" s="271"/>
      <c r="P76" s="271"/>
      <c r="Q76" s="271"/>
      <c r="R76" s="271"/>
      <c r="S76" s="271"/>
      <c r="T76" s="271"/>
      <c r="U76" s="271"/>
      <c r="V76" s="271"/>
      <c r="W76" s="271"/>
      <c r="X76" s="271"/>
      <c r="Y76" s="271"/>
      <c r="Z76" s="271"/>
      <c r="AA76" s="271"/>
      <c r="AB76" s="271"/>
    </row>
    <row r="77" spans="1:43" ht="14.25" customHeight="1">
      <c r="B77" s="313" t="s">
        <v>53</v>
      </c>
      <c r="C77" s="304"/>
      <c r="D77" s="286">
        <f>D74-D75-D76</f>
        <v>73.641046589997359</v>
      </c>
      <c r="E77" s="305" t="s">
        <v>1021</v>
      </c>
      <c r="F77" s="271"/>
      <c r="G77" s="271"/>
      <c r="H77" s="271"/>
      <c r="I77" s="271"/>
      <c r="J77" s="271"/>
      <c r="K77" s="271"/>
      <c r="L77" s="271"/>
      <c r="M77" s="271"/>
      <c r="N77" s="271"/>
      <c r="O77" s="271"/>
      <c r="P77" s="271"/>
      <c r="Q77" s="271"/>
      <c r="R77" s="271"/>
      <c r="S77" s="271"/>
      <c r="T77" s="271"/>
      <c r="U77" s="271"/>
      <c r="V77" s="271"/>
      <c r="W77" s="271"/>
      <c r="X77" s="271"/>
      <c r="Y77" s="271"/>
      <c r="Z77" s="271"/>
      <c r="AA77" s="271"/>
      <c r="AB77" s="271"/>
    </row>
    <row r="78" spans="1:43" ht="14.25" customHeight="1">
      <c r="B78" s="287" t="s">
        <v>998</v>
      </c>
      <c r="C78" s="304"/>
      <c r="D78" s="305"/>
      <c r="E78" s="305"/>
      <c r="F78" s="271"/>
      <c r="G78" s="271"/>
      <c r="H78" s="271"/>
      <c r="I78" s="271"/>
      <c r="J78" s="271"/>
      <c r="K78" s="271"/>
      <c r="L78" s="271"/>
      <c r="M78" s="271"/>
      <c r="N78" s="271"/>
      <c r="O78" s="271"/>
      <c r="P78" s="271"/>
      <c r="Q78" s="271"/>
      <c r="R78" s="271"/>
      <c r="S78" s="271"/>
      <c r="T78" s="271"/>
      <c r="U78" s="271"/>
      <c r="V78" s="271"/>
      <c r="W78" s="271"/>
      <c r="X78" s="271"/>
      <c r="Y78" s="271"/>
      <c r="Z78" s="271"/>
      <c r="AA78" s="271"/>
      <c r="AB78" s="271"/>
    </row>
    <row r="79" spans="1:43" ht="14.25" customHeight="1">
      <c r="B79" s="313" t="s">
        <v>999</v>
      </c>
      <c r="C79" s="304"/>
      <c r="D79" s="286">
        <f>Z8</f>
        <v>2267.6820545240998</v>
      </c>
      <c r="E79" s="305" t="s">
        <v>1022</v>
      </c>
      <c r="F79" s="271"/>
      <c r="G79" s="271"/>
      <c r="H79" s="271"/>
      <c r="I79" s="271"/>
      <c r="J79" s="271"/>
      <c r="K79" s="271"/>
      <c r="L79" s="271"/>
      <c r="M79" s="271"/>
      <c r="N79" s="271"/>
      <c r="O79" s="271"/>
      <c r="P79" s="271"/>
      <c r="Q79" s="271"/>
      <c r="R79" s="271"/>
      <c r="S79" s="271"/>
      <c r="T79" s="271"/>
      <c r="U79" s="271"/>
      <c r="V79" s="271"/>
      <c r="W79" s="271"/>
      <c r="X79" s="271"/>
      <c r="Y79" s="271"/>
      <c r="Z79" s="271"/>
      <c r="AA79" s="271"/>
      <c r="AB79" s="271"/>
    </row>
    <row r="80" spans="1:43" ht="14.25" customHeight="1">
      <c r="B80" s="313" t="s">
        <v>154</v>
      </c>
      <c r="C80" s="304"/>
      <c r="D80" s="286">
        <f>SUM(F8:K8)</f>
        <v>664.40590547840009</v>
      </c>
      <c r="E80" s="305" t="s">
        <v>1025</v>
      </c>
      <c r="F80" s="271"/>
      <c r="G80" s="271"/>
      <c r="H80" s="271"/>
      <c r="I80" s="271"/>
      <c r="J80" s="271"/>
      <c r="K80" s="271"/>
      <c r="L80" s="271"/>
      <c r="M80" s="271"/>
      <c r="N80" s="271"/>
      <c r="O80" s="271"/>
      <c r="P80" s="271"/>
      <c r="Q80" s="271"/>
      <c r="R80" s="271"/>
      <c r="S80" s="271"/>
      <c r="T80" s="271"/>
      <c r="U80" s="271"/>
      <c r="V80" s="271"/>
      <c r="W80" s="271"/>
      <c r="X80" s="271"/>
      <c r="Y80" s="271"/>
      <c r="Z80" s="271"/>
      <c r="AA80" s="271"/>
      <c r="AB80" s="271"/>
    </row>
    <row r="81" spans="2:28" ht="14.25" customHeight="1">
      <c r="B81" s="287" t="s">
        <v>1000</v>
      </c>
      <c r="C81" s="304"/>
      <c r="D81" s="286">
        <f>P8</f>
        <v>228.19166697430001</v>
      </c>
      <c r="E81" s="305" t="s">
        <v>1023</v>
      </c>
      <c r="F81" s="271"/>
      <c r="G81" s="271"/>
      <c r="H81" s="271"/>
      <c r="I81" s="271"/>
      <c r="J81" s="271"/>
      <c r="K81" s="271"/>
      <c r="L81" s="271"/>
      <c r="M81" s="271"/>
      <c r="N81" s="271"/>
      <c r="O81" s="271"/>
      <c r="P81" s="271"/>
      <c r="Q81" s="271"/>
      <c r="R81" s="271"/>
      <c r="S81" s="271"/>
      <c r="T81" s="271"/>
      <c r="U81" s="271"/>
      <c r="V81" s="271"/>
      <c r="W81" s="271"/>
      <c r="X81" s="271"/>
      <c r="Y81" s="271"/>
      <c r="Z81" s="271"/>
      <c r="AA81" s="271"/>
      <c r="AB81" s="271"/>
    </row>
    <row r="82" spans="2:28" ht="14.25" customHeight="1">
      <c r="B82" s="287" t="s">
        <v>1001</v>
      </c>
      <c r="C82" s="304"/>
      <c r="D82" s="286">
        <f>N8+AA8</f>
        <v>-1596.6160554644002</v>
      </c>
      <c r="E82" s="305" t="s">
        <v>1024</v>
      </c>
      <c r="F82" s="271"/>
      <c r="G82" s="271"/>
      <c r="H82" s="271"/>
      <c r="I82" s="271"/>
      <c r="J82" s="271"/>
      <c r="K82" s="271"/>
      <c r="L82" s="271"/>
      <c r="M82" s="271"/>
      <c r="N82" s="271"/>
      <c r="O82" s="271"/>
      <c r="P82" s="271"/>
      <c r="Q82" s="271"/>
      <c r="R82" s="271"/>
      <c r="S82" s="271"/>
      <c r="T82" s="271"/>
      <c r="U82" s="271"/>
      <c r="V82" s="271"/>
      <c r="W82" s="271"/>
      <c r="X82" s="271"/>
      <c r="Y82" s="271"/>
      <c r="Z82" s="271"/>
      <c r="AA82" s="271"/>
      <c r="AB82" s="271"/>
    </row>
    <row r="83" spans="2:28" ht="14.25" customHeight="1">
      <c r="B83" s="239"/>
      <c r="C83" s="304"/>
      <c r="D83" s="305"/>
      <c r="E83" s="305"/>
      <c r="F83" s="271"/>
      <c r="G83" s="271"/>
      <c r="H83" s="271"/>
      <c r="I83" s="271"/>
      <c r="J83" s="271"/>
      <c r="K83" s="271"/>
      <c r="L83" s="271"/>
      <c r="M83" s="271"/>
      <c r="N83" s="271"/>
      <c r="O83" s="271"/>
      <c r="P83" s="271"/>
      <c r="Q83" s="271"/>
      <c r="R83" s="271"/>
      <c r="S83" s="271"/>
      <c r="T83" s="271"/>
      <c r="U83" s="271"/>
      <c r="V83" s="271"/>
      <c r="W83" s="271"/>
      <c r="X83" s="271"/>
      <c r="Y83" s="271"/>
      <c r="Z83" s="271"/>
      <c r="AA83" s="271"/>
      <c r="AB83" s="271"/>
    </row>
    <row r="84" spans="2:28" ht="14.25" customHeight="1">
      <c r="B84" s="270" t="s">
        <v>1136</v>
      </c>
      <c r="C84" s="304"/>
      <c r="D84" s="286"/>
      <c r="E84" s="305"/>
      <c r="F84" s="271"/>
      <c r="G84" s="271"/>
      <c r="H84" s="271"/>
      <c r="I84" s="271"/>
      <c r="J84" s="271"/>
      <c r="K84" s="271"/>
      <c r="L84" s="271"/>
      <c r="M84" s="271"/>
      <c r="N84" s="271"/>
      <c r="O84" s="271"/>
      <c r="P84" s="271"/>
      <c r="Q84" s="271"/>
      <c r="R84" s="271"/>
      <c r="S84" s="271"/>
      <c r="T84" s="271"/>
      <c r="U84" s="271"/>
      <c r="V84" s="271"/>
      <c r="W84" s="271"/>
      <c r="X84" s="271"/>
      <c r="Y84" s="271"/>
      <c r="Z84" s="271"/>
      <c r="AA84" s="271"/>
      <c r="AB84" s="271"/>
    </row>
    <row r="85" spans="2:28" ht="14.25" customHeight="1">
      <c r="B85" s="287" t="s">
        <v>1042</v>
      </c>
      <c r="C85" s="304"/>
      <c r="D85" s="286">
        <f>AB27-AB39-AB41-AB42-AB43-AB45</f>
        <v>21695.678358900299</v>
      </c>
      <c r="E85" s="305" t="s">
        <v>1044</v>
      </c>
      <c r="F85" s="271"/>
      <c r="G85" s="271"/>
      <c r="H85" s="271"/>
      <c r="I85" s="271"/>
      <c r="J85" s="271"/>
      <c r="K85" s="271"/>
      <c r="L85" s="271"/>
      <c r="M85" s="271"/>
      <c r="N85" s="271"/>
      <c r="O85" s="271"/>
      <c r="P85" s="271"/>
      <c r="Q85" s="271"/>
      <c r="R85" s="271"/>
      <c r="S85" s="271"/>
      <c r="T85" s="271"/>
      <c r="U85" s="271"/>
      <c r="V85" s="271"/>
      <c r="W85" s="271"/>
      <c r="X85" s="271"/>
      <c r="Y85" s="271"/>
      <c r="Z85" s="271"/>
      <c r="AA85" s="271"/>
      <c r="AB85" s="271"/>
    </row>
    <row r="86" spans="2:28" ht="14.25" customHeight="1">
      <c r="B86" s="287" t="s">
        <v>1038</v>
      </c>
      <c r="C86" s="304"/>
      <c r="D86" s="286">
        <f>SUM(D28:E28,L28:M28)</f>
        <v>20461.407208259498</v>
      </c>
      <c r="E86" s="305" t="s">
        <v>1041</v>
      </c>
      <c r="F86" s="271"/>
      <c r="G86" s="271"/>
      <c r="H86" s="271"/>
      <c r="I86" s="271"/>
      <c r="J86" s="271"/>
      <c r="K86" s="271"/>
      <c r="L86" s="271"/>
      <c r="M86" s="271"/>
      <c r="N86" s="271"/>
      <c r="O86" s="271"/>
      <c r="P86" s="271"/>
      <c r="Q86" s="271"/>
      <c r="R86" s="271"/>
      <c r="S86" s="271"/>
      <c r="T86" s="271"/>
      <c r="U86" s="271"/>
      <c r="V86" s="271"/>
      <c r="W86" s="271"/>
      <c r="X86" s="271"/>
      <c r="Y86" s="271"/>
      <c r="Z86" s="271"/>
      <c r="AA86" s="271"/>
      <c r="AB86" s="271"/>
    </row>
    <row r="87" spans="2:28" ht="14.25" customHeight="1">
      <c r="B87" s="287" t="s">
        <v>993</v>
      </c>
      <c r="C87" s="304"/>
      <c r="D87" s="286">
        <f>Z28</f>
        <v>1791.6303323282</v>
      </c>
      <c r="E87" s="305" t="s">
        <v>1040</v>
      </c>
      <c r="F87" s="271"/>
      <c r="G87" s="271"/>
      <c r="H87" s="271"/>
      <c r="I87" s="271"/>
      <c r="J87" s="271"/>
      <c r="K87" s="271"/>
      <c r="L87" s="271"/>
      <c r="M87" s="271"/>
      <c r="N87" s="271"/>
      <c r="O87" s="271"/>
      <c r="P87" s="271"/>
      <c r="Q87" s="271"/>
      <c r="R87" s="271"/>
      <c r="S87" s="271"/>
      <c r="T87" s="271"/>
      <c r="U87" s="271"/>
      <c r="V87" s="271"/>
      <c r="W87" s="271"/>
      <c r="X87" s="271"/>
      <c r="Y87" s="271"/>
      <c r="Z87" s="271"/>
      <c r="AA87" s="271"/>
      <c r="AB87" s="271"/>
    </row>
    <row r="88" spans="2:28" ht="14.25" customHeight="1">
      <c r="B88" s="287" t="s">
        <v>994</v>
      </c>
      <c r="C88" s="304"/>
      <c r="D88" s="286">
        <f>SUM(F28:K28)</f>
        <v>692.10817030099997</v>
      </c>
      <c r="E88" s="305" t="s">
        <v>1039</v>
      </c>
      <c r="F88" s="271"/>
      <c r="G88" s="271"/>
      <c r="H88" s="271"/>
      <c r="I88" s="271"/>
      <c r="J88" s="271"/>
      <c r="K88" s="271"/>
      <c r="L88" s="271"/>
      <c r="M88" s="271"/>
      <c r="N88" s="271"/>
      <c r="O88" s="271"/>
      <c r="P88" s="271"/>
      <c r="Q88" s="271"/>
      <c r="R88" s="271"/>
      <c r="S88" s="271"/>
      <c r="T88" s="271"/>
      <c r="U88" s="271"/>
      <c r="V88" s="271"/>
      <c r="W88" s="271"/>
      <c r="X88" s="271"/>
      <c r="Y88" s="271"/>
      <c r="Z88" s="271"/>
      <c r="AA88" s="271"/>
      <c r="AB88" s="271"/>
    </row>
    <row r="89" spans="2:28" ht="14.25" customHeight="1">
      <c r="B89" s="309" t="s">
        <v>995</v>
      </c>
      <c r="C89" s="304"/>
      <c r="D89" s="286">
        <f>P27-SUM(P39,P41:P43,P45)</f>
        <v>146.15799681300001</v>
      </c>
      <c r="E89" s="305"/>
      <c r="F89" s="271"/>
      <c r="G89" s="271"/>
      <c r="H89" s="271"/>
      <c r="I89" s="271"/>
      <c r="J89" s="271"/>
      <c r="K89" s="271"/>
      <c r="L89" s="271"/>
      <c r="M89" s="271"/>
      <c r="N89" s="271"/>
      <c r="O89" s="271"/>
      <c r="P89" s="271"/>
      <c r="Q89" s="271"/>
      <c r="R89" s="271"/>
      <c r="S89" s="271"/>
      <c r="T89" s="271"/>
      <c r="U89" s="271"/>
      <c r="V89" s="271"/>
      <c r="W89" s="271"/>
      <c r="X89" s="271"/>
      <c r="Y89" s="271"/>
      <c r="Z89" s="271"/>
      <c r="AA89" s="271"/>
      <c r="AB89" s="271"/>
    </row>
    <row r="90" spans="2:28" ht="14.25" customHeight="1">
      <c r="B90" s="309" t="s">
        <v>633</v>
      </c>
      <c r="C90" s="304"/>
      <c r="D90" s="286">
        <f>N28+AA28+SUM(AA32:AA38)</f>
        <v>-1395.6183800804997</v>
      </c>
      <c r="E90" s="305" t="s">
        <v>1043</v>
      </c>
      <c r="F90" s="271"/>
      <c r="G90" s="271"/>
      <c r="H90" s="271"/>
      <c r="I90" s="271"/>
      <c r="J90" s="271"/>
      <c r="K90" s="271"/>
      <c r="L90" s="271"/>
      <c r="M90" s="271"/>
      <c r="N90" s="271"/>
      <c r="O90" s="271"/>
      <c r="P90" s="271"/>
      <c r="Q90" s="271"/>
      <c r="R90" s="271"/>
      <c r="S90" s="271"/>
      <c r="T90" s="271"/>
      <c r="U90" s="271"/>
      <c r="V90" s="271"/>
      <c r="W90" s="271"/>
      <c r="X90" s="271"/>
      <c r="Y90" s="271"/>
      <c r="Z90" s="271"/>
      <c r="AA90" s="271"/>
      <c r="AB90" s="271"/>
    </row>
    <row r="91" spans="2:28" ht="14.25" customHeight="1">
      <c r="B91" s="218"/>
      <c r="C91" s="218"/>
      <c r="D91" s="331">
        <f>SUM(D86:D90)</f>
        <v>21695.685327621195</v>
      </c>
      <c r="E91" s="271"/>
      <c r="F91" s="271"/>
      <c r="G91" s="271"/>
      <c r="H91" s="271"/>
      <c r="I91" s="271"/>
      <c r="J91" s="271"/>
      <c r="K91" s="271"/>
      <c r="L91" s="271"/>
      <c r="M91" s="271"/>
      <c r="N91" s="271"/>
      <c r="O91" s="271"/>
      <c r="P91" s="271"/>
      <c r="Q91" s="271"/>
      <c r="R91" s="271"/>
      <c r="S91" s="271"/>
      <c r="T91" s="271"/>
      <c r="U91" s="271"/>
      <c r="V91" s="271"/>
      <c r="W91" s="271"/>
      <c r="X91" s="271"/>
      <c r="Y91" s="271"/>
      <c r="Z91" s="271"/>
      <c r="AA91" s="271"/>
      <c r="AB91" s="271"/>
    </row>
    <row r="92" spans="2:28" ht="14.25" customHeight="1">
      <c r="B92" s="218"/>
      <c r="C92" s="218"/>
      <c r="D92" s="271"/>
      <c r="E92" s="271"/>
      <c r="F92" s="271"/>
      <c r="G92" s="271"/>
      <c r="H92" s="271"/>
      <c r="I92" s="271"/>
      <c r="J92" s="271"/>
      <c r="K92" s="271"/>
      <c r="L92" s="271"/>
      <c r="M92" s="271"/>
      <c r="N92" s="271"/>
      <c r="O92" s="271"/>
      <c r="P92" s="271"/>
      <c r="Q92" s="271"/>
      <c r="R92" s="271"/>
      <c r="S92" s="271"/>
      <c r="T92" s="271"/>
      <c r="U92" s="271"/>
      <c r="V92" s="271"/>
      <c r="W92" s="271"/>
      <c r="X92" s="271"/>
      <c r="Y92" s="271"/>
      <c r="Z92" s="271"/>
      <c r="AA92" s="271"/>
      <c r="AB92" s="271"/>
    </row>
    <row r="93" spans="2:28" ht="14.25" customHeight="1">
      <c r="B93" s="218"/>
      <c r="C93" s="218"/>
      <c r="D93" s="271"/>
      <c r="E93" s="271"/>
      <c r="F93" s="271"/>
      <c r="G93" s="271"/>
      <c r="H93" s="271"/>
      <c r="I93" s="271"/>
      <c r="J93" s="271"/>
      <c r="K93" s="271"/>
      <c r="L93" s="271"/>
      <c r="M93" s="271"/>
      <c r="N93" s="271"/>
      <c r="O93" s="271"/>
      <c r="P93" s="271"/>
      <c r="Q93" s="271"/>
      <c r="R93" s="271"/>
      <c r="S93" s="271"/>
      <c r="T93" s="271"/>
      <c r="U93" s="271"/>
      <c r="V93" s="271"/>
      <c r="W93" s="271"/>
      <c r="X93" s="271"/>
      <c r="Y93" s="271"/>
      <c r="Z93" s="271"/>
      <c r="AA93" s="271"/>
      <c r="AB93" s="271"/>
    </row>
    <row r="94" spans="2:28" ht="14.25" customHeight="1">
      <c r="B94" s="218"/>
      <c r="C94" s="218"/>
      <c r="D94" s="271"/>
      <c r="E94" s="271"/>
      <c r="F94" s="271"/>
      <c r="G94" s="271"/>
      <c r="H94" s="271"/>
      <c r="I94" s="271"/>
      <c r="J94" s="271"/>
      <c r="K94" s="271"/>
      <c r="L94" s="271"/>
      <c r="M94" s="271"/>
      <c r="N94" s="271"/>
      <c r="O94" s="271"/>
      <c r="P94" s="271"/>
      <c r="Q94" s="271"/>
      <c r="R94" s="271"/>
      <c r="S94" s="271"/>
      <c r="T94" s="271"/>
      <c r="U94" s="271"/>
      <c r="V94" s="271"/>
      <c r="W94" s="271"/>
      <c r="X94" s="271"/>
      <c r="Y94" s="271"/>
      <c r="Z94" s="271"/>
      <c r="AA94" s="271"/>
      <c r="AB94" s="271"/>
    </row>
    <row r="95" spans="2:28" ht="14.25" customHeight="1">
      <c r="B95" s="218"/>
      <c r="C95" s="218"/>
      <c r="D95" s="271"/>
      <c r="E95" s="271"/>
      <c r="F95" s="271"/>
      <c r="G95" s="271"/>
      <c r="H95" s="271"/>
      <c r="I95" s="271"/>
      <c r="J95" s="271"/>
      <c r="K95" s="271"/>
      <c r="L95" s="271"/>
      <c r="M95" s="271"/>
      <c r="N95" s="271"/>
      <c r="O95" s="271"/>
      <c r="P95" s="271"/>
      <c r="Q95" s="271"/>
      <c r="R95" s="271"/>
      <c r="S95" s="271"/>
      <c r="T95" s="271"/>
      <c r="U95" s="271"/>
      <c r="V95" s="271"/>
      <c r="W95" s="271"/>
      <c r="X95" s="271"/>
      <c r="Y95" s="271"/>
      <c r="Z95" s="271"/>
      <c r="AA95" s="271"/>
      <c r="AB95" s="271"/>
    </row>
    <row r="96" spans="2:28" ht="14.25" customHeight="1">
      <c r="B96" s="218"/>
      <c r="C96" s="218"/>
      <c r="D96" s="271"/>
      <c r="E96" s="271"/>
      <c r="F96" s="271"/>
      <c r="G96" s="271"/>
      <c r="H96" s="271"/>
      <c r="I96" s="271"/>
      <c r="J96" s="271"/>
      <c r="K96" s="271"/>
      <c r="L96" s="271"/>
      <c r="M96" s="271"/>
      <c r="N96" s="271"/>
      <c r="O96" s="271"/>
      <c r="P96" s="271"/>
      <c r="Q96" s="271"/>
      <c r="R96" s="271"/>
      <c r="S96" s="271"/>
      <c r="T96" s="271"/>
      <c r="U96" s="271"/>
      <c r="V96" s="271"/>
      <c r="W96" s="271"/>
      <c r="X96" s="271"/>
      <c r="Y96" s="271"/>
      <c r="Z96" s="271"/>
      <c r="AA96" s="271"/>
      <c r="AB96" s="271"/>
    </row>
    <row r="97" spans="2:28" ht="14.25" customHeight="1">
      <c r="B97" s="218"/>
      <c r="C97" s="218"/>
      <c r="D97" s="271"/>
      <c r="E97" s="271"/>
      <c r="F97" s="271"/>
      <c r="G97" s="271"/>
      <c r="H97" s="271"/>
      <c r="I97" s="271"/>
      <c r="J97" s="271"/>
      <c r="K97" s="271"/>
      <c r="L97" s="271"/>
      <c r="M97" s="271"/>
      <c r="N97" s="271"/>
      <c r="O97" s="271"/>
      <c r="P97" s="271"/>
      <c r="Q97" s="271"/>
      <c r="R97" s="271"/>
      <c r="S97" s="271"/>
      <c r="T97" s="271"/>
      <c r="U97" s="271"/>
      <c r="V97" s="271"/>
      <c r="W97" s="271"/>
      <c r="X97" s="271"/>
      <c r="Y97" s="271"/>
      <c r="Z97" s="271"/>
      <c r="AA97" s="271"/>
      <c r="AB97" s="271"/>
    </row>
    <row r="98" spans="2:28" ht="14.25" customHeight="1">
      <c r="B98" s="218"/>
      <c r="C98" s="218"/>
      <c r="D98" s="271"/>
      <c r="E98" s="271"/>
      <c r="F98" s="271"/>
      <c r="G98" s="271"/>
      <c r="H98" s="271"/>
      <c r="I98" s="271"/>
      <c r="J98" s="271"/>
      <c r="K98" s="271"/>
      <c r="L98" s="271"/>
      <c r="M98" s="271"/>
      <c r="N98" s="271"/>
      <c r="O98" s="271"/>
      <c r="P98" s="271"/>
      <c r="Q98" s="271"/>
      <c r="R98" s="271"/>
      <c r="S98" s="271"/>
      <c r="T98" s="271"/>
      <c r="U98" s="271"/>
      <c r="V98" s="271"/>
      <c r="W98" s="271"/>
      <c r="X98" s="271"/>
      <c r="Y98" s="271"/>
      <c r="Z98" s="271"/>
      <c r="AA98" s="271"/>
      <c r="AB98" s="271"/>
    </row>
    <row r="99" spans="2:28" ht="14.25" customHeight="1">
      <c r="B99" s="218"/>
      <c r="C99" s="218"/>
      <c r="D99" s="271"/>
      <c r="E99" s="271"/>
      <c r="F99" s="271"/>
      <c r="G99" s="271"/>
      <c r="H99" s="271"/>
      <c r="I99" s="271"/>
      <c r="J99" s="271"/>
      <c r="K99" s="271"/>
      <c r="L99" s="271"/>
      <c r="M99" s="271"/>
      <c r="N99" s="271"/>
      <c r="O99" s="271"/>
      <c r="P99" s="271"/>
      <c r="Q99" s="271"/>
      <c r="R99" s="271"/>
      <c r="S99" s="271"/>
      <c r="T99" s="271"/>
      <c r="U99" s="271"/>
      <c r="V99" s="271"/>
      <c r="W99" s="271"/>
      <c r="X99" s="271"/>
      <c r="Y99" s="271"/>
      <c r="Z99" s="271"/>
      <c r="AA99" s="271"/>
      <c r="AB99" s="271"/>
    </row>
    <row r="100" spans="2:28" ht="14.25" customHeight="1">
      <c r="B100" s="218"/>
      <c r="C100" s="218"/>
      <c r="D100" s="271"/>
      <c r="E100" s="271"/>
      <c r="F100" s="271"/>
      <c r="G100" s="271"/>
      <c r="H100" s="271"/>
      <c r="I100" s="271"/>
      <c r="J100" s="271"/>
      <c r="K100" s="271"/>
      <c r="L100" s="271"/>
      <c r="M100" s="271"/>
      <c r="N100" s="271"/>
      <c r="O100" s="271"/>
      <c r="P100" s="271"/>
      <c r="Q100" s="271"/>
      <c r="R100" s="271"/>
      <c r="S100" s="271"/>
      <c r="T100" s="271"/>
      <c r="U100" s="271"/>
      <c r="V100" s="271"/>
      <c r="W100" s="271"/>
      <c r="X100" s="271"/>
      <c r="Y100" s="271"/>
      <c r="Z100" s="271"/>
      <c r="AA100" s="271"/>
      <c r="AB100" s="271"/>
    </row>
    <row r="101" spans="2:28" ht="14.25" customHeight="1">
      <c r="B101" s="218"/>
      <c r="C101" s="218"/>
      <c r="D101" s="271"/>
      <c r="E101" s="271"/>
      <c r="F101" s="271"/>
      <c r="G101" s="271"/>
      <c r="H101" s="271"/>
      <c r="I101" s="271"/>
      <c r="J101" s="271"/>
      <c r="K101" s="271"/>
      <c r="L101" s="271"/>
      <c r="M101" s="271"/>
      <c r="N101" s="271"/>
      <c r="O101" s="271"/>
      <c r="P101" s="271"/>
      <c r="Q101" s="271"/>
      <c r="R101" s="271"/>
      <c r="S101" s="271"/>
      <c r="T101" s="271"/>
      <c r="U101" s="271"/>
      <c r="V101" s="271"/>
      <c r="W101" s="271"/>
      <c r="X101" s="271"/>
      <c r="Y101" s="271"/>
      <c r="Z101" s="271"/>
      <c r="AA101" s="271"/>
      <c r="AB101" s="271"/>
    </row>
    <row r="102" spans="2:28" ht="14.25" customHeight="1">
      <c r="B102" s="218"/>
      <c r="C102" s="218"/>
      <c r="D102" s="271"/>
      <c r="E102" s="271"/>
      <c r="F102" s="271"/>
      <c r="G102" s="271"/>
      <c r="H102" s="271"/>
      <c r="I102" s="271"/>
      <c r="J102" s="271"/>
      <c r="K102" s="271"/>
      <c r="L102" s="271"/>
      <c r="M102" s="271"/>
      <c r="N102" s="271"/>
      <c r="O102" s="271"/>
      <c r="P102" s="271"/>
      <c r="Q102" s="271"/>
      <c r="R102" s="271"/>
      <c r="S102" s="271"/>
      <c r="T102" s="271"/>
      <c r="U102" s="271"/>
      <c r="V102" s="271"/>
      <c r="W102" s="271"/>
      <c r="X102" s="271"/>
      <c r="Y102" s="271"/>
      <c r="Z102" s="271"/>
      <c r="AA102" s="271"/>
      <c r="AB102" s="271"/>
    </row>
    <row r="103" spans="2:28" ht="14.25" customHeight="1">
      <c r="B103" s="218"/>
      <c r="C103" s="218"/>
      <c r="D103" s="271"/>
      <c r="E103" s="271"/>
      <c r="F103" s="271"/>
      <c r="G103" s="271"/>
      <c r="H103" s="271"/>
      <c r="I103" s="271"/>
      <c r="J103" s="271"/>
      <c r="K103" s="271"/>
      <c r="L103" s="271"/>
      <c r="M103" s="271"/>
      <c r="N103" s="271"/>
      <c r="O103" s="271"/>
      <c r="P103" s="271"/>
      <c r="Q103" s="271"/>
      <c r="R103" s="271"/>
      <c r="S103" s="271"/>
      <c r="T103" s="271"/>
      <c r="U103" s="271"/>
      <c r="V103" s="271"/>
      <c r="W103" s="271"/>
      <c r="X103" s="271"/>
      <c r="Y103" s="271"/>
      <c r="Z103" s="271"/>
      <c r="AA103" s="271"/>
      <c r="AB103" s="271"/>
    </row>
    <row r="104" spans="2:28" ht="14.25" customHeight="1">
      <c r="B104" s="218"/>
      <c r="C104" s="218"/>
      <c r="D104" s="271"/>
      <c r="E104" s="271"/>
      <c r="F104" s="271"/>
      <c r="G104" s="271"/>
      <c r="H104" s="271"/>
      <c r="I104" s="271"/>
      <c r="J104" s="271"/>
      <c r="K104" s="271"/>
      <c r="L104" s="271"/>
      <c r="M104" s="271"/>
      <c r="N104" s="271"/>
      <c r="O104" s="271"/>
      <c r="P104" s="271"/>
      <c r="Q104" s="271"/>
      <c r="R104" s="271"/>
      <c r="S104" s="271"/>
      <c r="T104" s="271"/>
      <c r="U104" s="271"/>
      <c r="V104" s="271"/>
      <c r="W104" s="271"/>
      <c r="X104" s="271"/>
      <c r="Y104" s="271"/>
      <c r="Z104" s="271"/>
      <c r="AA104" s="271"/>
      <c r="AB104" s="271"/>
    </row>
    <row r="105" spans="2:28" ht="14.25" customHeight="1">
      <c r="B105" s="218"/>
      <c r="C105" s="218"/>
      <c r="D105" s="271"/>
      <c r="E105" s="271"/>
      <c r="F105" s="271"/>
      <c r="G105" s="271"/>
      <c r="H105" s="271"/>
      <c r="I105" s="271"/>
      <c r="J105" s="271"/>
      <c r="K105" s="271"/>
      <c r="L105" s="271"/>
      <c r="M105" s="271"/>
      <c r="N105" s="271"/>
      <c r="O105" s="271"/>
      <c r="P105" s="271"/>
      <c r="Q105" s="271"/>
      <c r="R105" s="271"/>
      <c r="S105" s="271"/>
      <c r="T105" s="271"/>
      <c r="U105" s="271"/>
      <c r="V105" s="271"/>
      <c r="W105" s="271"/>
      <c r="X105" s="271"/>
      <c r="Y105" s="271"/>
      <c r="Z105" s="271"/>
      <c r="AA105" s="271"/>
      <c r="AB105" s="271"/>
    </row>
    <row r="106" spans="2:28" ht="14.25" customHeight="1">
      <c r="B106" s="218"/>
      <c r="C106" s="282"/>
      <c r="D106" s="271"/>
      <c r="E106" s="271"/>
      <c r="F106" s="271"/>
      <c r="G106" s="271"/>
      <c r="H106" s="271"/>
      <c r="I106" s="271"/>
      <c r="J106" s="271"/>
      <c r="K106" s="271"/>
      <c r="L106" s="271"/>
      <c r="M106" s="271"/>
      <c r="N106" s="271"/>
      <c r="O106" s="271"/>
      <c r="P106" s="271"/>
      <c r="Q106" s="271"/>
      <c r="R106" s="271"/>
      <c r="S106" s="271"/>
      <c r="T106" s="271"/>
      <c r="U106" s="271"/>
      <c r="V106" s="271"/>
      <c r="W106" s="271"/>
      <c r="X106" s="271"/>
      <c r="Y106" s="271"/>
      <c r="Z106" s="271"/>
      <c r="AA106" s="271"/>
      <c r="AB106" s="271"/>
    </row>
    <row r="107" spans="2:28" ht="14.25" customHeight="1">
      <c r="B107" s="282"/>
      <c r="C107" s="282"/>
      <c r="D107" s="271"/>
      <c r="E107" s="271"/>
      <c r="F107" s="271"/>
      <c r="G107" s="271"/>
      <c r="H107" s="271"/>
      <c r="I107" s="271"/>
      <c r="J107" s="271"/>
      <c r="K107" s="271"/>
      <c r="L107" s="271"/>
      <c r="M107" s="271"/>
      <c r="N107" s="271"/>
      <c r="O107" s="271"/>
      <c r="P107" s="271"/>
      <c r="Q107" s="271"/>
      <c r="R107" s="271"/>
      <c r="S107" s="271"/>
      <c r="T107" s="271"/>
      <c r="U107" s="271"/>
      <c r="V107" s="271"/>
      <c r="W107" s="271"/>
      <c r="X107" s="271"/>
      <c r="Y107" s="271"/>
      <c r="Z107" s="271"/>
      <c r="AA107" s="271"/>
      <c r="AB107" s="271"/>
    </row>
    <row r="108" spans="2:28" ht="14.25" customHeight="1">
      <c r="B108" s="282"/>
      <c r="C108" s="282"/>
      <c r="D108" s="271"/>
      <c r="E108" s="271"/>
      <c r="F108" s="271"/>
      <c r="G108" s="271"/>
      <c r="H108" s="271"/>
      <c r="I108" s="271"/>
      <c r="J108" s="271"/>
      <c r="K108" s="271"/>
      <c r="L108" s="271"/>
      <c r="M108" s="271"/>
      <c r="N108" s="271"/>
      <c r="O108" s="271"/>
      <c r="P108" s="271"/>
      <c r="Q108" s="271"/>
      <c r="R108" s="271"/>
      <c r="S108" s="271"/>
      <c r="T108" s="271"/>
      <c r="U108" s="271"/>
      <c r="V108" s="271"/>
      <c r="W108" s="271"/>
      <c r="X108" s="271"/>
      <c r="Y108" s="271"/>
      <c r="Z108" s="271"/>
      <c r="AA108" s="271"/>
      <c r="AB108" s="271"/>
    </row>
    <row r="109" spans="2:28" ht="14.25" customHeight="1">
      <c r="B109" s="282"/>
      <c r="C109" s="282"/>
      <c r="D109" s="271"/>
      <c r="E109" s="271"/>
      <c r="F109" s="271"/>
      <c r="G109" s="271"/>
      <c r="H109" s="271"/>
      <c r="I109" s="271"/>
      <c r="J109" s="271"/>
      <c r="K109" s="271"/>
      <c r="L109" s="271"/>
      <c r="M109" s="271"/>
      <c r="N109" s="271"/>
      <c r="O109" s="271"/>
      <c r="P109" s="271"/>
      <c r="Q109" s="271"/>
      <c r="R109" s="271"/>
      <c r="S109" s="271"/>
      <c r="T109" s="271"/>
      <c r="U109" s="271"/>
      <c r="V109" s="271"/>
      <c r="W109" s="271"/>
      <c r="X109" s="271"/>
      <c r="Y109" s="271"/>
      <c r="Z109" s="271"/>
      <c r="AA109" s="271"/>
      <c r="AB109" s="271"/>
    </row>
    <row r="110" spans="2:28" ht="14.25" customHeight="1">
      <c r="B110" s="282"/>
      <c r="C110" s="282"/>
      <c r="D110" s="271"/>
      <c r="E110" s="271"/>
      <c r="F110" s="271"/>
      <c r="G110" s="271"/>
      <c r="H110" s="271"/>
      <c r="I110" s="271"/>
      <c r="J110" s="271"/>
      <c r="K110" s="271"/>
      <c r="L110" s="271"/>
      <c r="M110" s="271"/>
      <c r="N110" s="271"/>
      <c r="O110" s="271"/>
      <c r="P110" s="271"/>
      <c r="Q110" s="271"/>
      <c r="R110" s="271"/>
      <c r="S110" s="271"/>
      <c r="T110" s="271"/>
      <c r="U110" s="271"/>
      <c r="V110" s="271"/>
      <c r="W110" s="271"/>
      <c r="X110" s="271"/>
      <c r="Y110" s="271"/>
      <c r="Z110" s="271"/>
      <c r="AA110" s="271"/>
      <c r="AB110" s="271"/>
    </row>
    <row r="111" spans="2:28" ht="14.25" customHeight="1">
      <c r="B111" s="282"/>
      <c r="C111" s="282"/>
      <c r="D111" s="271"/>
      <c r="E111" s="271"/>
      <c r="F111" s="271"/>
      <c r="G111" s="271"/>
      <c r="H111" s="271"/>
      <c r="I111" s="271"/>
      <c r="J111" s="271"/>
      <c r="K111" s="271"/>
      <c r="L111" s="271"/>
      <c r="M111" s="271"/>
      <c r="N111" s="271"/>
      <c r="O111" s="271"/>
      <c r="P111" s="271"/>
      <c r="Q111" s="271"/>
      <c r="R111" s="271"/>
      <c r="S111" s="271"/>
      <c r="T111" s="271"/>
      <c r="U111" s="271"/>
      <c r="V111" s="271"/>
      <c r="W111" s="271"/>
      <c r="X111" s="271"/>
      <c r="Y111" s="271"/>
      <c r="Z111" s="271"/>
      <c r="AA111" s="271"/>
      <c r="AB111" s="271"/>
    </row>
    <row r="112" spans="2:28" ht="14.25" customHeight="1">
      <c r="B112" s="282"/>
      <c r="C112" s="282"/>
      <c r="D112" s="271"/>
      <c r="E112" s="271"/>
      <c r="F112" s="271"/>
      <c r="G112" s="271"/>
      <c r="H112" s="271"/>
      <c r="I112" s="271"/>
      <c r="J112" s="271"/>
      <c r="K112" s="271"/>
      <c r="L112" s="271"/>
      <c r="M112" s="271"/>
      <c r="N112" s="271"/>
      <c r="O112" s="271"/>
      <c r="P112" s="271"/>
      <c r="Q112" s="271"/>
      <c r="R112" s="271"/>
      <c r="S112" s="271"/>
      <c r="T112" s="271"/>
      <c r="U112" s="271"/>
      <c r="V112" s="271"/>
      <c r="W112" s="271"/>
      <c r="X112" s="271"/>
      <c r="Y112" s="271"/>
      <c r="Z112" s="271"/>
      <c r="AA112" s="271"/>
      <c r="AB112" s="271"/>
    </row>
    <row r="113" spans="2:28" ht="14.25" customHeight="1">
      <c r="B113" s="282"/>
      <c r="C113" s="282"/>
      <c r="D113" s="271"/>
      <c r="E113" s="271"/>
      <c r="F113" s="271"/>
      <c r="G113" s="271"/>
      <c r="H113" s="271"/>
      <c r="I113" s="271"/>
      <c r="J113" s="271"/>
      <c r="K113" s="271"/>
      <c r="L113" s="271"/>
      <c r="M113" s="271"/>
      <c r="N113" s="271"/>
      <c r="O113" s="271"/>
      <c r="P113" s="271"/>
      <c r="Q113" s="271"/>
      <c r="R113" s="271"/>
      <c r="S113" s="271"/>
      <c r="T113" s="271"/>
      <c r="U113" s="271"/>
      <c r="V113" s="271"/>
      <c r="W113" s="271"/>
      <c r="X113" s="271"/>
      <c r="Y113" s="271"/>
      <c r="Z113" s="271"/>
      <c r="AA113" s="271"/>
      <c r="AB113" s="271"/>
    </row>
    <row r="114" spans="2:28" ht="14.25" customHeight="1">
      <c r="B114" s="282"/>
      <c r="C114" s="282"/>
      <c r="D114" s="271"/>
      <c r="E114" s="271"/>
      <c r="F114" s="271"/>
      <c r="G114" s="271"/>
      <c r="H114" s="271"/>
      <c r="I114" s="271"/>
      <c r="J114" s="271"/>
      <c r="K114" s="271"/>
      <c r="L114" s="271"/>
      <c r="M114" s="271"/>
      <c r="N114" s="271"/>
      <c r="O114" s="271"/>
      <c r="P114" s="271"/>
      <c r="Q114" s="271"/>
      <c r="R114" s="271"/>
      <c r="S114" s="271"/>
      <c r="T114" s="271"/>
      <c r="U114" s="271"/>
      <c r="V114" s="271"/>
      <c r="W114" s="271"/>
      <c r="X114" s="271"/>
      <c r="Y114" s="271"/>
      <c r="Z114" s="271"/>
      <c r="AA114" s="271"/>
      <c r="AB114" s="271"/>
    </row>
    <row r="115" spans="2:28" ht="14.25" customHeight="1">
      <c r="B115" s="282"/>
      <c r="C115" s="282"/>
      <c r="D115" s="271"/>
      <c r="E115" s="271"/>
      <c r="F115" s="271"/>
      <c r="G115" s="271"/>
      <c r="H115" s="271"/>
      <c r="I115" s="271"/>
      <c r="J115" s="271"/>
      <c r="K115" s="271"/>
      <c r="L115" s="271"/>
      <c r="M115" s="271"/>
      <c r="N115" s="271"/>
      <c r="O115" s="271"/>
      <c r="P115" s="271"/>
      <c r="Q115" s="271"/>
      <c r="R115" s="271"/>
      <c r="S115" s="271"/>
      <c r="T115" s="271"/>
      <c r="U115" s="271"/>
      <c r="V115" s="271"/>
      <c r="W115" s="271"/>
      <c r="X115" s="271"/>
      <c r="Y115" s="271"/>
      <c r="Z115" s="271"/>
      <c r="AA115" s="271"/>
      <c r="AB115" s="271"/>
    </row>
    <row r="116" spans="2:28" ht="14.25" customHeight="1">
      <c r="B116" s="282"/>
      <c r="C116" s="282"/>
      <c r="D116" s="271"/>
      <c r="E116" s="271"/>
      <c r="F116" s="271"/>
      <c r="G116" s="271"/>
      <c r="H116" s="271"/>
      <c r="I116" s="271"/>
      <c r="J116" s="271"/>
      <c r="K116" s="271"/>
      <c r="L116" s="271"/>
      <c r="M116" s="271"/>
      <c r="N116" s="271"/>
      <c r="O116" s="271"/>
      <c r="P116" s="271"/>
      <c r="Q116" s="271"/>
      <c r="R116" s="271"/>
      <c r="S116" s="271"/>
      <c r="T116" s="271"/>
      <c r="U116" s="271"/>
      <c r="V116" s="271"/>
      <c r="W116" s="271"/>
      <c r="X116" s="271"/>
      <c r="Y116" s="271"/>
      <c r="Z116" s="271"/>
      <c r="AA116" s="271"/>
      <c r="AB116" s="271"/>
    </row>
    <row r="117" spans="2:28" ht="14.25" customHeight="1">
      <c r="B117" s="282"/>
      <c r="C117" s="282"/>
      <c r="D117" s="271"/>
      <c r="E117" s="271"/>
      <c r="F117" s="271"/>
      <c r="G117" s="271"/>
      <c r="H117" s="271"/>
      <c r="I117" s="271"/>
      <c r="J117" s="271"/>
      <c r="K117" s="271"/>
      <c r="L117" s="271"/>
      <c r="M117" s="271"/>
      <c r="N117" s="271"/>
      <c r="O117" s="271"/>
      <c r="P117" s="271"/>
      <c r="Q117" s="271"/>
      <c r="R117" s="271"/>
      <c r="S117" s="271"/>
      <c r="T117" s="271"/>
      <c r="U117" s="271"/>
      <c r="V117" s="271"/>
      <c r="W117" s="271"/>
      <c r="X117" s="271"/>
      <c r="Y117" s="271"/>
      <c r="Z117" s="271"/>
      <c r="AA117" s="271"/>
      <c r="AB117" s="271"/>
    </row>
    <row r="118" spans="2:28" ht="14.25" customHeight="1">
      <c r="B118" s="282"/>
      <c r="C118" s="282"/>
      <c r="D118" s="271"/>
      <c r="E118" s="271"/>
      <c r="F118" s="271"/>
      <c r="G118" s="271"/>
      <c r="H118" s="271"/>
      <c r="I118" s="271"/>
      <c r="J118" s="271"/>
      <c r="K118" s="271"/>
      <c r="L118" s="271"/>
      <c r="M118" s="271"/>
      <c r="N118" s="271"/>
      <c r="O118" s="271"/>
      <c r="P118" s="271"/>
      <c r="Q118" s="271"/>
      <c r="R118" s="271"/>
      <c r="S118" s="271"/>
      <c r="T118" s="271"/>
      <c r="U118" s="271"/>
      <c r="V118" s="271"/>
      <c r="W118" s="271"/>
      <c r="X118" s="271"/>
      <c r="Y118" s="271"/>
      <c r="Z118" s="271"/>
      <c r="AA118" s="271"/>
      <c r="AB118" s="271"/>
    </row>
    <row r="119" spans="2:28" ht="14.25" customHeight="1">
      <c r="B119" s="282"/>
      <c r="C119" s="282"/>
      <c r="D119" s="271"/>
      <c r="E119" s="271"/>
      <c r="F119" s="271"/>
      <c r="G119" s="271"/>
      <c r="H119" s="271"/>
      <c r="I119" s="271"/>
      <c r="J119" s="271"/>
      <c r="K119" s="271"/>
      <c r="L119" s="271"/>
      <c r="M119" s="271"/>
      <c r="N119" s="271"/>
      <c r="O119" s="271"/>
      <c r="P119" s="271"/>
      <c r="Q119" s="271"/>
      <c r="R119" s="271"/>
      <c r="S119" s="271"/>
      <c r="T119" s="271"/>
      <c r="U119" s="271"/>
      <c r="V119" s="271"/>
      <c r="W119" s="271"/>
      <c r="X119" s="271"/>
      <c r="Y119" s="271"/>
      <c r="Z119" s="271"/>
      <c r="AA119" s="271"/>
      <c r="AB119" s="271"/>
    </row>
    <row r="120" spans="2:28" ht="14.25" customHeight="1">
      <c r="B120" s="282"/>
      <c r="C120" s="282"/>
      <c r="D120" s="271"/>
      <c r="E120" s="271"/>
      <c r="F120" s="271"/>
      <c r="G120" s="271"/>
      <c r="H120" s="271"/>
      <c r="I120" s="271"/>
      <c r="J120" s="271"/>
      <c r="K120" s="271"/>
      <c r="L120" s="271"/>
      <c r="M120" s="271"/>
      <c r="N120" s="271"/>
      <c r="O120" s="271"/>
      <c r="P120" s="271"/>
      <c r="Q120" s="271"/>
      <c r="R120" s="271"/>
      <c r="S120" s="271"/>
      <c r="T120" s="271"/>
      <c r="U120" s="271"/>
      <c r="V120" s="271"/>
      <c r="W120" s="271"/>
      <c r="X120" s="271"/>
      <c r="Y120" s="271"/>
      <c r="Z120" s="271"/>
      <c r="AA120" s="271"/>
      <c r="AB120" s="271"/>
    </row>
    <row r="121" spans="2:28" ht="14.25" customHeight="1">
      <c r="B121" s="282"/>
      <c r="C121" s="282"/>
      <c r="D121" s="271"/>
      <c r="E121" s="271"/>
      <c r="F121" s="271"/>
      <c r="G121" s="271"/>
      <c r="H121" s="271"/>
      <c r="I121" s="271"/>
      <c r="J121" s="271"/>
      <c r="K121" s="271"/>
      <c r="L121" s="271"/>
      <c r="M121" s="271"/>
      <c r="N121" s="271"/>
      <c r="O121" s="271"/>
      <c r="P121" s="271"/>
      <c r="Q121" s="271"/>
      <c r="R121" s="271"/>
      <c r="S121" s="271"/>
      <c r="T121" s="271"/>
      <c r="U121" s="271"/>
      <c r="V121" s="271"/>
      <c r="W121" s="271"/>
      <c r="X121" s="271"/>
      <c r="Y121" s="271"/>
      <c r="Z121" s="271"/>
      <c r="AA121" s="271"/>
      <c r="AB121" s="271"/>
    </row>
    <row r="122" spans="2:28" ht="14.25" customHeight="1">
      <c r="B122" s="282"/>
      <c r="C122" s="282"/>
      <c r="D122" s="271"/>
      <c r="E122" s="271"/>
      <c r="F122" s="271"/>
      <c r="G122" s="271"/>
      <c r="H122" s="271"/>
      <c r="I122" s="271"/>
      <c r="J122" s="271"/>
      <c r="K122" s="271"/>
      <c r="L122" s="271"/>
      <c r="M122" s="271"/>
      <c r="N122" s="271"/>
      <c r="O122" s="271"/>
      <c r="P122" s="271"/>
      <c r="Q122" s="271"/>
      <c r="R122" s="271"/>
      <c r="S122" s="271"/>
      <c r="T122" s="271"/>
      <c r="U122" s="271"/>
      <c r="V122" s="271"/>
      <c r="W122" s="271"/>
      <c r="X122" s="271"/>
      <c r="Y122" s="271"/>
      <c r="Z122" s="271"/>
      <c r="AA122" s="271"/>
      <c r="AB122" s="271"/>
    </row>
    <row r="123" spans="2:28" ht="14.25" customHeight="1">
      <c r="B123" s="282"/>
      <c r="C123" s="282"/>
      <c r="D123" s="271"/>
      <c r="E123" s="271"/>
      <c r="F123" s="271"/>
      <c r="G123" s="271"/>
      <c r="H123" s="271"/>
      <c r="I123" s="271"/>
      <c r="J123" s="271"/>
      <c r="K123" s="271"/>
      <c r="L123" s="271"/>
      <c r="M123" s="271"/>
      <c r="N123" s="271"/>
      <c r="O123" s="271"/>
      <c r="P123" s="271"/>
      <c r="Q123" s="271"/>
      <c r="R123" s="271"/>
      <c r="S123" s="271"/>
      <c r="T123" s="271"/>
      <c r="U123" s="271"/>
      <c r="V123" s="271"/>
      <c r="W123" s="271"/>
      <c r="X123" s="271"/>
      <c r="Y123" s="271"/>
      <c r="Z123" s="271"/>
      <c r="AA123" s="271"/>
      <c r="AB123" s="271"/>
    </row>
    <row r="124" spans="2:28" ht="14.25" customHeight="1">
      <c r="B124" s="282"/>
      <c r="C124" s="282"/>
      <c r="D124" s="271"/>
      <c r="E124" s="271"/>
      <c r="F124" s="271"/>
      <c r="G124" s="271"/>
      <c r="H124" s="271"/>
      <c r="I124" s="271"/>
      <c r="J124" s="271"/>
      <c r="K124" s="271"/>
      <c r="L124" s="271"/>
      <c r="M124" s="271"/>
      <c r="N124" s="271"/>
      <c r="O124" s="271"/>
      <c r="P124" s="271"/>
      <c r="Q124" s="271"/>
      <c r="R124" s="271"/>
      <c r="S124" s="271"/>
      <c r="T124" s="271"/>
      <c r="U124" s="271"/>
      <c r="V124" s="271"/>
      <c r="W124" s="271"/>
      <c r="X124" s="271"/>
      <c r="Y124" s="271"/>
      <c r="Z124" s="271"/>
      <c r="AA124" s="271"/>
      <c r="AB124" s="271"/>
    </row>
    <row r="125" spans="2:28" ht="14.25" customHeight="1">
      <c r="C125" s="282"/>
      <c r="D125" s="271"/>
      <c r="E125" s="271"/>
      <c r="F125" s="271"/>
      <c r="G125" s="271"/>
      <c r="H125" s="271"/>
      <c r="I125" s="271"/>
      <c r="J125" s="271"/>
      <c r="K125" s="271"/>
      <c r="L125" s="271"/>
      <c r="M125" s="271"/>
      <c r="N125" s="271"/>
      <c r="O125" s="271"/>
      <c r="P125" s="271"/>
      <c r="Q125" s="271"/>
      <c r="R125" s="271"/>
      <c r="S125" s="271"/>
      <c r="T125" s="271"/>
      <c r="U125" s="271"/>
      <c r="V125" s="271"/>
      <c r="W125" s="271"/>
      <c r="X125" s="271"/>
      <c r="Y125" s="271"/>
      <c r="Z125" s="271"/>
      <c r="AA125" s="271"/>
      <c r="AB125" s="271"/>
    </row>
    <row r="126" spans="2:28" ht="14.25" customHeight="1">
      <c r="C126" s="282"/>
      <c r="D126" s="271"/>
      <c r="E126" s="271"/>
      <c r="F126" s="271"/>
      <c r="G126" s="271"/>
      <c r="H126" s="271"/>
      <c r="I126" s="271"/>
      <c r="J126" s="271"/>
      <c r="K126" s="271"/>
      <c r="L126" s="271"/>
      <c r="M126" s="271"/>
      <c r="N126" s="271"/>
      <c r="O126" s="271"/>
      <c r="P126" s="271"/>
      <c r="Q126" s="271"/>
      <c r="R126" s="271"/>
      <c r="S126" s="271"/>
      <c r="T126" s="271"/>
      <c r="U126" s="271"/>
      <c r="V126" s="271"/>
      <c r="W126" s="271"/>
      <c r="X126" s="271"/>
      <c r="Y126" s="271"/>
      <c r="Z126" s="271"/>
      <c r="AA126" s="271"/>
      <c r="AB126" s="271"/>
    </row>
    <row r="127" spans="2:28" ht="14.25" customHeight="1">
      <c r="D127" s="271"/>
      <c r="E127" s="271"/>
      <c r="F127" s="271"/>
      <c r="G127" s="271"/>
      <c r="H127" s="271"/>
      <c r="I127" s="271"/>
      <c r="J127" s="271"/>
      <c r="K127" s="271"/>
      <c r="L127" s="271"/>
      <c r="M127" s="271"/>
      <c r="N127" s="271"/>
      <c r="O127" s="271"/>
      <c r="P127" s="271"/>
      <c r="Q127" s="271"/>
      <c r="R127" s="271"/>
      <c r="S127" s="271"/>
      <c r="T127" s="271"/>
      <c r="U127" s="271"/>
      <c r="V127" s="271"/>
      <c r="W127" s="271"/>
      <c r="X127" s="271"/>
      <c r="Y127" s="271"/>
      <c r="Z127" s="271"/>
      <c r="AA127" s="271"/>
      <c r="AB127" s="271"/>
    </row>
    <row r="128" spans="2:28" ht="14.25" customHeight="1">
      <c r="D128" s="271"/>
      <c r="E128" s="271"/>
      <c r="F128" s="271"/>
      <c r="G128" s="271"/>
      <c r="H128" s="271"/>
      <c r="I128" s="271"/>
      <c r="J128" s="271"/>
      <c r="K128" s="271"/>
      <c r="L128" s="271"/>
      <c r="M128" s="271"/>
      <c r="N128" s="271"/>
      <c r="O128" s="271"/>
      <c r="P128" s="271"/>
      <c r="Q128" s="271"/>
      <c r="R128" s="271"/>
      <c r="S128" s="271"/>
      <c r="T128" s="271"/>
      <c r="U128" s="271"/>
      <c r="V128" s="271"/>
      <c r="W128" s="271"/>
      <c r="X128" s="271"/>
      <c r="Y128" s="271"/>
      <c r="Z128" s="271"/>
      <c r="AA128" s="271"/>
      <c r="AB128" s="271"/>
    </row>
    <row r="129" spans="4:28" ht="14.25" customHeight="1">
      <c r="D129" s="271"/>
      <c r="E129" s="271"/>
      <c r="F129" s="271"/>
      <c r="G129" s="271"/>
      <c r="H129" s="271"/>
      <c r="I129" s="271"/>
      <c r="J129" s="271"/>
      <c r="K129" s="271"/>
      <c r="L129" s="271"/>
      <c r="M129" s="271"/>
      <c r="N129" s="271"/>
      <c r="O129" s="271"/>
      <c r="P129" s="271"/>
      <c r="Q129" s="271"/>
      <c r="R129" s="271"/>
      <c r="S129" s="271"/>
      <c r="T129" s="271"/>
      <c r="U129" s="271"/>
      <c r="V129" s="271"/>
      <c r="W129" s="271"/>
      <c r="X129" s="271"/>
      <c r="Y129" s="271"/>
      <c r="Z129" s="271"/>
      <c r="AA129" s="271"/>
      <c r="AB129" s="271"/>
    </row>
    <row r="130" spans="4:28" ht="14.25" customHeight="1">
      <c r="D130" s="271"/>
      <c r="E130" s="271"/>
      <c r="F130" s="271"/>
      <c r="G130" s="271"/>
      <c r="H130" s="271"/>
      <c r="I130" s="271"/>
      <c r="J130" s="271"/>
      <c r="K130" s="271"/>
      <c r="L130" s="271"/>
      <c r="M130" s="271"/>
      <c r="N130" s="271"/>
      <c r="O130" s="271"/>
      <c r="P130" s="271"/>
      <c r="Q130" s="271"/>
      <c r="R130" s="271"/>
      <c r="S130" s="271"/>
      <c r="T130" s="271"/>
      <c r="U130" s="271"/>
      <c r="V130" s="271"/>
      <c r="W130" s="271"/>
      <c r="X130" s="271"/>
      <c r="Y130" s="271"/>
      <c r="Z130" s="271"/>
      <c r="AA130" s="271"/>
      <c r="AB130" s="271"/>
    </row>
    <row r="131" spans="4:28" ht="14.25" customHeight="1">
      <c r="D131" s="271"/>
      <c r="E131" s="271"/>
      <c r="F131" s="271"/>
      <c r="G131" s="271"/>
      <c r="H131" s="271"/>
      <c r="I131" s="271"/>
      <c r="J131" s="271"/>
      <c r="K131" s="271"/>
      <c r="L131" s="271"/>
      <c r="M131" s="271"/>
      <c r="N131" s="271"/>
      <c r="O131" s="271"/>
      <c r="P131" s="271"/>
      <c r="Q131" s="271"/>
      <c r="R131" s="271"/>
      <c r="S131" s="271"/>
      <c r="T131" s="271"/>
      <c r="U131" s="271"/>
      <c r="V131" s="271"/>
      <c r="W131" s="271"/>
      <c r="X131" s="271"/>
      <c r="Y131" s="271"/>
      <c r="Z131" s="271"/>
      <c r="AA131" s="271"/>
      <c r="AB131" s="271"/>
    </row>
    <row r="132" spans="4:28" ht="14.25" customHeight="1">
      <c r="D132" s="271"/>
      <c r="E132" s="271"/>
      <c r="F132" s="271"/>
      <c r="G132" s="271"/>
      <c r="H132" s="271"/>
      <c r="I132" s="271"/>
      <c r="J132" s="271"/>
      <c r="K132" s="271"/>
      <c r="L132" s="271"/>
      <c r="M132" s="271"/>
      <c r="N132" s="271"/>
      <c r="O132" s="271"/>
      <c r="P132" s="271"/>
      <c r="Q132" s="271"/>
      <c r="R132" s="271"/>
      <c r="S132" s="271"/>
      <c r="T132" s="271"/>
      <c r="U132" s="271"/>
      <c r="V132" s="271"/>
      <c r="W132" s="271"/>
      <c r="X132" s="271"/>
      <c r="Y132" s="271"/>
      <c r="Z132" s="271"/>
      <c r="AA132" s="271"/>
      <c r="AB132" s="271"/>
    </row>
    <row r="133" spans="4:28" ht="14.25" customHeight="1">
      <c r="D133" s="271"/>
      <c r="E133" s="271"/>
      <c r="F133" s="271"/>
      <c r="G133" s="271"/>
      <c r="H133" s="271"/>
      <c r="I133" s="271"/>
      <c r="J133" s="271"/>
      <c r="K133" s="271"/>
      <c r="L133" s="271"/>
      <c r="M133" s="271"/>
      <c r="N133" s="271"/>
      <c r="O133" s="271"/>
      <c r="P133" s="271"/>
      <c r="Q133" s="271"/>
      <c r="R133" s="271"/>
      <c r="S133" s="271"/>
      <c r="T133" s="271"/>
      <c r="U133" s="271"/>
      <c r="V133" s="271"/>
      <c r="W133" s="271"/>
      <c r="X133" s="271"/>
      <c r="Y133" s="271"/>
      <c r="Z133" s="271"/>
      <c r="AA133" s="271"/>
      <c r="AB133" s="271"/>
    </row>
    <row r="134" spans="4:28" ht="14.25" customHeight="1">
      <c r="D134" s="271"/>
      <c r="E134" s="271"/>
      <c r="F134" s="271"/>
      <c r="G134" s="271"/>
      <c r="H134" s="271"/>
      <c r="I134" s="271"/>
      <c r="J134" s="271"/>
      <c r="K134" s="271"/>
      <c r="L134" s="271"/>
      <c r="M134" s="271"/>
      <c r="N134" s="271"/>
      <c r="O134" s="271"/>
      <c r="P134" s="271"/>
      <c r="Q134" s="271"/>
      <c r="R134" s="271"/>
      <c r="S134" s="271"/>
      <c r="T134" s="271"/>
      <c r="U134" s="271"/>
      <c r="V134" s="271"/>
      <c r="W134" s="271"/>
      <c r="X134" s="271"/>
      <c r="Y134" s="271"/>
      <c r="Z134" s="271"/>
      <c r="AA134" s="271"/>
      <c r="AB134" s="271"/>
    </row>
    <row r="135" spans="4:28" ht="14.25" customHeight="1">
      <c r="D135" s="271"/>
      <c r="E135" s="271"/>
      <c r="F135" s="271"/>
      <c r="G135" s="271"/>
      <c r="H135" s="271"/>
      <c r="I135" s="271"/>
      <c r="J135" s="271"/>
      <c r="K135" s="271"/>
      <c r="L135" s="271"/>
      <c r="M135" s="271"/>
      <c r="N135" s="271"/>
      <c r="O135" s="271"/>
      <c r="P135" s="271"/>
      <c r="Q135" s="271"/>
      <c r="R135" s="271"/>
      <c r="S135" s="271"/>
      <c r="T135" s="271"/>
      <c r="U135" s="271"/>
      <c r="V135" s="271"/>
      <c r="W135" s="271"/>
      <c r="X135" s="271"/>
      <c r="Y135" s="271"/>
      <c r="Z135" s="271"/>
      <c r="AA135" s="271"/>
      <c r="AB135" s="271"/>
    </row>
    <row r="136" spans="4:28" ht="14.25" customHeight="1">
      <c r="D136" s="271"/>
      <c r="E136" s="271"/>
      <c r="F136" s="271"/>
      <c r="G136" s="271"/>
      <c r="H136" s="271"/>
      <c r="I136" s="271"/>
      <c r="J136" s="271"/>
      <c r="K136" s="271"/>
      <c r="L136" s="271"/>
      <c r="M136" s="271"/>
      <c r="N136" s="271"/>
      <c r="O136" s="271"/>
      <c r="P136" s="271"/>
      <c r="Q136" s="271"/>
      <c r="R136" s="271"/>
      <c r="S136" s="271"/>
      <c r="T136" s="271"/>
      <c r="U136" s="271"/>
      <c r="V136" s="271"/>
      <c r="W136" s="271"/>
      <c r="X136" s="271"/>
      <c r="Y136" s="271"/>
      <c r="Z136" s="271"/>
      <c r="AA136" s="271"/>
      <c r="AB136" s="271"/>
    </row>
    <row r="137" spans="4:28" ht="14.25" customHeight="1">
      <c r="D137" s="271"/>
      <c r="E137" s="271"/>
      <c r="F137" s="271"/>
      <c r="G137" s="271"/>
      <c r="H137" s="271"/>
      <c r="I137" s="271"/>
      <c r="J137" s="271"/>
      <c r="K137" s="271"/>
      <c r="L137" s="271"/>
      <c r="M137" s="271"/>
      <c r="N137" s="271"/>
      <c r="O137" s="271"/>
      <c r="P137" s="271"/>
      <c r="Q137" s="271"/>
      <c r="R137" s="271"/>
      <c r="S137" s="271"/>
      <c r="T137" s="271"/>
      <c r="U137" s="271"/>
      <c r="V137" s="271"/>
      <c r="W137" s="271"/>
      <c r="X137" s="271"/>
      <c r="Y137" s="271"/>
      <c r="Z137" s="271"/>
      <c r="AA137" s="271"/>
      <c r="AB137" s="271"/>
    </row>
    <row r="138" spans="4:28" ht="14.25" customHeight="1">
      <c r="D138" s="271"/>
      <c r="E138" s="271"/>
      <c r="F138" s="271"/>
      <c r="G138" s="271"/>
      <c r="H138" s="271"/>
      <c r="I138" s="271"/>
      <c r="J138" s="271"/>
      <c r="K138" s="271"/>
      <c r="L138" s="271"/>
      <c r="M138" s="271"/>
      <c r="N138" s="271"/>
      <c r="O138" s="271"/>
      <c r="P138" s="271"/>
      <c r="Q138" s="271"/>
      <c r="R138" s="271"/>
      <c r="S138" s="271"/>
      <c r="T138" s="271"/>
      <c r="U138" s="271"/>
      <c r="V138" s="271"/>
      <c r="W138" s="271"/>
      <c r="X138" s="271"/>
      <c r="Y138" s="271"/>
      <c r="Z138" s="271"/>
      <c r="AA138" s="271"/>
      <c r="AB138" s="271"/>
    </row>
    <row r="139" spans="4:28" ht="14.25" customHeight="1">
      <c r="D139" s="271"/>
      <c r="E139" s="271"/>
      <c r="F139" s="271"/>
      <c r="G139" s="271"/>
      <c r="H139" s="271"/>
      <c r="I139" s="271"/>
      <c r="J139" s="271"/>
      <c r="K139" s="271"/>
      <c r="L139" s="271"/>
      <c r="M139" s="271"/>
      <c r="N139" s="271"/>
      <c r="O139" s="271"/>
      <c r="P139" s="271"/>
      <c r="Q139" s="271"/>
      <c r="R139" s="271"/>
      <c r="S139" s="271"/>
      <c r="T139" s="271"/>
      <c r="U139" s="271"/>
      <c r="V139" s="271"/>
      <c r="W139" s="271"/>
      <c r="X139" s="271"/>
      <c r="Y139" s="271"/>
      <c r="Z139" s="271"/>
      <c r="AA139" s="271"/>
      <c r="AB139" s="271"/>
    </row>
    <row r="140" spans="4:28" ht="14.25" customHeight="1">
      <c r="D140" s="271"/>
      <c r="E140" s="271"/>
      <c r="F140" s="271"/>
      <c r="G140" s="271"/>
      <c r="H140" s="271"/>
      <c r="I140" s="271"/>
      <c r="J140" s="271"/>
      <c r="K140" s="271"/>
      <c r="L140" s="271"/>
      <c r="M140" s="271"/>
      <c r="N140" s="271"/>
      <c r="O140" s="271"/>
      <c r="P140" s="271"/>
      <c r="Q140" s="271"/>
      <c r="R140" s="271"/>
      <c r="S140" s="271"/>
      <c r="T140" s="271"/>
      <c r="U140" s="271"/>
      <c r="V140" s="271"/>
      <c r="W140" s="271"/>
      <c r="X140" s="271"/>
      <c r="Y140" s="271"/>
      <c r="Z140" s="271"/>
      <c r="AA140" s="271"/>
      <c r="AB140" s="271"/>
    </row>
    <row r="141" spans="4:28" ht="14.25" customHeight="1">
      <c r="D141" s="271"/>
      <c r="E141" s="271"/>
      <c r="F141" s="271"/>
      <c r="G141" s="271"/>
      <c r="H141" s="271"/>
      <c r="I141" s="271"/>
      <c r="J141" s="271"/>
      <c r="K141" s="271"/>
      <c r="L141" s="271"/>
      <c r="M141" s="271"/>
      <c r="N141" s="271"/>
      <c r="O141" s="271"/>
      <c r="P141" s="271"/>
      <c r="Q141" s="271"/>
      <c r="R141" s="271"/>
      <c r="S141" s="271"/>
      <c r="T141" s="271"/>
      <c r="U141" s="271"/>
      <c r="V141" s="271"/>
      <c r="W141" s="271"/>
      <c r="X141" s="271"/>
      <c r="Y141" s="271"/>
      <c r="Z141" s="271"/>
      <c r="AA141" s="271"/>
      <c r="AB141" s="271"/>
    </row>
  </sheetData>
  <mergeCells count="26">
    <mergeCell ref="W6:W7"/>
    <mergeCell ref="X6:X7"/>
    <mergeCell ref="Y6:Y7"/>
    <mergeCell ref="Z6:Z7"/>
    <mergeCell ref="Q6:Q7"/>
    <mergeCell ref="R6:R7"/>
    <mergeCell ref="S6:S7"/>
    <mergeCell ref="T6:T7"/>
    <mergeCell ref="U6:U7"/>
    <mergeCell ref="V6:V7"/>
    <mergeCell ref="O6:O7"/>
    <mergeCell ref="B2:AB2"/>
    <mergeCell ref="C4:AA4"/>
    <mergeCell ref="B5:B7"/>
    <mergeCell ref="C5:C7"/>
    <mergeCell ref="D5:O5"/>
    <mergeCell ref="P5:P7"/>
    <mergeCell ref="Q5:Z5"/>
    <mergeCell ref="AA5:AA7"/>
    <mergeCell ref="AB5:AB7"/>
    <mergeCell ref="D6:D7"/>
    <mergeCell ref="E6:E7"/>
    <mergeCell ref="F6:K6"/>
    <mergeCell ref="L6:L7"/>
    <mergeCell ref="M6:M7"/>
    <mergeCell ref="N6:N7"/>
  </mergeCells>
  <phoneticPr fontId="20" type="noConversion"/>
  <pageMargins left="0" right="0" top="0" bottom="0" header="0" footer="0"/>
  <pageSetup paperSize="9" pageOrder="overThenDown" orientation="portrait" blackAndWhite="1" useFirstPageNumber="1" r:id="rId1"/>
  <headerFooter alignWithMargins="0"/>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22"/>
  <dimension ref="A1:AM91"/>
  <sheetViews>
    <sheetView showGridLines="0" zoomScale="85" zoomScaleNormal="85" workbookViewId="0">
      <pane xSplit="3" ySplit="7" topLeftCell="D8" activePane="bottomRight" state="frozenSplit"/>
      <selection activeCell="K8" sqref="K8"/>
      <selection pane="topRight" activeCell="K8" sqref="K8"/>
      <selection pane="bottomLeft" activeCell="K8" sqref="K8"/>
      <selection pane="bottomRight" activeCell="K8" sqref="K8"/>
    </sheetView>
  </sheetViews>
  <sheetFormatPr defaultColWidth="9.44140625" defaultRowHeight="14.25" customHeight="1" outlineLevelCol="1"/>
  <cols>
    <col min="1" max="1" width="0" style="273" hidden="1" customWidth="1"/>
    <col min="2" max="2" width="29" style="273" customWidth="1"/>
    <col min="3" max="3" width="5.88671875" style="273" customWidth="1"/>
    <col min="4" max="5" width="13.44140625" style="273" customWidth="1"/>
    <col min="6" max="6" width="19.109375" style="273" bestFit="1" customWidth="1"/>
    <col min="7" max="7" width="22.109375" style="273" bestFit="1" customWidth="1"/>
    <col min="8" max="8" width="15.21875" style="273" customWidth="1"/>
    <col min="9" max="10" width="13.44140625" style="273" customWidth="1"/>
    <col min="11" max="11" width="14.77734375" style="273" customWidth="1"/>
    <col min="12" max="12" width="13.44140625" style="273" customWidth="1"/>
    <col min="13" max="13" width="16.33203125" style="273" customWidth="1"/>
    <col min="14" max="16" width="13.44140625" style="273" hidden="1" customWidth="1" outlineLevel="1"/>
    <col min="17" max="17" width="13.6640625" style="273" hidden="1" customWidth="1" outlineLevel="1"/>
    <col min="18" max="18" width="15.21875" style="273" hidden="1" customWidth="1" outlineLevel="1"/>
    <col min="19" max="20" width="13.44140625" style="273" hidden="1" customWidth="1" outlineLevel="1"/>
    <col min="21" max="21" width="13" style="273" hidden="1" customWidth="1" outlineLevel="1"/>
    <col min="22" max="22" width="13.44140625" style="273" hidden="1" customWidth="1" outlineLevel="1"/>
    <col min="23" max="23" width="16.33203125" style="273" hidden="1" customWidth="1" outlineLevel="1"/>
    <col min="24" max="24" width="13.44140625" style="273" hidden="1" customWidth="1" outlineLevel="1"/>
    <col min="25" max="25" width="10.77734375" style="273" customWidth="1" collapsed="1"/>
    <col min="26" max="26" width="11" style="273" customWidth="1"/>
    <col min="27" max="39" width="10.77734375" style="273" customWidth="1"/>
    <col min="40" max="16384" width="9.44140625" style="273"/>
  </cols>
  <sheetData>
    <row r="1" spans="1:39" ht="14.25" hidden="1" customHeight="1">
      <c r="A1" s="288"/>
      <c r="B1" s="271"/>
      <c r="C1" s="271"/>
      <c r="D1" s="271"/>
      <c r="E1" s="271"/>
      <c r="F1" s="272"/>
      <c r="G1" s="272"/>
      <c r="H1" s="272"/>
      <c r="I1" s="272"/>
      <c r="J1" s="272"/>
      <c r="K1" s="272"/>
      <c r="L1" s="272"/>
      <c r="M1" s="272"/>
      <c r="N1" s="272"/>
      <c r="O1" s="272"/>
      <c r="P1" s="272"/>
      <c r="Q1" s="272"/>
      <c r="R1" s="272"/>
      <c r="S1" s="272"/>
      <c r="T1" s="272"/>
      <c r="U1" s="272"/>
      <c r="V1" s="272"/>
      <c r="W1" s="272"/>
      <c r="X1" s="272"/>
      <c r="Y1" s="271"/>
      <c r="Z1" s="271"/>
      <c r="AA1" s="271"/>
      <c r="AB1" s="271"/>
      <c r="AC1" s="271"/>
      <c r="AD1" s="271"/>
      <c r="AE1" s="271"/>
      <c r="AF1" s="271"/>
      <c r="AG1" s="271"/>
      <c r="AH1" s="271"/>
      <c r="AI1" s="271"/>
      <c r="AJ1" s="271"/>
      <c r="AK1" s="271"/>
      <c r="AL1" s="271"/>
      <c r="AM1" s="271"/>
    </row>
    <row r="2" spans="1:39" ht="24" customHeight="1">
      <c r="A2" s="271"/>
      <c r="B2" s="2542" t="s">
        <v>905</v>
      </c>
      <c r="C2" s="2543"/>
      <c r="D2" s="2543"/>
      <c r="E2" s="2543"/>
      <c r="F2" s="2544"/>
      <c r="G2" s="2544"/>
      <c r="H2" s="2544"/>
      <c r="I2" s="2544"/>
      <c r="J2" s="2544"/>
      <c r="K2" s="2544"/>
      <c r="L2" s="2544"/>
      <c r="M2" s="2544"/>
      <c r="N2" s="2544"/>
      <c r="O2" s="2544"/>
      <c r="P2" s="2544"/>
      <c r="Q2" s="2544"/>
      <c r="R2" s="2544"/>
      <c r="S2" s="2544"/>
      <c r="T2" s="2544"/>
      <c r="U2" s="2544"/>
      <c r="V2" s="2544"/>
      <c r="W2" s="2544"/>
      <c r="X2" s="2544"/>
      <c r="Y2" s="271"/>
      <c r="Z2" s="274"/>
      <c r="AA2" s="271"/>
      <c r="AB2" s="271"/>
      <c r="AC2" s="271"/>
      <c r="AD2" s="271"/>
      <c r="AE2" s="271"/>
      <c r="AF2" s="271"/>
      <c r="AG2" s="271"/>
      <c r="AH2" s="271"/>
      <c r="AI2" s="271"/>
      <c r="AJ2" s="271"/>
      <c r="AK2" s="271"/>
      <c r="AL2" s="271"/>
      <c r="AM2" s="271"/>
    </row>
    <row r="3" spans="1:39" ht="18" customHeight="1">
      <c r="A3" s="271"/>
      <c r="B3" s="289"/>
      <c r="C3" s="290"/>
      <c r="D3" s="290"/>
      <c r="E3" s="340"/>
      <c r="F3" s="341"/>
      <c r="G3" s="341"/>
      <c r="H3" s="341"/>
      <c r="I3" s="341"/>
      <c r="J3" s="341"/>
      <c r="K3" s="341"/>
      <c r="L3" s="341"/>
      <c r="M3" s="341"/>
      <c r="N3" s="341"/>
      <c r="O3" s="341"/>
      <c r="P3" s="341"/>
      <c r="Q3" s="341"/>
      <c r="R3" s="341"/>
      <c r="S3" s="341"/>
      <c r="T3" s="341"/>
      <c r="U3" s="341"/>
      <c r="V3" s="341"/>
      <c r="W3" s="341"/>
      <c r="X3" s="341" t="s">
        <v>906</v>
      </c>
      <c r="Y3" s="271"/>
      <c r="Z3" s="274"/>
      <c r="AA3" s="271"/>
      <c r="AB3" s="271"/>
      <c r="AC3" s="271"/>
      <c r="AD3" s="271"/>
      <c r="AE3" s="271"/>
      <c r="AF3" s="271"/>
      <c r="AG3" s="271"/>
      <c r="AH3" s="271"/>
      <c r="AI3" s="271"/>
      <c r="AJ3" s="271"/>
      <c r="AK3" s="271"/>
      <c r="AL3" s="271"/>
      <c r="AM3" s="271"/>
    </row>
    <row r="4" spans="1:39" ht="18" customHeight="1" thickBot="1">
      <c r="A4" s="271"/>
      <c r="B4" s="2556" t="s">
        <v>813</v>
      </c>
      <c r="C4" s="2556"/>
      <c r="D4" s="2557"/>
      <c r="E4" s="2558"/>
      <c r="F4" s="341"/>
      <c r="G4" s="341"/>
      <c r="H4" s="341"/>
      <c r="I4" s="341"/>
      <c r="J4" s="341"/>
      <c r="K4" s="2559" t="s">
        <v>1081</v>
      </c>
      <c r="L4" s="2560"/>
      <c r="M4" s="2560"/>
      <c r="N4" s="2561"/>
      <c r="O4" s="341"/>
      <c r="P4" s="341"/>
      <c r="Q4" s="341"/>
      <c r="R4" s="341"/>
      <c r="S4" s="341"/>
      <c r="T4" s="341"/>
      <c r="U4" s="341"/>
      <c r="V4" s="341"/>
      <c r="W4" s="341"/>
      <c r="X4" s="341" t="s">
        <v>815</v>
      </c>
      <c r="Y4" s="271"/>
      <c r="Z4" s="274"/>
      <c r="AA4" s="271"/>
      <c r="AB4" s="271"/>
      <c r="AC4" s="271"/>
      <c r="AD4" s="271"/>
      <c r="AE4" s="271"/>
      <c r="AF4" s="271"/>
      <c r="AG4" s="271"/>
      <c r="AH4" s="271"/>
      <c r="AI4" s="271"/>
      <c r="AJ4" s="271"/>
      <c r="AK4" s="271"/>
      <c r="AL4" s="271"/>
      <c r="AM4" s="271"/>
    </row>
    <row r="5" spans="1:39" ht="19.5" customHeight="1">
      <c r="A5" s="293"/>
      <c r="B5" s="2562" t="s">
        <v>907</v>
      </c>
      <c r="C5" s="2565" t="s">
        <v>816</v>
      </c>
      <c r="D5" s="2565" t="s">
        <v>908</v>
      </c>
      <c r="E5" s="2562"/>
      <c r="F5" s="2566"/>
      <c r="G5" s="2566"/>
      <c r="H5" s="2566"/>
      <c r="I5" s="2566"/>
      <c r="J5" s="2567"/>
      <c r="K5" s="2567"/>
      <c r="L5" s="2567"/>
      <c r="M5" s="2567"/>
      <c r="N5" s="2568" t="s">
        <v>909</v>
      </c>
      <c r="O5" s="2567"/>
      <c r="P5" s="2566"/>
      <c r="Q5" s="2567"/>
      <c r="R5" s="2566"/>
      <c r="S5" s="2566"/>
      <c r="T5" s="2567"/>
      <c r="U5" s="2567"/>
      <c r="V5" s="2567"/>
      <c r="W5" s="2567"/>
      <c r="X5" s="2569" t="s">
        <v>910</v>
      </c>
      <c r="Y5" s="271"/>
      <c r="Z5" s="271"/>
      <c r="AA5" s="271"/>
      <c r="AB5" s="271"/>
      <c r="AC5" s="271"/>
      <c r="AD5" s="271"/>
      <c r="AE5" s="271"/>
      <c r="AF5" s="271"/>
      <c r="AG5" s="271"/>
      <c r="AH5" s="271"/>
      <c r="AI5" s="271"/>
      <c r="AJ5" s="271"/>
      <c r="AK5" s="271"/>
      <c r="AL5" s="271"/>
      <c r="AM5" s="271"/>
    </row>
    <row r="6" spans="1:39" ht="16.5" customHeight="1">
      <c r="A6" s="293"/>
      <c r="B6" s="2563"/>
      <c r="C6" s="2563"/>
      <c r="D6" s="2572" t="s">
        <v>911</v>
      </c>
      <c r="E6" s="2572" t="s">
        <v>912</v>
      </c>
      <c r="F6" s="2574" t="s">
        <v>913</v>
      </c>
      <c r="G6" s="385"/>
      <c r="H6" s="2576" t="s">
        <v>914</v>
      </c>
      <c r="I6" s="2577" t="s">
        <v>61</v>
      </c>
      <c r="J6" s="2554" t="s">
        <v>915</v>
      </c>
      <c r="K6" s="2554" t="s">
        <v>916</v>
      </c>
      <c r="L6" s="2554" t="s">
        <v>453</v>
      </c>
      <c r="M6" s="2578" t="s">
        <v>917</v>
      </c>
      <c r="N6" s="2554" t="s">
        <v>911</v>
      </c>
      <c r="O6" s="2580" t="s">
        <v>912</v>
      </c>
      <c r="P6" s="2574" t="s">
        <v>918</v>
      </c>
      <c r="Q6" s="295"/>
      <c r="R6" s="2581" t="s">
        <v>914</v>
      </c>
      <c r="S6" s="2577" t="s">
        <v>61</v>
      </c>
      <c r="T6" s="2554" t="s">
        <v>915</v>
      </c>
      <c r="U6" s="2554" t="s">
        <v>916</v>
      </c>
      <c r="V6" s="2554" t="s">
        <v>453</v>
      </c>
      <c r="W6" s="2554" t="s">
        <v>917</v>
      </c>
      <c r="X6" s="2570"/>
      <c r="Y6" s="271"/>
      <c r="Z6" s="279"/>
      <c r="AA6" s="271"/>
      <c r="AB6" s="271"/>
      <c r="AC6" s="271"/>
      <c r="AD6" s="271"/>
      <c r="AE6" s="271"/>
      <c r="AF6" s="271"/>
      <c r="AG6" s="271"/>
      <c r="AH6" s="271"/>
      <c r="AI6" s="271"/>
      <c r="AJ6" s="271"/>
      <c r="AK6" s="271"/>
      <c r="AL6" s="271"/>
      <c r="AM6" s="271"/>
    </row>
    <row r="7" spans="1:39" ht="30" customHeight="1">
      <c r="A7" s="293"/>
      <c r="B7" s="2564"/>
      <c r="C7" s="2564"/>
      <c r="D7" s="2573"/>
      <c r="E7" s="2573"/>
      <c r="F7" s="2575"/>
      <c r="G7" s="386" t="s">
        <v>919</v>
      </c>
      <c r="H7" s="2555"/>
      <c r="I7" s="2555"/>
      <c r="J7" s="2555"/>
      <c r="K7" s="2555"/>
      <c r="L7" s="2555"/>
      <c r="M7" s="2579" t="s">
        <v>920</v>
      </c>
      <c r="N7" s="2555"/>
      <c r="O7" s="2555"/>
      <c r="P7" s="2575"/>
      <c r="Q7" s="296" t="s">
        <v>919</v>
      </c>
      <c r="R7" s="2555"/>
      <c r="S7" s="2555"/>
      <c r="T7" s="2555"/>
      <c r="U7" s="2555"/>
      <c r="V7" s="2555"/>
      <c r="W7" s="2555" t="s">
        <v>921</v>
      </c>
      <c r="X7" s="2571"/>
      <c r="Y7" s="271"/>
      <c r="Z7" s="271"/>
      <c r="AA7" s="271"/>
      <c r="AB7" s="271"/>
      <c r="AC7" s="271"/>
      <c r="AD7" s="271"/>
      <c r="AE7" s="271"/>
      <c r="AF7" s="271"/>
      <c r="AG7" s="271"/>
      <c r="AH7" s="271"/>
      <c r="AI7" s="271"/>
      <c r="AJ7" s="271"/>
      <c r="AK7" s="271"/>
      <c r="AL7" s="271"/>
      <c r="AM7" s="271"/>
    </row>
    <row r="8" spans="1:39" ht="14.25" customHeight="1">
      <c r="A8" s="271"/>
      <c r="B8" s="381" t="s">
        <v>922</v>
      </c>
      <c r="C8" s="382" t="s">
        <v>839</v>
      </c>
      <c r="D8" s="387">
        <v>0.97541752059999998</v>
      </c>
      <c r="E8" s="387">
        <v>13332.2573016724</v>
      </c>
      <c r="F8" s="387"/>
      <c r="G8" s="387">
        <v>0</v>
      </c>
      <c r="H8" s="387"/>
      <c r="I8" s="387"/>
      <c r="J8" s="387"/>
      <c r="K8" s="387"/>
      <c r="L8" s="387">
        <v>13333.232719193</v>
      </c>
      <c r="M8" s="387"/>
      <c r="N8" s="303">
        <f>159442150.34/(10^8)</f>
        <v>1.5944215034</v>
      </c>
      <c r="O8" s="303">
        <f>1257183973374.47/(10^8)</f>
        <v>12571.8397337447</v>
      </c>
      <c r="P8" s="303"/>
      <c r="Q8" s="303">
        <f>0/(10^8)</f>
        <v>0</v>
      </c>
      <c r="R8" s="303"/>
      <c r="S8" s="303"/>
      <c r="T8" s="303"/>
      <c r="U8" s="303"/>
      <c r="V8" s="303">
        <f>1257343415524.81/(10^8)</f>
        <v>12573.4341552481</v>
      </c>
      <c r="W8" s="303"/>
      <c r="X8" s="299">
        <v>-2.6200000000000001E-2</v>
      </c>
      <c r="Y8" s="271"/>
      <c r="Z8" s="274"/>
      <c r="AA8" s="271"/>
      <c r="AB8" s="271"/>
      <c r="AC8" s="271"/>
      <c r="AD8" s="271"/>
      <c r="AE8" s="271"/>
      <c r="AF8" s="271"/>
      <c r="AG8" s="271"/>
      <c r="AH8" s="271"/>
      <c r="AI8" s="271"/>
      <c r="AJ8" s="271"/>
      <c r="AK8" s="271"/>
      <c r="AL8" s="271"/>
      <c r="AM8" s="271"/>
    </row>
    <row r="9" spans="1:39" ht="14.25" customHeight="1">
      <c r="A9" s="271"/>
      <c r="B9" s="381" t="s">
        <v>923</v>
      </c>
      <c r="C9" s="382" t="s">
        <v>840</v>
      </c>
      <c r="D9" s="387">
        <v>5.1728109000000006E-3</v>
      </c>
      <c r="E9" s="387"/>
      <c r="F9" s="387">
        <v>0.47644269920000004</v>
      </c>
      <c r="G9" s="387">
        <v>0</v>
      </c>
      <c r="H9" s="387"/>
      <c r="I9" s="387"/>
      <c r="J9" s="387"/>
      <c r="K9" s="387"/>
      <c r="L9" s="387">
        <v>0.48161551009999998</v>
      </c>
      <c r="M9" s="387"/>
      <c r="N9" s="303">
        <f>271004.75/(10^8)</f>
        <v>2.7100474999999999E-3</v>
      </c>
      <c r="O9" s="303"/>
      <c r="P9" s="303">
        <f>260940832.06/(10^8)</f>
        <v>2.6094083206000001</v>
      </c>
      <c r="Q9" s="303">
        <f>0/(10^8)</f>
        <v>0</v>
      </c>
      <c r="R9" s="303"/>
      <c r="S9" s="303"/>
      <c r="T9" s="303"/>
      <c r="U9" s="303"/>
      <c r="V9" s="303">
        <f>261211836.81/(10^8)</f>
        <v>2.6121183681</v>
      </c>
      <c r="W9" s="303"/>
      <c r="X9" s="299">
        <v>-0.82440000000000002</v>
      </c>
      <c r="Y9" s="271"/>
      <c r="Z9" s="274"/>
      <c r="AA9" s="271"/>
      <c r="AB9" s="271"/>
      <c r="AC9" s="271"/>
      <c r="AD9" s="271"/>
      <c r="AE9" s="271"/>
      <c r="AF9" s="271"/>
      <c r="AG9" s="271"/>
      <c r="AH9" s="271"/>
      <c r="AI9" s="271"/>
      <c r="AJ9" s="271"/>
      <c r="AK9" s="271"/>
      <c r="AL9" s="271"/>
      <c r="AM9" s="271"/>
    </row>
    <row r="10" spans="1:39" ht="14.25" customHeight="1">
      <c r="A10" s="271"/>
      <c r="B10" s="381" t="s">
        <v>924</v>
      </c>
      <c r="C10" s="382" t="s">
        <v>841</v>
      </c>
      <c r="D10" s="387">
        <v>31.437190542399996</v>
      </c>
      <c r="E10" s="387"/>
      <c r="F10" s="387">
        <v>1176.6762179672</v>
      </c>
      <c r="G10" s="387">
        <v>30.605205329099999</v>
      </c>
      <c r="H10" s="387">
        <v>113.5429543066</v>
      </c>
      <c r="I10" s="387">
        <v>37.318313178400004</v>
      </c>
      <c r="J10" s="387">
        <v>9.6653634139999998</v>
      </c>
      <c r="K10" s="387">
        <v>15.057111235499999</v>
      </c>
      <c r="L10" s="387">
        <v>1383.6971506441</v>
      </c>
      <c r="M10" s="387">
        <v>108.7590232873</v>
      </c>
      <c r="N10" s="303">
        <f>2941810070.76/(10^8)</f>
        <v>29.418100707600001</v>
      </c>
      <c r="O10" s="303"/>
      <c r="P10" s="303">
        <f>110530051664.67/(10^8)</f>
        <v>1105.3005166467001</v>
      </c>
      <c r="Q10" s="303">
        <f>5480048469.56/(10^8)</f>
        <v>54.800484695600005</v>
      </c>
      <c r="R10" s="303">
        <f>8845796197.56/(10^8)</f>
        <v>88.4579619756</v>
      </c>
      <c r="S10" s="303">
        <f>3388630979.44/(10^8)</f>
        <v>33.886309794399999</v>
      </c>
      <c r="T10" s="303">
        <f>947930231.18/(10^8)</f>
        <v>9.4793023117999997</v>
      </c>
      <c r="U10" s="303">
        <f>1340371792.19/(10^8)</f>
        <v>13.4037179219</v>
      </c>
      <c r="V10" s="303">
        <f>127994590935.8/(10^8)</f>
        <v>1279.9459093580001</v>
      </c>
      <c r="W10" s="303">
        <f>8207141782.33/(10^8)</f>
        <v>82.071417823299996</v>
      </c>
      <c r="X10" s="299">
        <v>1.0999999999999999E-2</v>
      </c>
      <c r="Y10" s="271"/>
      <c r="Z10" s="271"/>
      <c r="AA10" s="271"/>
      <c r="AB10" s="271"/>
      <c r="AC10" s="271"/>
      <c r="AD10" s="271"/>
      <c r="AE10" s="271"/>
      <c r="AF10" s="271"/>
      <c r="AG10" s="271"/>
      <c r="AH10" s="271"/>
      <c r="AI10" s="271"/>
      <c r="AJ10" s="271"/>
      <c r="AK10" s="271"/>
      <c r="AL10" s="271"/>
      <c r="AM10" s="271"/>
    </row>
    <row r="11" spans="1:39" ht="14.25" customHeight="1">
      <c r="A11" s="271"/>
      <c r="B11" s="381" t="s">
        <v>925</v>
      </c>
      <c r="C11" s="382" t="s">
        <v>842</v>
      </c>
      <c r="D11" s="387">
        <v>63.0713926018</v>
      </c>
      <c r="E11" s="387"/>
      <c r="F11" s="387">
        <v>2722.0434385192998</v>
      </c>
      <c r="G11" s="387">
        <v>41.815698692199994</v>
      </c>
      <c r="H11" s="387">
        <v>53.916576421400002</v>
      </c>
      <c r="I11" s="387">
        <v>12.859911563499999</v>
      </c>
      <c r="J11" s="387">
        <v>0.37698596299999998</v>
      </c>
      <c r="K11" s="387">
        <v>2.3957277716999998</v>
      </c>
      <c r="L11" s="387">
        <v>2854.6640328407002</v>
      </c>
      <c r="M11" s="387">
        <v>52.747030006800003</v>
      </c>
      <c r="N11" s="303">
        <f>5600171058.55/(10^8)</f>
        <v>56.0017105855</v>
      </c>
      <c r="O11" s="303"/>
      <c r="P11" s="303">
        <f>228062606631.68/(10^8)</f>
        <v>2280.6260663168</v>
      </c>
      <c r="Q11" s="303">
        <f>4074477991.21/(10^8)</f>
        <v>40.7447799121</v>
      </c>
      <c r="R11" s="303">
        <f>3852265345.01/(10^8)</f>
        <v>38.522653450100002</v>
      </c>
      <c r="S11" s="303">
        <f>1062311330.65/(10^8)</f>
        <v>10.623113306500001</v>
      </c>
      <c r="T11" s="303">
        <f>60873668.73/(10^8)</f>
        <v>0.60873668729999997</v>
      </c>
      <c r="U11" s="303">
        <f>224195705.3/(10^8)</f>
        <v>2.2419570530000001</v>
      </c>
      <c r="V11" s="303">
        <f>238862423739.92/(10^8)</f>
        <v>2388.6242373992</v>
      </c>
      <c r="W11" s="303">
        <f>3292989471.54/(10^8)</f>
        <v>32.929894715399996</v>
      </c>
      <c r="X11" s="299">
        <v>0.1113</v>
      </c>
      <c r="Y11" s="271"/>
      <c r="Z11" s="271"/>
      <c r="AA11" s="271"/>
      <c r="AB11" s="271"/>
      <c r="AC11" s="271"/>
      <c r="AD11" s="271"/>
      <c r="AE11" s="271"/>
      <c r="AF11" s="271"/>
      <c r="AG11" s="271"/>
      <c r="AH11" s="271"/>
      <c r="AI11" s="271"/>
      <c r="AJ11" s="271"/>
      <c r="AK11" s="271"/>
      <c r="AL11" s="271"/>
      <c r="AM11" s="271"/>
    </row>
    <row r="12" spans="1:39" ht="14.25" customHeight="1">
      <c r="A12" s="271"/>
      <c r="B12" s="381" t="s">
        <v>926</v>
      </c>
      <c r="C12" s="382" t="s">
        <v>843</v>
      </c>
      <c r="D12" s="387">
        <v>31.152578170799998</v>
      </c>
      <c r="E12" s="387"/>
      <c r="F12" s="387"/>
      <c r="G12" s="387">
        <v>0</v>
      </c>
      <c r="H12" s="387"/>
      <c r="I12" s="387"/>
      <c r="J12" s="387"/>
      <c r="K12" s="387"/>
      <c r="L12" s="387">
        <v>31.152578170799998</v>
      </c>
      <c r="M12" s="387"/>
      <c r="N12" s="303">
        <f>2792365110.31/(10^8)</f>
        <v>27.923651103099999</v>
      </c>
      <c r="O12" s="303"/>
      <c r="P12" s="303"/>
      <c r="Q12" s="303">
        <f>0/(10^8)</f>
        <v>0</v>
      </c>
      <c r="R12" s="303"/>
      <c r="S12" s="303"/>
      <c r="T12" s="303"/>
      <c r="U12" s="303"/>
      <c r="V12" s="303">
        <f>2792365110.31/(10^8)</f>
        <v>27.923651103099999</v>
      </c>
      <c r="W12" s="303"/>
      <c r="X12" s="299">
        <v>7.0300000000000001E-2</v>
      </c>
      <c r="Y12" s="271"/>
      <c r="Z12" s="271"/>
      <c r="AA12" s="271"/>
      <c r="AB12" s="271"/>
      <c r="AC12" s="271"/>
      <c r="AD12" s="271"/>
      <c r="AE12" s="271"/>
      <c r="AF12" s="271"/>
      <c r="AG12" s="271"/>
      <c r="AH12" s="271"/>
      <c r="AI12" s="271"/>
      <c r="AJ12" s="271"/>
      <c r="AK12" s="271"/>
      <c r="AL12" s="271"/>
      <c r="AM12" s="271"/>
    </row>
    <row r="13" spans="1:39" ht="14.25" customHeight="1">
      <c r="A13" s="271"/>
      <c r="B13" s="381" t="s">
        <v>927</v>
      </c>
      <c r="C13" s="382" t="s">
        <v>844</v>
      </c>
      <c r="D13" s="387">
        <v>5.1483933957999994</v>
      </c>
      <c r="E13" s="387"/>
      <c r="F13" s="387"/>
      <c r="G13" s="387">
        <v>0</v>
      </c>
      <c r="H13" s="387"/>
      <c r="I13" s="387"/>
      <c r="J13" s="387"/>
      <c r="K13" s="387"/>
      <c r="L13" s="387">
        <v>5.1483933957999994</v>
      </c>
      <c r="M13" s="387"/>
      <c r="N13" s="303">
        <f>525666347.24/(10^8)</f>
        <v>5.2566634724000005</v>
      </c>
      <c r="O13" s="303"/>
      <c r="P13" s="303"/>
      <c r="Q13" s="303">
        <f>0/(10^8)</f>
        <v>0</v>
      </c>
      <c r="R13" s="303"/>
      <c r="S13" s="303"/>
      <c r="T13" s="303"/>
      <c r="U13" s="303"/>
      <c r="V13" s="303">
        <f>525666347.24/(10^8)</f>
        <v>5.2566634724000005</v>
      </c>
      <c r="W13" s="303"/>
      <c r="X13" s="299">
        <v>0.1169</v>
      </c>
      <c r="Y13" s="271"/>
      <c r="Z13" s="271"/>
      <c r="AA13" s="271"/>
      <c r="AB13" s="271"/>
      <c r="AC13" s="271"/>
      <c r="AD13" s="271"/>
      <c r="AE13" s="271"/>
      <c r="AF13" s="271"/>
      <c r="AG13" s="271"/>
      <c r="AH13" s="271"/>
      <c r="AI13" s="271"/>
      <c r="AJ13" s="271"/>
      <c r="AK13" s="271"/>
      <c r="AL13" s="271"/>
      <c r="AM13" s="271"/>
    </row>
    <row r="14" spans="1:39" ht="14.25" customHeight="1">
      <c r="A14" s="271"/>
      <c r="B14" s="381" t="s">
        <v>928</v>
      </c>
      <c r="C14" s="382" t="s">
        <v>845</v>
      </c>
      <c r="D14" s="387">
        <v>15.0913886359</v>
      </c>
      <c r="E14" s="387"/>
      <c r="F14" s="387">
        <v>1059.5550656629</v>
      </c>
      <c r="G14" s="387">
        <v>140.3492471541</v>
      </c>
      <c r="H14" s="387">
        <v>357.34187351959997</v>
      </c>
      <c r="I14" s="387">
        <v>3.4969302269</v>
      </c>
      <c r="J14" s="387">
        <v>0.35188692999999999</v>
      </c>
      <c r="K14" s="387">
        <v>0.20244272839999999</v>
      </c>
      <c r="L14" s="387">
        <v>1436.0395877036999</v>
      </c>
      <c r="M14" s="387">
        <v>50.651452171400003</v>
      </c>
      <c r="N14" s="303">
        <f>1289925932.51/(10^8)</f>
        <v>12.899259325099999</v>
      </c>
      <c r="O14" s="303"/>
      <c r="P14" s="303">
        <f>110002125732.75/(10^8)</f>
        <v>1100.0212573275001</v>
      </c>
      <c r="Q14" s="303">
        <f>14699643756.19/(10^8)</f>
        <v>146.9964375619</v>
      </c>
      <c r="R14" s="303">
        <f>16502327651.55/(10^8)</f>
        <v>165.02327651549999</v>
      </c>
      <c r="S14" s="303">
        <f>246254564.12/(10^8)</f>
        <v>2.4625456412000002</v>
      </c>
      <c r="T14" s="303">
        <f>37604491.59/(10^8)</f>
        <v>0.37604491590000005</v>
      </c>
      <c r="U14" s="303">
        <f>17574288.4/(10^8)</f>
        <v>0.17574288399999999</v>
      </c>
      <c r="V14" s="303">
        <f>128095812660.92/(10^8)</f>
        <v>1280.9581266092</v>
      </c>
      <c r="W14" s="303">
        <f>4080511617.52/(10^8)</f>
        <v>40.805116175199998</v>
      </c>
      <c r="X14" s="299">
        <v>5.3199999999999997E-2</v>
      </c>
      <c r="Y14" s="271"/>
      <c r="Z14" s="271"/>
      <c r="AA14" s="271"/>
      <c r="AB14" s="271"/>
      <c r="AC14" s="271"/>
      <c r="AD14" s="271"/>
      <c r="AE14" s="271"/>
      <c r="AF14" s="271"/>
      <c r="AG14" s="271"/>
      <c r="AH14" s="271"/>
      <c r="AI14" s="271"/>
      <c r="AJ14" s="271"/>
      <c r="AK14" s="271"/>
      <c r="AL14" s="271"/>
      <c r="AM14" s="271"/>
    </row>
    <row r="15" spans="1:39" ht="14.25" customHeight="1">
      <c r="A15" s="271"/>
      <c r="B15" s="381" t="s">
        <v>929</v>
      </c>
      <c r="C15" s="382" t="s">
        <v>846</v>
      </c>
      <c r="D15" s="387"/>
      <c r="E15" s="387"/>
      <c r="F15" s="387">
        <v>270.2520903267</v>
      </c>
      <c r="G15" s="387">
        <v>29.166581268800002</v>
      </c>
      <c r="H15" s="387"/>
      <c r="I15" s="387"/>
      <c r="J15" s="387"/>
      <c r="K15" s="387"/>
      <c r="L15" s="387">
        <v>270.2520903267</v>
      </c>
      <c r="M15" s="387"/>
      <c r="N15" s="303"/>
      <c r="O15" s="303"/>
      <c r="P15" s="303">
        <f>31871859805.98/(10^8)</f>
        <v>318.7185980598</v>
      </c>
      <c r="Q15" s="303">
        <f>3802587865.32/(10^8)</f>
        <v>38.025878653200003</v>
      </c>
      <c r="R15" s="303"/>
      <c r="S15" s="303"/>
      <c r="T15" s="303"/>
      <c r="U15" s="303"/>
      <c r="V15" s="303">
        <f>31871859805.98/(10^8)</f>
        <v>318.7185980598</v>
      </c>
      <c r="W15" s="303"/>
      <c r="X15" s="299">
        <v>-7.8100000000000003E-2</v>
      </c>
      <c r="Y15" s="271"/>
      <c r="Z15" s="271">
        <f>10^8</f>
        <v>100000000</v>
      </c>
      <c r="AA15" s="271"/>
      <c r="AB15" s="271"/>
      <c r="AC15" s="271"/>
      <c r="AD15" s="271"/>
      <c r="AE15" s="271"/>
      <c r="AF15" s="271"/>
      <c r="AG15" s="271"/>
      <c r="AH15" s="271"/>
      <c r="AI15" s="271"/>
      <c r="AJ15" s="271"/>
      <c r="AK15" s="271"/>
      <c r="AL15" s="271"/>
      <c r="AM15" s="271"/>
    </row>
    <row r="16" spans="1:39" ht="14.25" customHeight="1">
      <c r="A16" s="271"/>
      <c r="B16" s="381" t="s">
        <v>930</v>
      </c>
      <c r="C16" s="382" t="s">
        <v>847</v>
      </c>
      <c r="D16" s="387"/>
      <c r="E16" s="387"/>
      <c r="F16" s="387">
        <v>97.328256045499998</v>
      </c>
      <c r="G16" s="387">
        <v>22.316312029299997</v>
      </c>
      <c r="H16" s="387"/>
      <c r="I16" s="387"/>
      <c r="J16" s="387"/>
      <c r="K16" s="387"/>
      <c r="L16" s="387">
        <v>97.328256045499998</v>
      </c>
      <c r="M16" s="387"/>
      <c r="N16" s="303"/>
      <c r="O16" s="303"/>
      <c r="P16" s="303">
        <f>12333920926.6/(10^8)</f>
        <v>123.339209266</v>
      </c>
      <c r="Q16" s="303">
        <f>2148554353.01/(10^8)</f>
        <v>21.485543530100003</v>
      </c>
      <c r="R16" s="303"/>
      <c r="S16" s="303"/>
      <c r="T16" s="303"/>
      <c r="U16" s="303"/>
      <c r="V16" s="303">
        <f>12333920926.6/(10^8)</f>
        <v>123.339209266</v>
      </c>
      <c r="W16" s="303"/>
      <c r="X16" s="299">
        <v>-0.15759999999999999</v>
      </c>
      <c r="Y16" s="271"/>
      <c r="Z16" s="271"/>
      <c r="AA16" s="271"/>
      <c r="AB16" s="271"/>
      <c r="AC16" s="271"/>
      <c r="AD16" s="271"/>
      <c r="AE16" s="271"/>
      <c r="AF16" s="271"/>
      <c r="AG16" s="271"/>
      <c r="AH16" s="271"/>
      <c r="AI16" s="271"/>
      <c r="AJ16" s="271"/>
      <c r="AK16" s="271"/>
      <c r="AL16" s="271"/>
      <c r="AM16" s="271"/>
    </row>
    <row r="17" spans="1:39" ht="13.5" customHeight="1">
      <c r="A17" s="271"/>
      <c r="B17" s="381" t="s">
        <v>931</v>
      </c>
      <c r="C17" s="382" t="s">
        <v>848</v>
      </c>
      <c r="D17" s="387"/>
      <c r="E17" s="387"/>
      <c r="F17" s="387">
        <v>691.97471929070002</v>
      </c>
      <c r="G17" s="387">
        <v>88.866353856000003</v>
      </c>
      <c r="H17" s="387"/>
      <c r="I17" s="387"/>
      <c r="J17" s="387"/>
      <c r="K17" s="387"/>
      <c r="L17" s="387">
        <v>691.97471929070002</v>
      </c>
      <c r="M17" s="387"/>
      <c r="N17" s="303"/>
      <c r="O17" s="303"/>
      <c r="P17" s="303">
        <f>65796345000.17/(10^8)</f>
        <v>657.96345000169993</v>
      </c>
      <c r="Q17" s="303">
        <f>8748501537.86/(10^8)</f>
        <v>87.485015378600011</v>
      </c>
      <c r="R17" s="303"/>
      <c r="S17" s="303"/>
      <c r="T17" s="303"/>
      <c r="U17" s="303"/>
      <c r="V17" s="303">
        <f>65796345000.17/(10^8)</f>
        <v>657.96345000169993</v>
      </c>
      <c r="W17" s="303"/>
      <c r="X17" s="299">
        <v>4.3099999999999999E-2</v>
      </c>
      <c r="Y17" s="271"/>
      <c r="Z17" s="271"/>
      <c r="AA17" s="271"/>
      <c r="AB17" s="271"/>
      <c r="AC17" s="271"/>
      <c r="AD17" s="271"/>
      <c r="AE17" s="271"/>
      <c r="AF17" s="271"/>
      <c r="AG17" s="271"/>
      <c r="AH17" s="271"/>
      <c r="AI17" s="271"/>
      <c r="AJ17" s="271"/>
      <c r="AK17" s="271"/>
      <c r="AL17" s="271"/>
      <c r="AM17" s="271"/>
    </row>
    <row r="18" spans="1:39" ht="14.25" customHeight="1">
      <c r="A18" s="271"/>
      <c r="B18" s="381" t="s">
        <v>932</v>
      </c>
      <c r="C18" s="382" t="s">
        <v>849</v>
      </c>
      <c r="D18" s="387">
        <v>5.3312606697000007</v>
      </c>
      <c r="E18" s="387"/>
      <c r="F18" s="387">
        <v>378.09201125019996</v>
      </c>
      <c r="G18" s="387">
        <v>310.76828879179999</v>
      </c>
      <c r="H18" s="387"/>
      <c r="I18" s="387"/>
      <c r="J18" s="387"/>
      <c r="K18" s="387"/>
      <c r="L18" s="387">
        <v>383.4232719199</v>
      </c>
      <c r="M18" s="387">
        <v>0</v>
      </c>
      <c r="N18" s="303">
        <f>373801047.05/(10^8)</f>
        <v>3.7380104704999999</v>
      </c>
      <c r="O18" s="303"/>
      <c r="P18" s="303">
        <f>23870237002.25/(10^8)</f>
        <v>238.70237002249999</v>
      </c>
      <c r="Q18" s="303">
        <f>22811792774.34/(10^8)</f>
        <v>228.1179277434</v>
      </c>
      <c r="R18" s="303"/>
      <c r="S18" s="303"/>
      <c r="T18" s="303"/>
      <c r="U18" s="303"/>
      <c r="V18" s="303">
        <f>24244038049.3/(10^8)</f>
        <v>242.44038049299999</v>
      </c>
      <c r="W18" s="303"/>
      <c r="X18" s="299">
        <v>0.39050000000000001</v>
      </c>
      <c r="Y18" s="271"/>
      <c r="Z18" s="271"/>
      <c r="AA18" s="271"/>
      <c r="AB18" s="271"/>
      <c r="AC18" s="271"/>
      <c r="AD18" s="271"/>
      <c r="AE18" s="271"/>
      <c r="AF18" s="271"/>
      <c r="AG18" s="271"/>
      <c r="AH18" s="271"/>
      <c r="AI18" s="271"/>
      <c r="AJ18" s="271"/>
      <c r="AK18" s="271"/>
      <c r="AL18" s="271"/>
      <c r="AM18" s="271"/>
    </row>
    <row r="19" spans="1:39" ht="14.25" customHeight="1">
      <c r="A19" s="271"/>
      <c r="B19" s="381" t="s">
        <v>933</v>
      </c>
      <c r="C19" s="382" t="s">
        <v>850</v>
      </c>
      <c r="D19" s="387">
        <v>10.653787768099999</v>
      </c>
      <c r="E19" s="387"/>
      <c r="F19" s="387">
        <v>391.49746337830004</v>
      </c>
      <c r="G19" s="387">
        <v>7.839791151900001</v>
      </c>
      <c r="H19" s="387">
        <v>32.893065076999996</v>
      </c>
      <c r="I19" s="387">
        <v>12.4286222101</v>
      </c>
      <c r="J19" s="387">
        <v>2.2406360487999999</v>
      </c>
      <c r="K19" s="387">
        <v>3.5755497667</v>
      </c>
      <c r="L19" s="387">
        <v>453.289124249</v>
      </c>
      <c r="M19" s="387">
        <v>31.180267908499999</v>
      </c>
      <c r="N19" s="303">
        <f>972381962.04/(10^8)</f>
        <v>9.7238196204000005</v>
      </c>
      <c r="O19" s="303"/>
      <c r="P19" s="303">
        <f>36196013690.21/(10^8)</f>
        <v>361.96013690209998</v>
      </c>
      <c r="Q19" s="303">
        <f>1278334406.79/(10^8)</f>
        <v>12.7833440679</v>
      </c>
      <c r="R19" s="303">
        <f>1964946759.03/(10^8)</f>
        <v>19.649467590299999</v>
      </c>
      <c r="S19" s="303">
        <f>1159989927.13/(10^8)</f>
        <v>11.599899271300002</v>
      </c>
      <c r="T19" s="303">
        <f>184132828.06/(10^8)</f>
        <v>1.8413282806</v>
      </c>
      <c r="U19" s="303">
        <f>277541407.32/(10^8)</f>
        <v>2.7754140731999999</v>
      </c>
      <c r="V19" s="303">
        <f>40755006573.79/(10^8)</f>
        <v>407.55006573790001</v>
      </c>
      <c r="W19" s="303">
        <f>1808760094.82/(10^8)</f>
        <v>18.087600948199999</v>
      </c>
      <c r="X19" s="299">
        <v>4.9000000000000002E-2</v>
      </c>
      <c r="Y19" s="271"/>
      <c r="Z19" s="271"/>
      <c r="AA19" s="271"/>
      <c r="AB19" s="271"/>
      <c r="AC19" s="271"/>
      <c r="AD19" s="271"/>
      <c r="AE19" s="271"/>
      <c r="AF19" s="271"/>
      <c r="AG19" s="271"/>
      <c r="AH19" s="271"/>
      <c r="AI19" s="271"/>
      <c r="AJ19" s="271"/>
      <c r="AK19" s="271"/>
      <c r="AL19" s="271"/>
      <c r="AM19" s="271"/>
    </row>
    <row r="20" spans="1:39" ht="14.25" customHeight="1">
      <c r="A20" s="271"/>
      <c r="B20" s="381" t="s">
        <v>934</v>
      </c>
      <c r="C20" s="382" t="s">
        <v>851</v>
      </c>
      <c r="D20" s="387">
        <v>0.4482238288</v>
      </c>
      <c r="E20" s="387"/>
      <c r="F20" s="387">
        <v>25.286928894899997</v>
      </c>
      <c r="G20" s="387">
        <v>2.6356231002000001</v>
      </c>
      <c r="H20" s="387">
        <v>3.1698635712000001</v>
      </c>
      <c r="I20" s="387">
        <v>0.62200128099999996</v>
      </c>
      <c r="J20" s="387">
        <v>5.5409554100000001E-2</v>
      </c>
      <c r="K20" s="387">
        <v>0.12729128670000001</v>
      </c>
      <c r="L20" s="387">
        <v>29.709718416699999</v>
      </c>
      <c r="M20" s="387">
        <v>3.4087949996</v>
      </c>
      <c r="N20" s="303">
        <f>48690227.94/(10^8)</f>
        <v>0.48690227939999997</v>
      </c>
      <c r="O20" s="303"/>
      <c r="P20" s="303">
        <f>2857064378.44/(10^8)</f>
        <v>28.570643784400001</v>
      </c>
      <c r="Q20" s="303">
        <f>222436318.81/(10^8)</f>
        <v>2.2243631880999999</v>
      </c>
      <c r="R20" s="303">
        <f>299683777.46/(10^8)</f>
        <v>2.9968377745999999</v>
      </c>
      <c r="S20" s="303">
        <f>71181039.19/(10^8)</f>
        <v>0.71181039189999995</v>
      </c>
      <c r="T20" s="303">
        <f>7902424.54/(10^8)</f>
        <v>7.9024245399999998E-2</v>
      </c>
      <c r="U20" s="303">
        <f>13331103.58/(10^8)</f>
        <v>0.13331103580000001</v>
      </c>
      <c r="V20" s="303">
        <f>3297852951.15/(10^8)</f>
        <v>32.9785295115</v>
      </c>
      <c r="W20" s="303">
        <f>287777864.68/(10^8)</f>
        <v>2.8777786468</v>
      </c>
      <c r="X20" s="299">
        <v>-3.3000000000000002E-2</v>
      </c>
      <c r="Y20" s="271"/>
      <c r="Z20" s="271"/>
      <c r="AA20" s="271"/>
      <c r="AB20" s="271"/>
      <c r="AC20" s="271"/>
      <c r="AD20" s="271"/>
      <c r="AE20" s="271"/>
      <c r="AF20" s="271"/>
      <c r="AG20" s="271"/>
      <c r="AH20" s="271"/>
      <c r="AI20" s="271"/>
      <c r="AJ20" s="271"/>
      <c r="AK20" s="271"/>
      <c r="AL20" s="271"/>
      <c r="AM20" s="271"/>
    </row>
    <row r="21" spans="1:39" ht="14.25" customHeight="1">
      <c r="A21" s="271"/>
      <c r="B21" s="381" t="s">
        <v>935</v>
      </c>
      <c r="C21" s="382" t="s">
        <v>852</v>
      </c>
      <c r="D21" s="387">
        <v>0.90367780050000002</v>
      </c>
      <c r="E21" s="387"/>
      <c r="F21" s="387">
        <v>20.3983982815</v>
      </c>
      <c r="G21" s="387">
        <v>0.30828556170000004</v>
      </c>
      <c r="H21" s="387">
        <v>0.67074801799999995</v>
      </c>
      <c r="I21" s="387">
        <v>0.28771277880000001</v>
      </c>
      <c r="J21" s="387">
        <v>5.4158359999999994E-3</v>
      </c>
      <c r="K21" s="387">
        <v>5.44649179E-2</v>
      </c>
      <c r="L21" s="387">
        <v>22.3204176327</v>
      </c>
      <c r="M21" s="387">
        <v>0.59466755659999992</v>
      </c>
      <c r="N21" s="303">
        <f>94614306.96/(10^8)</f>
        <v>0.94614306959999994</v>
      </c>
      <c r="O21" s="303"/>
      <c r="P21" s="303">
        <f>839891222.18/(10^8)</f>
        <v>8.3989122217999999</v>
      </c>
      <c r="Q21" s="303">
        <f>103385053.44/(10^8)</f>
        <v>1.0338505344</v>
      </c>
      <c r="R21" s="303">
        <f>55187775.58/(10^8)</f>
        <v>0.55187775579999998</v>
      </c>
      <c r="S21" s="303">
        <f>26441268.31/(10^8)</f>
        <v>0.26441268309999999</v>
      </c>
      <c r="T21" s="303">
        <f>400996.9/(10^8)</f>
        <v>4.0099690000000004E-3</v>
      </c>
      <c r="U21" s="303">
        <f>2413416.53/(10^8)</f>
        <v>2.41341653E-2</v>
      </c>
      <c r="V21" s="303">
        <f>1018948986.46/(10^8)</f>
        <v>10.189489864600001</v>
      </c>
      <c r="W21" s="303">
        <f>50102023.54/(10^8)</f>
        <v>0.50102023539999996</v>
      </c>
      <c r="X21" s="299">
        <v>0.66469999999999996</v>
      </c>
      <c r="Y21" s="271"/>
      <c r="Z21" s="271"/>
      <c r="AA21" s="271"/>
      <c r="AB21" s="271"/>
      <c r="AC21" s="271"/>
      <c r="AD21" s="271"/>
      <c r="AE21" s="271"/>
      <c r="AF21" s="271"/>
      <c r="AG21" s="271"/>
      <c r="AH21" s="271"/>
      <c r="AI21" s="271"/>
      <c r="AJ21" s="271"/>
      <c r="AK21" s="271"/>
      <c r="AL21" s="271"/>
      <c r="AM21" s="271"/>
    </row>
    <row r="22" spans="1:39" s="794" customFormat="1" ht="14.25" customHeight="1">
      <c r="A22" s="788"/>
      <c r="B22" s="789" t="s">
        <v>4</v>
      </c>
      <c r="C22" s="790" t="s">
        <v>853</v>
      </c>
      <c r="D22" s="791">
        <v>0.62497206500000002</v>
      </c>
      <c r="E22" s="791"/>
      <c r="F22" s="791">
        <v>39.317762879699998</v>
      </c>
      <c r="G22" s="791">
        <v>0</v>
      </c>
      <c r="H22" s="791">
        <v>0.58334430179999996</v>
      </c>
      <c r="I22" s="791">
        <v>49.639374217099999</v>
      </c>
      <c r="J22" s="791"/>
      <c r="K22" s="791">
        <v>0</v>
      </c>
      <c r="L22" s="791">
        <v>90.165453463600002</v>
      </c>
      <c r="M22" s="791">
        <v>1.2650636061</v>
      </c>
      <c r="N22" s="792">
        <f>48951060.91/(10^8)</f>
        <v>0.48951060909999994</v>
      </c>
      <c r="O22" s="792"/>
      <c r="P22" s="792">
        <f>5575718980.43/(10^8)</f>
        <v>55.757189804300005</v>
      </c>
      <c r="Q22" s="792">
        <f>0/(10^8)</f>
        <v>0</v>
      </c>
      <c r="R22" s="792">
        <f>352291518.06/(10^8)</f>
        <v>3.5229151806000001</v>
      </c>
      <c r="S22" s="792">
        <f>2289760450.71/(10^8)</f>
        <v>22.897604507099999</v>
      </c>
      <c r="T22" s="792"/>
      <c r="U22" s="792">
        <f>128026.4/(10^8)</f>
        <v>1.2802639999999999E-3</v>
      </c>
      <c r="V22" s="792">
        <f>8266850036.51/(10^8)</f>
        <v>82.668500365100002</v>
      </c>
      <c r="W22" s="792">
        <f>424929330.44/(10^8)</f>
        <v>4.2492933044000001</v>
      </c>
      <c r="X22" s="793">
        <v>-2.2700000000000001E-2</v>
      </c>
      <c r="Y22" s="788"/>
      <c r="Z22" s="788"/>
      <c r="AA22" s="788"/>
      <c r="AB22" s="788"/>
      <c r="AC22" s="788"/>
      <c r="AD22" s="788"/>
      <c r="AE22" s="788"/>
      <c r="AF22" s="788"/>
      <c r="AG22" s="788"/>
      <c r="AH22" s="788"/>
      <c r="AI22" s="788"/>
      <c r="AJ22" s="788"/>
      <c r="AK22" s="788"/>
      <c r="AL22" s="788"/>
      <c r="AM22" s="788"/>
    </row>
    <row r="23" spans="1:39" ht="14.25" customHeight="1">
      <c r="A23" s="271"/>
      <c r="B23" s="381" t="s">
        <v>936</v>
      </c>
      <c r="C23" s="382" t="s">
        <v>854</v>
      </c>
      <c r="D23" s="387">
        <v>0.73992565739999994</v>
      </c>
      <c r="E23" s="387"/>
      <c r="F23" s="387">
        <v>46.524454431099997</v>
      </c>
      <c r="G23" s="387">
        <v>5.8275089262000002</v>
      </c>
      <c r="H23" s="387">
        <v>4.3920634975999997</v>
      </c>
      <c r="I23" s="387">
        <v>1.7789574981999998</v>
      </c>
      <c r="J23" s="387">
        <v>0.71409696720000004</v>
      </c>
      <c r="K23" s="387">
        <v>0.88089806140000004</v>
      </c>
      <c r="L23" s="387">
        <v>55.0303961129</v>
      </c>
      <c r="M23" s="387">
        <v>4.1489778710000005</v>
      </c>
      <c r="N23" s="303">
        <f>70213362.76/(10^8)</f>
        <v>0.70213362760000009</v>
      </c>
      <c r="O23" s="303"/>
      <c r="P23" s="303">
        <f>4524948893.2/(10^8)</f>
        <v>45.249488931999998</v>
      </c>
      <c r="Q23" s="303">
        <f>593382360.88/(10^8)</f>
        <v>5.9338236088</v>
      </c>
      <c r="R23" s="303">
        <f>507753104.18/(10^8)</f>
        <v>5.0775310418000004</v>
      </c>
      <c r="S23" s="303">
        <f>198335315.67/(10^8)</f>
        <v>1.9833531566999998</v>
      </c>
      <c r="T23" s="303">
        <f>81809010.32/(10^8)</f>
        <v>0.81809010319999997</v>
      </c>
      <c r="U23" s="303">
        <f>94067064.92/(10^8)</f>
        <v>0.94067064919999999</v>
      </c>
      <c r="V23" s="303">
        <f>5477126751.05/(10^8)</f>
        <v>54.771267510500003</v>
      </c>
      <c r="W23" s="303">
        <f>485180544.39/(10^8)</f>
        <v>4.8518054439</v>
      </c>
      <c r="X23" s="299">
        <v>4.2999999999999997E-2</v>
      </c>
      <c r="Y23" s="271"/>
      <c r="Z23" s="271"/>
      <c r="AA23" s="271"/>
      <c r="AB23" s="271"/>
      <c r="AC23" s="271"/>
      <c r="AD23" s="271"/>
      <c r="AE23" s="271"/>
      <c r="AF23" s="271"/>
      <c r="AG23" s="271"/>
      <c r="AH23" s="271"/>
      <c r="AI23" s="271"/>
      <c r="AJ23" s="271"/>
      <c r="AK23" s="271"/>
      <c r="AL23" s="271"/>
      <c r="AM23" s="271"/>
    </row>
    <row r="24" spans="1:39" ht="14.25" customHeight="1">
      <c r="A24" s="271"/>
      <c r="B24" s="381" t="s">
        <v>937</v>
      </c>
      <c r="C24" s="382" t="s">
        <v>855</v>
      </c>
      <c r="D24" s="387">
        <v>1.3794778009999999</v>
      </c>
      <c r="E24" s="387"/>
      <c r="F24" s="387">
        <v>45.380626132899998</v>
      </c>
      <c r="G24" s="387">
        <v>1.6261187234000001</v>
      </c>
      <c r="H24" s="387">
        <v>14.975128222999999</v>
      </c>
      <c r="I24" s="387">
        <v>2.8116556855999999</v>
      </c>
      <c r="J24" s="387">
        <v>4.2732517834000001</v>
      </c>
      <c r="K24" s="387">
        <v>0.80266360299999995</v>
      </c>
      <c r="L24" s="387">
        <v>69.622803228899997</v>
      </c>
      <c r="M24" s="387">
        <v>13.2561833427</v>
      </c>
      <c r="N24" s="303">
        <f>120417424.57/(10^8)</f>
        <v>1.2041742457</v>
      </c>
      <c r="O24" s="303"/>
      <c r="P24" s="303">
        <f>3842488022.45/(10^8)</f>
        <v>38.424880224500001</v>
      </c>
      <c r="Q24" s="303">
        <f>282216247.47/(10^8)</f>
        <v>2.8221624747000003</v>
      </c>
      <c r="R24" s="303">
        <f>1332185633.7/(10^8)</f>
        <v>13.321856337</v>
      </c>
      <c r="S24" s="303">
        <f>241363295.36/(10^8)</f>
        <v>2.4136329536000001</v>
      </c>
      <c r="T24" s="303">
        <f>372437070.89/(10^8)</f>
        <v>3.7243707089</v>
      </c>
      <c r="U24" s="303">
        <f>58910935.69/(10^8)</f>
        <v>0.58910935689999999</v>
      </c>
      <c r="V24" s="303">
        <f>5967802382.66/(10^8)</f>
        <v>59.678023826599997</v>
      </c>
      <c r="W24" s="303">
        <f>1202745410.34/(10^8)</f>
        <v>12.027454103399998</v>
      </c>
      <c r="X24" s="299">
        <v>7.5399999999999995E-2</v>
      </c>
      <c r="Y24" s="271"/>
      <c r="Z24" s="271"/>
      <c r="AA24" s="271"/>
      <c r="AB24" s="271"/>
      <c r="AC24" s="271"/>
      <c r="AD24" s="271"/>
      <c r="AE24" s="271"/>
      <c r="AF24" s="271"/>
      <c r="AG24" s="271"/>
      <c r="AH24" s="271"/>
      <c r="AI24" s="271"/>
      <c r="AJ24" s="271"/>
      <c r="AK24" s="271"/>
      <c r="AL24" s="271"/>
      <c r="AM24" s="271"/>
    </row>
    <row r="25" spans="1:39" ht="14.25" customHeight="1">
      <c r="A25" s="271"/>
      <c r="B25" s="381" t="s">
        <v>938</v>
      </c>
      <c r="C25" s="382" t="s">
        <v>856</v>
      </c>
      <c r="D25" s="387">
        <v>4.9455445899999999E-2</v>
      </c>
      <c r="E25" s="387"/>
      <c r="F25" s="387">
        <v>2.6296391291999996</v>
      </c>
      <c r="G25" s="387"/>
      <c r="H25" s="387">
        <v>7.5173239400000008E-2</v>
      </c>
      <c r="I25" s="387">
        <v>0.52126769799999995</v>
      </c>
      <c r="J25" s="387">
        <v>0</v>
      </c>
      <c r="K25" s="387">
        <v>0.20585180120000002</v>
      </c>
      <c r="L25" s="387">
        <v>3.4813873137</v>
      </c>
      <c r="M25" s="387">
        <v>6.6617040899999994E-2</v>
      </c>
      <c r="N25" s="303">
        <f>8542261.08/(10^8)</f>
        <v>8.5422610800000007E-2</v>
      </c>
      <c r="O25" s="303"/>
      <c r="P25" s="303">
        <f>323678601.89/(10^8)</f>
        <v>3.2367860188999997</v>
      </c>
      <c r="Q25" s="303">
        <f>0/(10^8)</f>
        <v>0</v>
      </c>
      <c r="R25" s="303">
        <f>7085853.5/(10^8)</f>
        <v>7.0858535E-2</v>
      </c>
      <c r="S25" s="303">
        <f>57102389.52/(10^8)</f>
        <v>0.57102389520000008</v>
      </c>
      <c r="T25" s="303">
        <f>727975/(10^8)</f>
        <v>7.2797499999999998E-3</v>
      </c>
      <c r="U25" s="303">
        <f>25505759.24/(10^8)</f>
        <v>0.25505759239999998</v>
      </c>
      <c r="V25" s="303">
        <f>422642840.23/(10^8)</f>
        <v>4.2264284022999998</v>
      </c>
      <c r="W25" s="303">
        <f>5737475.74/(10^8)</f>
        <v>5.7374757400000004E-2</v>
      </c>
      <c r="X25" s="299">
        <v>-3.1199999999999999E-2</v>
      </c>
      <c r="Y25" s="271"/>
      <c r="Z25" s="271"/>
      <c r="AA25" s="271"/>
      <c r="AB25" s="271"/>
      <c r="AC25" s="271"/>
      <c r="AD25" s="271"/>
      <c r="AE25" s="271"/>
      <c r="AF25" s="271"/>
      <c r="AG25" s="271"/>
      <c r="AH25" s="271"/>
      <c r="AI25" s="271"/>
      <c r="AJ25" s="271"/>
      <c r="AK25" s="271"/>
      <c r="AL25" s="271"/>
      <c r="AM25" s="271"/>
    </row>
    <row r="26" spans="1:39" ht="14.25" customHeight="1">
      <c r="A26" s="271"/>
      <c r="B26" s="381" t="s">
        <v>939</v>
      </c>
      <c r="C26" s="382" t="s">
        <v>857</v>
      </c>
      <c r="D26" s="387">
        <v>3.7364012557999997</v>
      </c>
      <c r="E26" s="387"/>
      <c r="F26" s="387">
        <v>137.08420180639999</v>
      </c>
      <c r="G26" s="387">
        <v>2.3501790752999998</v>
      </c>
      <c r="H26" s="387">
        <v>4.83201883</v>
      </c>
      <c r="I26" s="387">
        <v>7.8010764061</v>
      </c>
      <c r="J26" s="387">
        <v>0.49885927679999997</v>
      </c>
      <c r="K26" s="387">
        <v>0.6328787964</v>
      </c>
      <c r="L26" s="387">
        <v>154.58543637150001</v>
      </c>
      <c r="M26" s="387">
        <v>4.2038014501000003</v>
      </c>
      <c r="N26" s="303">
        <f>341806594.84/(10^8)</f>
        <v>3.4180659483999998</v>
      </c>
      <c r="O26" s="303"/>
      <c r="P26" s="303">
        <f>12066361697.51/(10^8)</f>
        <v>120.6636169751</v>
      </c>
      <c r="Q26" s="303">
        <f>376786510.67/(10^8)</f>
        <v>3.7678651067</v>
      </c>
      <c r="R26" s="303">
        <f>487391498.93/(10^8)</f>
        <v>4.8739149893000002</v>
      </c>
      <c r="S26" s="303">
        <f>692856891.18/(10^8)</f>
        <v>6.9285689117999993</v>
      </c>
      <c r="T26" s="303">
        <f>42295618.95/(10^8)</f>
        <v>0.42295618950000002</v>
      </c>
      <c r="U26" s="303">
        <f>54756637.1/(10^8)</f>
        <v>0.54756637100000005</v>
      </c>
      <c r="V26" s="303">
        <f>13685468938.51/(10^8)</f>
        <v>136.85468938510002</v>
      </c>
      <c r="W26" s="303">
        <f>408894126.32/(10^8)</f>
        <v>4.0889412631999997</v>
      </c>
      <c r="X26" s="299">
        <v>4.6899999999999997E-2</v>
      </c>
      <c r="Y26" s="271"/>
      <c r="Z26" s="271"/>
      <c r="AA26" s="271"/>
      <c r="AB26" s="271"/>
      <c r="AC26" s="271"/>
      <c r="AD26" s="271"/>
      <c r="AE26" s="271"/>
      <c r="AF26" s="271"/>
      <c r="AG26" s="271"/>
      <c r="AH26" s="271"/>
      <c r="AI26" s="271"/>
      <c r="AJ26" s="271"/>
      <c r="AK26" s="271"/>
      <c r="AL26" s="271"/>
      <c r="AM26" s="271"/>
    </row>
    <row r="27" spans="1:39" ht="14.25" customHeight="1">
      <c r="A27" s="271"/>
      <c r="B27" s="381" t="s">
        <v>940</v>
      </c>
      <c r="C27" s="382" t="s">
        <v>858</v>
      </c>
      <c r="D27" s="387">
        <v>1.3941554699999999E-2</v>
      </c>
      <c r="E27" s="387"/>
      <c r="F27" s="387">
        <v>0.3448343794</v>
      </c>
      <c r="G27" s="387"/>
      <c r="H27" s="387">
        <v>1.1363530000000001E-3</v>
      </c>
      <c r="I27" s="387">
        <v>0.10670768550000001</v>
      </c>
      <c r="J27" s="387">
        <v>0</v>
      </c>
      <c r="K27" s="387">
        <v>4.3392734100000004E-2</v>
      </c>
      <c r="L27" s="387">
        <v>0.51001270669999998</v>
      </c>
      <c r="M27" s="387">
        <v>1.8705801999999998E-3</v>
      </c>
      <c r="N27" s="303">
        <f>3119804/(10^8)</f>
        <v>3.119804E-2</v>
      </c>
      <c r="O27" s="303"/>
      <c r="P27" s="303">
        <f>72888485.42/(10^8)</f>
        <v>0.72888485420000004</v>
      </c>
      <c r="Q27" s="303">
        <f>0/(10^8)</f>
        <v>0</v>
      </c>
      <c r="R27" s="303">
        <f>70159.78/(10^8)</f>
        <v>7.0159780000000004E-4</v>
      </c>
      <c r="S27" s="303">
        <f>18451358.29/(10^8)</f>
        <v>0.1845135829</v>
      </c>
      <c r="T27" s="303">
        <f>1709993.4/(10^8)</f>
        <v>1.7099934000000001E-2</v>
      </c>
      <c r="U27" s="303">
        <f>3521347.92/(10^8)</f>
        <v>3.5213479200000002E-2</v>
      </c>
      <c r="V27" s="303">
        <f>99761148.81/(10^8)</f>
        <v>0.9976114881</v>
      </c>
      <c r="W27" s="303">
        <f>185996.64/(10^8)</f>
        <v>1.8599664000000001E-3</v>
      </c>
      <c r="X27" s="299">
        <v>-0.17330000000000001</v>
      </c>
      <c r="Y27" s="271"/>
      <c r="Z27" s="271"/>
      <c r="AA27" s="271"/>
      <c r="AB27" s="271"/>
      <c r="AC27" s="271"/>
      <c r="AD27" s="271"/>
      <c r="AE27" s="271"/>
      <c r="AF27" s="271"/>
      <c r="AG27" s="271"/>
      <c r="AH27" s="271"/>
      <c r="AI27" s="271"/>
      <c r="AJ27" s="271"/>
      <c r="AK27" s="271"/>
      <c r="AL27" s="271"/>
      <c r="AM27" s="271"/>
    </row>
    <row r="28" spans="1:39" ht="14.25" customHeight="1">
      <c r="A28" s="271"/>
      <c r="B28" s="381" t="s">
        <v>941</v>
      </c>
      <c r="C28" s="382" t="s">
        <v>859</v>
      </c>
      <c r="D28" s="387">
        <v>0.16712721279999998</v>
      </c>
      <c r="E28" s="387"/>
      <c r="F28" s="387">
        <v>4.0993664038999995</v>
      </c>
      <c r="G28" s="387"/>
      <c r="H28" s="387">
        <v>2.66746273E-2</v>
      </c>
      <c r="I28" s="387">
        <v>0.4076701586</v>
      </c>
      <c r="J28" s="387">
        <v>0</v>
      </c>
      <c r="K28" s="387">
        <v>8.0688470799999995E-2</v>
      </c>
      <c r="L28" s="387">
        <v>4.7815268733999998</v>
      </c>
      <c r="M28" s="387">
        <v>2.4452001800000001E-2</v>
      </c>
      <c r="N28" s="303">
        <f>23904325.38/(10^8)</f>
        <v>0.23904325379999999</v>
      </c>
      <c r="O28" s="303"/>
      <c r="P28" s="303">
        <f>519750461.58/(10^8)</f>
        <v>5.1975046157999998</v>
      </c>
      <c r="Q28" s="303">
        <f>0/(10^8)</f>
        <v>0</v>
      </c>
      <c r="R28" s="303">
        <f>5714196.58/(10^8)</f>
        <v>5.71419658E-2</v>
      </c>
      <c r="S28" s="303">
        <f>62499856.97/(10^8)</f>
        <v>0.62499856970000001</v>
      </c>
      <c r="T28" s="303">
        <f>0/(10^8)</f>
        <v>0</v>
      </c>
      <c r="U28" s="303">
        <f>10857012.49/(10^8)</f>
        <v>0.10857012490000001</v>
      </c>
      <c r="V28" s="303">
        <f>622725853/(10^8)</f>
        <v>6.2272585300000003</v>
      </c>
      <c r="W28" s="303">
        <f>5416765.99/(10^8)</f>
        <v>5.4167659900000005E-2</v>
      </c>
      <c r="X28" s="299">
        <v>-4.1700000000000001E-2</v>
      </c>
      <c r="Y28" s="271"/>
      <c r="Z28" s="271"/>
      <c r="AA28" s="271"/>
      <c r="AB28" s="271"/>
      <c r="AC28" s="271"/>
      <c r="AD28" s="271"/>
      <c r="AE28" s="271"/>
      <c r="AF28" s="271"/>
      <c r="AG28" s="271"/>
      <c r="AH28" s="271"/>
      <c r="AI28" s="271"/>
      <c r="AJ28" s="271"/>
      <c r="AK28" s="271"/>
      <c r="AL28" s="271"/>
      <c r="AM28" s="271"/>
    </row>
    <row r="29" spans="1:39" ht="14.25" customHeight="1">
      <c r="A29" s="271"/>
      <c r="B29" s="381" t="s">
        <v>942</v>
      </c>
      <c r="C29" s="382" t="s">
        <v>860</v>
      </c>
      <c r="D29" s="387">
        <v>0.77172239529999997</v>
      </c>
      <c r="E29" s="387"/>
      <c r="F29" s="387">
        <v>46.315157832700002</v>
      </c>
      <c r="G29" s="387">
        <v>7.5746481695000005</v>
      </c>
      <c r="H29" s="387">
        <v>8.6238678944</v>
      </c>
      <c r="I29" s="387"/>
      <c r="J29" s="387">
        <v>0.39600745180000002</v>
      </c>
      <c r="K29" s="387">
        <v>0.15195790810000001</v>
      </c>
      <c r="L29" s="387">
        <v>56.258713482299996</v>
      </c>
      <c r="M29" s="387">
        <v>8.5798092138999991</v>
      </c>
      <c r="N29" s="303">
        <f>90317971.3/(10^8)</f>
        <v>0.903179713</v>
      </c>
      <c r="O29" s="303"/>
      <c r="P29" s="303">
        <f>4897870172.08/(10^8)</f>
        <v>48.978701720799997</v>
      </c>
      <c r="Q29" s="303">
        <f>890336079.05/(10^8)</f>
        <v>8.903360790499999</v>
      </c>
      <c r="R29" s="303">
        <f>434579636.71/(10^8)</f>
        <v>4.3457963671000002</v>
      </c>
      <c r="S29" s="303">
        <f>3098684.4/(10^8)</f>
        <v>3.0986843999999999E-2</v>
      </c>
      <c r="T29" s="303">
        <f>39935399.58/(10^8)</f>
        <v>0.39935399579999997</v>
      </c>
      <c r="U29" s="303">
        <f>21581087.19/(10^8)</f>
        <v>0.21581087190000001</v>
      </c>
      <c r="V29" s="303">
        <f>5487382951.26/(10^8)</f>
        <v>54.873829512600004</v>
      </c>
      <c r="W29" s="303">
        <f>431015212.71/(10^8)</f>
        <v>4.3101521270999994</v>
      </c>
      <c r="X29" s="299">
        <v>-1.9699999999999999E-2</v>
      </c>
      <c r="Y29" s="271"/>
      <c r="Z29" s="271"/>
      <c r="AA29" s="271"/>
      <c r="AB29" s="271"/>
      <c r="AC29" s="271"/>
      <c r="AD29" s="271"/>
      <c r="AE29" s="271"/>
      <c r="AF29" s="271"/>
      <c r="AG29" s="271"/>
      <c r="AH29" s="271"/>
      <c r="AI29" s="271"/>
      <c r="AJ29" s="271"/>
      <c r="AK29" s="271"/>
      <c r="AL29" s="271"/>
      <c r="AM29" s="271"/>
    </row>
    <row r="30" spans="1:39" ht="14.25" customHeight="1">
      <c r="A30" s="271"/>
      <c r="B30" s="381" t="s">
        <v>943</v>
      </c>
      <c r="C30" s="382" t="s">
        <v>861</v>
      </c>
      <c r="D30" s="387">
        <v>0.42953878200000001</v>
      </c>
      <c r="E30" s="387"/>
      <c r="F30" s="387">
        <v>13.921103802299999</v>
      </c>
      <c r="G30" s="387">
        <v>1.9707493496999999</v>
      </c>
      <c r="H30" s="387">
        <v>0.6910132979000001</v>
      </c>
      <c r="I30" s="387">
        <v>0.31479565859999997</v>
      </c>
      <c r="J30" s="387">
        <v>2.6569827799999998E-2</v>
      </c>
      <c r="K30" s="387">
        <v>3.5298929600000001E-2</v>
      </c>
      <c r="L30" s="387">
        <v>15.418320298199999</v>
      </c>
      <c r="M30" s="387">
        <v>0.65515963929999999</v>
      </c>
      <c r="N30" s="303">
        <f>45979586.67/(10^8)</f>
        <v>0.4597958667</v>
      </c>
      <c r="O30" s="303"/>
      <c r="P30" s="303">
        <f>1429361153.23/(10^8)</f>
        <v>14.2936115323</v>
      </c>
      <c r="Q30" s="303">
        <f>280882028.21/(10^8)</f>
        <v>2.8088202820999997</v>
      </c>
      <c r="R30" s="303">
        <f>117984421.3/(10^8)</f>
        <v>1.179844213</v>
      </c>
      <c r="S30" s="303">
        <f>37140919.86/(10^8)</f>
        <v>0.37140919859999999</v>
      </c>
      <c r="T30" s="303">
        <f>3090606.57/(10^8)</f>
        <v>3.0906065699999999E-2</v>
      </c>
      <c r="U30" s="303">
        <f>3483221.17/(10^8)</f>
        <v>3.4832211699999997E-2</v>
      </c>
      <c r="V30" s="303">
        <f>1637039908.8/(10^8)</f>
        <v>16.370399087999999</v>
      </c>
      <c r="W30" s="303">
        <f>106011286.81/(10^8)</f>
        <v>1.0601128681</v>
      </c>
      <c r="X30" s="299">
        <v>-4.1200000000000001E-2</v>
      </c>
      <c r="Y30" s="271"/>
      <c r="Z30" s="271"/>
      <c r="AA30" s="271"/>
      <c r="AB30" s="271"/>
      <c r="AC30" s="271"/>
      <c r="AD30" s="271"/>
      <c r="AE30" s="271"/>
      <c r="AF30" s="271"/>
      <c r="AG30" s="271"/>
      <c r="AH30" s="271"/>
      <c r="AI30" s="271"/>
      <c r="AJ30" s="271"/>
      <c r="AK30" s="271"/>
      <c r="AL30" s="271"/>
      <c r="AM30" s="271"/>
    </row>
    <row r="31" spans="1:39" ht="14.25" customHeight="1">
      <c r="A31" s="271"/>
      <c r="B31" s="381" t="s">
        <v>944</v>
      </c>
      <c r="C31" s="382" t="s">
        <v>862</v>
      </c>
      <c r="D31" s="387">
        <v>1.9221076800000001</v>
      </c>
      <c r="E31" s="387"/>
      <c r="F31" s="387">
        <v>16.955257677900001</v>
      </c>
      <c r="G31" s="387">
        <v>1.5309341087999999</v>
      </c>
      <c r="H31" s="387">
        <v>9.212333233099999</v>
      </c>
      <c r="I31" s="387">
        <v>1.7828785904</v>
      </c>
      <c r="J31" s="387">
        <v>0.70039772659999999</v>
      </c>
      <c r="K31" s="387">
        <v>4.4829864542999998</v>
      </c>
      <c r="L31" s="387">
        <v>35.055961362300003</v>
      </c>
      <c r="M31" s="387">
        <v>8.8950783451</v>
      </c>
      <c r="N31" s="303">
        <f>160857116.24/(10^8)</f>
        <v>1.6085711624000001</v>
      </c>
      <c r="O31" s="303"/>
      <c r="P31" s="303">
        <f>4225985528.63/(10^8)</f>
        <v>42.259855286300002</v>
      </c>
      <c r="Q31" s="303">
        <f>1569136845.88/(10^8)</f>
        <v>15.691368458800001</v>
      </c>
      <c r="R31" s="303">
        <f>3696707226.36/(10^8)</f>
        <v>36.967072263600002</v>
      </c>
      <c r="S31" s="303">
        <f>496645452.28/(10^8)</f>
        <v>4.9664545227999994</v>
      </c>
      <c r="T31" s="303">
        <f>297019420.56/(10^8)</f>
        <v>2.9701942055999999</v>
      </c>
      <c r="U31" s="303">
        <f>421946663.5/(10^8)</f>
        <v>4.2194666349999999</v>
      </c>
      <c r="V31" s="303">
        <f>9299161407.57/(10^8)</f>
        <v>92.991614075699999</v>
      </c>
      <c r="W31" s="303">
        <f>3441323267.04/(10^8)</f>
        <v>34.413232670399999</v>
      </c>
      <c r="X31" s="299">
        <v>-0.48080000000000001</v>
      </c>
      <c r="Y31" s="271"/>
      <c r="Z31" s="271"/>
      <c r="AA31" s="271"/>
      <c r="AB31" s="271"/>
      <c r="AC31" s="271"/>
      <c r="AD31" s="271"/>
      <c r="AE31" s="271"/>
      <c r="AF31" s="271"/>
      <c r="AG31" s="271"/>
      <c r="AH31" s="271"/>
      <c r="AI31" s="271"/>
      <c r="AJ31" s="271"/>
      <c r="AK31" s="271"/>
      <c r="AL31" s="271"/>
      <c r="AM31" s="271"/>
    </row>
    <row r="32" spans="1:39" ht="14.25" customHeight="1">
      <c r="A32" s="271"/>
      <c r="B32" s="381" t="s">
        <v>945</v>
      </c>
      <c r="C32" s="382" t="s">
        <v>863</v>
      </c>
      <c r="D32" s="387">
        <v>0.51449292219999998</v>
      </c>
      <c r="E32" s="387"/>
      <c r="F32" s="387">
        <v>0.93912169840000004</v>
      </c>
      <c r="G32" s="387">
        <v>0</v>
      </c>
      <c r="H32" s="387">
        <v>3.0763472079</v>
      </c>
      <c r="I32" s="387">
        <v>0.25222296559999996</v>
      </c>
      <c r="J32" s="387">
        <v>4.7667554600000002E-2</v>
      </c>
      <c r="K32" s="387">
        <v>2.1238941600000002E-2</v>
      </c>
      <c r="L32" s="387">
        <v>4.8510912902999994</v>
      </c>
      <c r="M32" s="387">
        <v>3.0241820849000001</v>
      </c>
      <c r="N32" s="303">
        <f>60027362.36/(10^8)</f>
        <v>0.60027362360000003</v>
      </c>
      <c r="O32" s="303">
        <f>0/(10^8)</f>
        <v>0</v>
      </c>
      <c r="P32" s="303">
        <f>209257281.3/(10^8)</f>
        <v>2.0925728130000003</v>
      </c>
      <c r="Q32" s="303">
        <f>0/(10^8)</f>
        <v>0</v>
      </c>
      <c r="R32" s="303">
        <f>400492924.44/(10^8)</f>
        <v>4.0049292443999995</v>
      </c>
      <c r="S32" s="303">
        <f>35133457.13/(10^8)</f>
        <v>0.35133457130000001</v>
      </c>
      <c r="T32" s="303">
        <f>2951334.71/(10^8)</f>
        <v>2.95133471E-2</v>
      </c>
      <c r="U32" s="303">
        <f>1420457.4/(10^8)</f>
        <v>1.4204573999999999E-2</v>
      </c>
      <c r="V32" s="303">
        <f>709282817.34/(10^8)</f>
        <v>7.0928281734</v>
      </c>
      <c r="W32" s="303">
        <f>387451526.9/(10^8)</f>
        <v>3.8745152689999998</v>
      </c>
      <c r="X32" s="299">
        <v>-7.4200000000000002E-2</v>
      </c>
      <c r="Y32" s="271"/>
      <c r="Z32" s="271"/>
      <c r="AA32" s="271"/>
      <c r="AB32" s="271"/>
      <c r="AC32" s="271"/>
      <c r="AD32" s="271"/>
      <c r="AE32" s="271"/>
      <c r="AF32" s="271"/>
      <c r="AG32" s="271"/>
      <c r="AH32" s="271"/>
      <c r="AI32" s="271"/>
      <c r="AJ32" s="271"/>
      <c r="AK32" s="271"/>
      <c r="AL32" s="271"/>
      <c r="AM32" s="271"/>
    </row>
    <row r="33" spans="1:39" ht="14.25" customHeight="1">
      <c r="A33" s="271"/>
      <c r="B33" s="381" t="s">
        <v>946</v>
      </c>
      <c r="C33" s="382" t="s">
        <v>864</v>
      </c>
      <c r="D33" s="387">
        <v>2.7256012905000002</v>
      </c>
      <c r="E33" s="387"/>
      <c r="F33" s="387">
        <v>75.7795203254</v>
      </c>
      <c r="G33" s="387">
        <v>5.1821550095999998</v>
      </c>
      <c r="H33" s="387">
        <v>6.6278376048999998</v>
      </c>
      <c r="I33" s="387">
        <v>3.4952537708999998</v>
      </c>
      <c r="J33" s="387">
        <v>1.6724009922999998</v>
      </c>
      <c r="K33" s="387">
        <v>1.1142229579</v>
      </c>
      <c r="L33" s="387">
        <v>91.414836941900006</v>
      </c>
      <c r="M33" s="387">
        <v>6.2229996771000007</v>
      </c>
      <c r="N33" s="303">
        <f>203245312.44/(10^8)</f>
        <v>2.0324531243999999</v>
      </c>
      <c r="O33" s="303"/>
      <c r="P33" s="303">
        <f>6649651733.53/(10^8)</f>
        <v>66.496517335299998</v>
      </c>
      <c r="Q33" s="303">
        <f>393077196/(10^8)</f>
        <v>3.93077196</v>
      </c>
      <c r="R33" s="303">
        <f>430555955.03/(10^8)</f>
        <v>4.3055595502999999</v>
      </c>
      <c r="S33" s="303">
        <f>141794701.68/(10^8)</f>
        <v>1.4179470168000001</v>
      </c>
      <c r="T33" s="303">
        <f>57050639.89/(10^8)</f>
        <v>0.57050639889999999</v>
      </c>
      <c r="U33" s="303">
        <f>84090054.3/(10^8)</f>
        <v>0.84090054299999994</v>
      </c>
      <c r="V33" s="303">
        <f>7566388396.87/(10^8)</f>
        <v>75.663883968700006</v>
      </c>
      <c r="W33" s="303">
        <f>392058158.27/(10^8)</f>
        <v>3.9205815826999997</v>
      </c>
      <c r="X33" s="299">
        <v>9.9599999999999994E-2</v>
      </c>
      <c r="Y33" s="271"/>
      <c r="Z33" s="271"/>
      <c r="AA33" s="271"/>
      <c r="AB33" s="271"/>
      <c r="AC33" s="271"/>
      <c r="AD33" s="271"/>
      <c r="AE33" s="271"/>
      <c r="AF33" s="271"/>
      <c r="AG33" s="271"/>
      <c r="AH33" s="271"/>
      <c r="AI33" s="271"/>
      <c r="AJ33" s="271"/>
      <c r="AK33" s="271"/>
      <c r="AL33" s="271"/>
      <c r="AM33" s="271"/>
    </row>
    <row r="34" spans="1:39" ht="14.25" customHeight="1">
      <c r="A34" s="271"/>
      <c r="B34" s="381" t="s">
        <v>947</v>
      </c>
      <c r="C34" s="382" t="s">
        <v>865</v>
      </c>
      <c r="D34" s="387">
        <v>0.53880472840000004</v>
      </c>
      <c r="E34" s="387"/>
      <c r="F34" s="387">
        <v>12.7267721692</v>
      </c>
      <c r="G34" s="387">
        <v>0.31561875820000002</v>
      </c>
      <c r="H34" s="387">
        <v>5.5345852146000007</v>
      </c>
      <c r="I34" s="387">
        <v>1.6665955806000001</v>
      </c>
      <c r="J34" s="387">
        <v>0.66444508560000004</v>
      </c>
      <c r="K34" s="387">
        <v>0.33816424789999999</v>
      </c>
      <c r="L34" s="387">
        <v>21.469367026300002</v>
      </c>
      <c r="M34" s="387">
        <v>5.2254687822000001</v>
      </c>
      <c r="N34" s="303">
        <f>45253495.94/(10^8)</f>
        <v>0.45253495939999999</v>
      </c>
      <c r="O34" s="303"/>
      <c r="P34" s="303">
        <f>1296170758.98/(10^8)</f>
        <v>12.9617075898</v>
      </c>
      <c r="Q34" s="303">
        <f>36722493.32/(10^8)</f>
        <v>0.36722493319999999</v>
      </c>
      <c r="R34" s="303">
        <f>1236838516.89/(10^8)</f>
        <v>12.368385168900002</v>
      </c>
      <c r="S34" s="303">
        <f>157365095.51/(10^8)</f>
        <v>1.5736509551</v>
      </c>
      <c r="T34" s="303">
        <f>97864458.78/(10^8)</f>
        <v>0.97864458779999997</v>
      </c>
      <c r="U34" s="303">
        <f>35047328.05/(10^8)</f>
        <v>0.35047328049999998</v>
      </c>
      <c r="V34" s="303">
        <f>2868539654.15/(10^8)</f>
        <v>28.685396541500001</v>
      </c>
      <c r="W34" s="303">
        <f>983651831.34/(10^8)</f>
        <v>9.8365183134000009</v>
      </c>
      <c r="X34" s="299">
        <v>-0.22090000000000001</v>
      </c>
      <c r="Y34" s="271"/>
      <c r="Z34" s="271"/>
      <c r="AA34" s="271"/>
      <c r="AB34" s="271"/>
      <c r="AC34" s="271"/>
      <c r="AD34" s="271"/>
      <c r="AE34" s="271"/>
      <c r="AF34" s="271"/>
      <c r="AG34" s="271"/>
      <c r="AH34" s="271"/>
      <c r="AI34" s="271"/>
      <c r="AJ34" s="271"/>
      <c r="AK34" s="271"/>
      <c r="AL34" s="271"/>
      <c r="AM34" s="271"/>
    </row>
    <row r="35" spans="1:39" ht="14.25" customHeight="1">
      <c r="A35" s="271"/>
      <c r="B35" s="381" t="s">
        <v>948</v>
      </c>
      <c r="C35" s="382" t="s">
        <v>866</v>
      </c>
      <c r="D35" s="387">
        <v>0.42985906530000001</v>
      </c>
      <c r="E35" s="387"/>
      <c r="F35" s="387">
        <v>5.3279168406000004</v>
      </c>
      <c r="G35" s="387">
        <v>0.39685925170000003</v>
      </c>
      <c r="H35" s="387">
        <v>0.39947681329999996</v>
      </c>
      <c r="I35" s="387">
        <v>0.23152586480000001</v>
      </c>
      <c r="J35" s="387"/>
      <c r="K35" s="387">
        <v>1.5354659000000001E-3</v>
      </c>
      <c r="L35" s="387">
        <v>6.3903140498999997</v>
      </c>
      <c r="M35" s="387">
        <v>0.35910886770000006</v>
      </c>
      <c r="N35" s="303">
        <f>40352895.08/(10^8)</f>
        <v>0.40352895080000001</v>
      </c>
      <c r="O35" s="303"/>
      <c r="P35" s="303">
        <f>530988213.39/(10^8)</f>
        <v>5.3098821338999995</v>
      </c>
      <c r="Q35" s="303">
        <f>37851717.24/(10^8)</f>
        <v>0.37851717240000005</v>
      </c>
      <c r="R35" s="303">
        <f>58159175.29/(10^8)</f>
        <v>0.58159175289999998</v>
      </c>
      <c r="S35" s="303">
        <f>20672115.5/(10^8)</f>
        <v>0.20672115499999999</v>
      </c>
      <c r="T35" s="303"/>
      <c r="U35" s="303">
        <f>190285/(10^8)</f>
        <v>1.90285E-3</v>
      </c>
      <c r="V35" s="303">
        <f>650362684.26/(10^8)</f>
        <v>6.5036268426000001</v>
      </c>
      <c r="W35" s="303">
        <f>52698928.37/(10^8)</f>
        <v>0.52698928369999998</v>
      </c>
      <c r="X35" s="299">
        <v>1.6199999999999999E-2</v>
      </c>
      <c r="Y35" s="271"/>
      <c r="Z35" s="271"/>
      <c r="AA35" s="271"/>
      <c r="AB35" s="271"/>
      <c r="AC35" s="271"/>
      <c r="AD35" s="271"/>
      <c r="AE35" s="271"/>
      <c r="AF35" s="271"/>
      <c r="AG35" s="271"/>
      <c r="AH35" s="271"/>
      <c r="AI35" s="271"/>
      <c r="AJ35" s="271"/>
      <c r="AK35" s="271"/>
      <c r="AL35" s="271"/>
      <c r="AM35" s="271"/>
    </row>
    <row r="36" spans="1:39" ht="14.25" customHeight="1">
      <c r="A36" s="271"/>
      <c r="B36" s="381" t="s">
        <v>949</v>
      </c>
      <c r="C36" s="382" t="s">
        <v>867</v>
      </c>
      <c r="D36" s="387">
        <v>1.12389798E-2</v>
      </c>
      <c r="E36" s="387"/>
      <c r="F36" s="387">
        <v>19.199675578499999</v>
      </c>
      <c r="G36" s="387">
        <v>2.7866695518999998</v>
      </c>
      <c r="H36" s="387">
        <v>6.3629724132000005</v>
      </c>
      <c r="I36" s="387"/>
      <c r="J36" s="387"/>
      <c r="K36" s="387"/>
      <c r="L36" s="387">
        <v>25.573886971500002</v>
      </c>
      <c r="M36" s="387">
        <v>6.3442832741999995</v>
      </c>
      <c r="N36" s="303">
        <f>257728.63/(10^8)</f>
        <v>2.5772862999999999E-3</v>
      </c>
      <c r="O36" s="303"/>
      <c r="P36" s="303">
        <f>1630559594.53/(10^8)</f>
        <v>16.305595945299999</v>
      </c>
      <c r="Q36" s="303">
        <f>241888579.78/(10^8)</f>
        <v>2.4188857977999998</v>
      </c>
      <c r="R36" s="303">
        <f>286956683.66/(10^8)</f>
        <v>2.8695668366000002</v>
      </c>
      <c r="S36" s="303"/>
      <c r="T36" s="303"/>
      <c r="U36" s="303"/>
      <c r="V36" s="303">
        <f>1917774006.82/(10^8)</f>
        <v>19.177740068199999</v>
      </c>
      <c r="W36" s="303">
        <f>284678196.41/(10^8)</f>
        <v>2.8467819641000003</v>
      </c>
      <c r="X36" s="299">
        <v>0.14410000000000001</v>
      </c>
      <c r="Y36" s="271"/>
      <c r="Z36" s="271"/>
      <c r="AA36" s="271"/>
      <c r="AB36" s="271"/>
      <c r="AC36" s="271"/>
      <c r="AD36" s="271"/>
      <c r="AE36" s="271"/>
      <c r="AF36" s="271"/>
      <c r="AG36" s="271"/>
      <c r="AH36" s="271"/>
      <c r="AI36" s="271"/>
      <c r="AJ36" s="271"/>
      <c r="AK36" s="271"/>
      <c r="AL36" s="271"/>
      <c r="AM36" s="271"/>
    </row>
    <row r="37" spans="1:39" ht="14.25" customHeight="1">
      <c r="A37" s="271"/>
      <c r="B37" s="381" t="s">
        <v>950</v>
      </c>
      <c r="C37" s="382" t="s">
        <v>868</v>
      </c>
      <c r="D37" s="387">
        <v>0.15179998990000002</v>
      </c>
      <c r="E37" s="387"/>
      <c r="F37" s="387">
        <v>21.555303885100003</v>
      </c>
      <c r="G37" s="387">
        <v>2.3030369224</v>
      </c>
      <c r="H37" s="387">
        <v>0.13629532259999999</v>
      </c>
      <c r="I37" s="387"/>
      <c r="J37" s="387"/>
      <c r="K37" s="387"/>
      <c r="L37" s="387">
        <v>21.843399197600004</v>
      </c>
      <c r="M37" s="387">
        <v>0.13629532259999999</v>
      </c>
      <c r="N37" s="303">
        <f>16148728.82/(10^8)</f>
        <v>0.1614872882</v>
      </c>
      <c r="O37" s="303"/>
      <c r="P37" s="303">
        <f>1566795581.9/(10^8)</f>
        <v>15.667955819000001</v>
      </c>
      <c r="Q37" s="303">
        <f>240329290.74/(10^8)</f>
        <v>2.4032929074</v>
      </c>
      <c r="R37" s="303">
        <f>35664176.23/(10^8)</f>
        <v>0.35664176229999994</v>
      </c>
      <c r="S37" s="303"/>
      <c r="T37" s="303"/>
      <c r="U37" s="303"/>
      <c r="V37" s="303">
        <f>1618608486.95/(10^8)</f>
        <v>16.1860848695</v>
      </c>
      <c r="W37" s="303">
        <f>35664176.23/(10^8)</f>
        <v>0.35664176229999994</v>
      </c>
      <c r="X37" s="299">
        <v>0.38159999999999999</v>
      </c>
      <c r="Y37" s="271"/>
      <c r="Z37" s="271"/>
      <c r="AA37" s="271"/>
      <c r="AB37" s="271"/>
      <c r="AC37" s="271"/>
      <c r="AD37" s="271"/>
      <c r="AE37" s="271"/>
      <c r="AF37" s="271"/>
      <c r="AG37" s="271"/>
      <c r="AH37" s="271"/>
      <c r="AI37" s="271"/>
      <c r="AJ37" s="271"/>
      <c r="AK37" s="271"/>
      <c r="AL37" s="271"/>
      <c r="AM37" s="271"/>
    </row>
    <row r="38" spans="1:39" ht="14.25" customHeight="1">
      <c r="A38" s="271"/>
      <c r="B38" s="381" t="s">
        <v>951</v>
      </c>
      <c r="C38" s="382" t="s">
        <v>869</v>
      </c>
      <c r="D38" s="387">
        <v>0.1366909368</v>
      </c>
      <c r="E38" s="387"/>
      <c r="F38" s="387">
        <v>5.6006350649999996</v>
      </c>
      <c r="G38" s="387">
        <v>0.60033117579999995</v>
      </c>
      <c r="H38" s="387">
        <v>0.59160507289999997</v>
      </c>
      <c r="I38" s="387">
        <v>0.36179368340000001</v>
      </c>
      <c r="J38" s="387">
        <v>9.4864904800000011E-2</v>
      </c>
      <c r="K38" s="387">
        <v>7.1347920400000001E-2</v>
      </c>
      <c r="L38" s="387">
        <v>6.8569375833000006</v>
      </c>
      <c r="M38" s="387">
        <v>0.66750531459999995</v>
      </c>
      <c r="N38" s="303">
        <f>21994707.69/(10^8)</f>
        <v>0.21994707690000001</v>
      </c>
      <c r="O38" s="303"/>
      <c r="P38" s="303">
        <f>684453957.35/(10^8)</f>
        <v>6.8445395735000005</v>
      </c>
      <c r="Q38" s="303">
        <f>99742248.62/(10^8)</f>
        <v>0.99742248620000007</v>
      </c>
      <c r="R38" s="303">
        <f>48093910.66/(10^8)</f>
        <v>0.48093910659999994</v>
      </c>
      <c r="S38" s="303">
        <f>48516718.74/(10^8)</f>
        <v>0.48516718740000003</v>
      </c>
      <c r="T38" s="303">
        <f>9248878.16/(10^8)</f>
        <v>9.24887816E-2</v>
      </c>
      <c r="U38" s="303">
        <f>8081186.98/(10^8)</f>
        <v>8.0811869800000005E-2</v>
      </c>
      <c r="V38" s="303">
        <f>820389359.58/(10^8)</f>
        <v>8.2038935958000003</v>
      </c>
      <c r="W38" s="303">
        <f>38672414.81/(10^8)</f>
        <v>0.3867241481</v>
      </c>
      <c r="X38" s="299">
        <v>-0.1154</v>
      </c>
      <c r="Y38" s="271"/>
      <c r="Z38" s="271"/>
      <c r="AA38" s="271"/>
      <c r="AB38" s="271"/>
      <c r="AC38" s="271"/>
      <c r="AD38" s="271"/>
      <c r="AE38" s="271"/>
      <c r="AF38" s="271"/>
      <c r="AG38" s="271"/>
      <c r="AH38" s="271"/>
      <c r="AI38" s="271"/>
      <c r="AJ38" s="271"/>
      <c r="AK38" s="271"/>
      <c r="AL38" s="271"/>
      <c r="AM38" s="271"/>
    </row>
    <row r="39" spans="1:39" ht="14.25" customHeight="1">
      <c r="A39" s="271"/>
      <c r="B39" s="381" t="s">
        <v>952</v>
      </c>
      <c r="C39" s="382" t="s">
        <v>870</v>
      </c>
      <c r="D39" s="387">
        <v>0.53972475750000004</v>
      </c>
      <c r="E39" s="387"/>
      <c r="F39" s="387">
        <v>24.892966064299998</v>
      </c>
      <c r="G39" s="387">
        <v>0.27853041920000005</v>
      </c>
      <c r="H39" s="387">
        <v>11.140939982100001</v>
      </c>
      <c r="I39" s="387">
        <v>4.3472259579000001</v>
      </c>
      <c r="J39" s="387"/>
      <c r="K39" s="387">
        <v>0.40273224280000003</v>
      </c>
      <c r="L39" s="387">
        <v>41.323589004600002</v>
      </c>
      <c r="M39" s="387">
        <v>11.1684017751</v>
      </c>
      <c r="N39" s="303">
        <f>36972848.02/(10^8)</f>
        <v>0.36972848020000004</v>
      </c>
      <c r="O39" s="303"/>
      <c r="P39" s="303">
        <f>1739067562.08/(10^8)</f>
        <v>17.3906756208</v>
      </c>
      <c r="Q39" s="303">
        <f>10859144.38/(10^8)</f>
        <v>0.10859144380000001</v>
      </c>
      <c r="R39" s="303">
        <f>247615519.05/(10^8)</f>
        <v>2.4761551905000001</v>
      </c>
      <c r="S39" s="303">
        <f>265507572.09/(10^8)</f>
        <v>2.6550757209000002</v>
      </c>
      <c r="T39" s="303"/>
      <c r="U39" s="303">
        <f>102105353.58/(10^8)</f>
        <v>1.0210535357999999</v>
      </c>
      <c r="V39" s="303">
        <f>2391268854.82/(10^8)</f>
        <v>23.912688548200002</v>
      </c>
      <c r="W39" s="303">
        <f>233308573.21/(10^8)</f>
        <v>2.3330857321000003</v>
      </c>
      <c r="X39" s="299">
        <v>0.42530000000000001</v>
      </c>
      <c r="Y39" s="271"/>
      <c r="Z39" s="271"/>
      <c r="AA39" s="271"/>
      <c r="AB39" s="271"/>
      <c r="AC39" s="271"/>
      <c r="AD39" s="271"/>
      <c r="AE39" s="271"/>
      <c r="AF39" s="271"/>
      <c r="AG39" s="271"/>
      <c r="AH39" s="271"/>
      <c r="AI39" s="271"/>
      <c r="AJ39" s="271"/>
      <c r="AK39" s="271"/>
      <c r="AL39" s="271"/>
      <c r="AM39" s="271"/>
    </row>
    <row r="40" spans="1:39" ht="14.25" customHeight="1">
      <c r="A40" s="271"/>
      <c r="B40" s="381" t="s">
        <v>953</v>
      </c>
      <c r="C40" s="382" t="s">
        <v>871</v>
      </c>
      <c r="D40" s="387">
        <v>0.14902851949999998</v>
      </c>
      <c r="E40" s="387"/>
      <c r="F40" s="387">
        <v>20.018732426900002</v>
      </c>
      <c r="G40" s="387">
        <v>1.5893258911000001</v>
      </c>
      <c r="H40" s="387">
        <v>0.67067498039999995</v>
      </c>
      <c r="I40" s="387">
        <v>1.1313042162</v>
      </c>
      <c r="J40" s="387">
        <v>2.0207607344</v>
      </c>
      <c r="K40" s="387">
        <v>0.62879916540000003</v>
      </c>
      <c r="L40" s="387">
        <v>24.619300042800003</v>
      </c>
      <c r="M40" s="387">
        <v>0.68337004709999993</v>
      </c>
      <c r="N40" s="303">
        <f>12370953.61/(10^8)</f>
        <v>0.12370953609999999</v>
      </c>
      <c r="O40" s="303"/>
      <c r="P40" s="303">
        <f>1878559517.41/(10^8)</f>
        <v>18.785595174099999</v>
      </c>
      <c r="Q40" s="303">
        <f>117271168.91/(10^8)</f>
        <v>1.1727116891</v>
      </c>
      <c r="R40" s="303">
        <f>21799762.04/(10^8)</f>
        <v>0.21799762039999998</v>
      </c>
      <c r="S40" s="303">
        <f>86884878.84/(10^8)</f>
        <v>0.86884878840000002</v>
      </c>
      <c r="T40" s="303">
        <f>149644157.83/(10^8)</f>
        <v>1.4964415783000002</v>
      </c>
      <c r="U40" s="303">
        <f>163691178.84/(10^8)</f>
        <v>1.6369117884</v>
      </c>
      <c r="V40" s="303">
        <f>2312950448.57/(10^8)</f>
        <v>23.1295044857</v>
      </c>
      <c r="W40" s="303">
        <f>18517013.5/(10^8)</f>
        <v>0.18517013500000001</v>
      </c>
      <c r="X40" s="299">
        <v>0.04</v>
      </c>
      <c r="Y40" s="271"/>
      <c r="Z40" s="271"/>
      <c r="AA40" s="271"/>
      <c r="AB40" s="271"/>
      <c r="AC40" s="271"/>
      <c r="AD40" s="271"/>
      <c r="AE40" s="271"/>
      <c r="AF40" s="271"/>
      <c r="AG40" s="271"/>
      <c r="AH40" s="271"/>
      <c r="AI40" s="271"/>
      <c r="AJ40" s="271"/>
      <c r="AK40" s="271"/>
      <c r="AL40" s="271"/>
      <c r="AM40" s="271"/>
    </row>
    <row r="41" spans="1:39" ht="14.25" customHeight="1">
      <c r="A41" s="271"/>
      <c r="B41" s="381" t="s">
        <v>954</v>
      </c>
      <c r="C41" s="382" t="s">
        <v>872</v>
      </c>
      <c r="D41" s="387">
        <v>1.4286402602000001</v>
      </c>
      <c r="E41" s="387"/>
      <c r="F41" s="387">
        <v>56.245989695600002</v>
      </c>
      <c r="G41" s="387">
        <v>3.3636421704000004</v>
      </c>
      <c r="H41" s="387">
        <v>14.261584669200001</v>
      </c>
      <c r="I41" s="387">
        <v>3.6507029143</v>
      </c>
      <c r="J41" s="387">
        <v>1.067891937</v>
      </c>
      <c r="K41" s="387">
        <v>3.0898705149999999</v>
      </c>
      <c r="L41" s="387">
        <v>79.744679991300004</v>
      </c>
      <c r="M41" s="387">
        <v>13.648013161300002</v>
      </c>
      <c r="N41" s="303">
        <f>90701880.31/(10^8)</f>
        <v>0.90701880310000005</v>
      </c>
      <c r="O41" s="303"/>
      <c r="P41" s="303">
        <f>4132176658.41/(10^8)</f>
        <v>41.321766584099997</v>
      </c>
      <c r="Q41" s="303">
        <f>344958133.53/(10^8)</f>
        <v>3.4495813352999996</v>
      </c>
      <c r="R41" s="303">
        <f>1205661901.89/(10^8)</f>
        <v>12.056619018900001</v>
      </c>
      <c r="S41" s="303">
        <f>257908716.65/(10^8)</f>
        <v>2.5790871664999999</v>
      </c>
      <c r="T41" s="303">
        <f>163608493.02/(10^8)</f>
        <v>1.6360849302</v>
      </c>
      <c r="U41" s="303">
        <f>238236446.72/(10^8)</f>
        <v>2.3823644671999999</v>
      </c>
      <c r="V41" s="303">
        <f>6088294097/(10^8)</f>
        <v>60.88294097</v>
      </c>
      <c r="W41" s="303">
        <f>1180698237.04/(10^8)</f>
        <v>11.8069823704</v>
      </c>
      <c r="X41" s="299">
        <v>0.2122</v>
      </c>
      <c r="Y41" s="271"/>
      <c r="Z41" s="271"/>
      <c r="AA41" s="271"/>
      <c r="AB41" s="271"/>
      <c r="AC41" s="271"/>
      <c r="AD41" s="271"/>
      <c r="AE41" s="271"/>
      <c r="AF41" s="271"/>
      <c r="AG41" s="271"/>
      <c r="AH41" s="271"/>
      <c r="AI41" s="271"/>
      <c r="AJ41" s="271"/>
      <c r="AK41" s="271"/>
      <c r="AL41" s="271"/>
      <c r="AM41" s="271"/>
    </row>
    <row r="42" spans="1:39" ht="14.25" customHeight="1">
      <c r="A42" s="271"/>
      <c r="B42" s="381" t="s">
        <v>955</v>
      </c>
      <c r="C42" s="382" t="s">
        <v>873</v>
      </c>
      <c r="D42" s="387">
        <v>2.2105839999999998E-3</v>
      </c>
      <c r="E42" s="387"/>
      <c r="F42" s="387">
        <v>5.9532649699999995E-2</v>
      </c>
      <c r="G42" s="387"/>
      <c r="H42" s="387">
        <v>5.1368500000000001E-3</v>
      </c>
      <c r="I42" s="387">
        <v>2.1469707200000004E-2</v>
      </c>
      <c r="J42" s="387">
        <v>0</v>
      </c>
      <c r="K42" s="387">
        <v>8.3978116000000009E-3</v>
      </c>
      <c r="L42" s="387">
        <v>9.6747602500000002E-2</v>
      </c>
      <c r="M42" s="387">
        <v>0</v>
      </c>
      <c r="N42" s="303">
        <f>0/(10^8)</f>
        <v>0</v>
      </c>
      <c r="O42" s="303"/>
      <c r="P42" s="303">
        <f>2168752.2/(10^8)</f>
        <v>2.1687522000000001E-2</v>
      </c>
      <c r="Q42" s="303">
        <f>0/(10^8)</f>
        <v>0</v>
      </c>
      <c r="R42" s="303">
        <f>19968532.01/(10^8)</f>
        <v>0.19968532010000001</v>
      </c>
      <c r="S42" s="303">
        <f>1128015.49/(10^8)</f>
        <v>1.12801549E-2</v>
      </c>
      <c r="T42" s="303">
        <f>0/(10^8)</f>
        <v>0</v>
      </c>
      <c r="U42" s="303">
        <f>383622.05/(10^8)</f>
        <v>3.8362204999999997E-3</v>
      </c>
      <c r="V42" s="303">
        <f>23648921.75/(10^8)</f>
        <v>0.23648921749999999</v>
      </c>
      <c r="W42" s="303">
        <f>19968532.01/(10^8)</f>
        <v>0.19968532010000001</v>
      </c>
      <c r="X42" s="299">
        <v>-0.68220000000000003</v>
      </c>
      <c r="Y42" s="271"/>
      <c r="Z42" s="271"/>
      <c r="AA42" s="271"/>
      <c r="AB42" s="271"/>
      <c r="AC42" s="271"/>
      <c r="AD42" s="271"/>
      <c r="AE42" s="271"/>
      <c r="AF42" s="271"/>
      <c r="AG42" s="271"/>
      <c r="AH42" s="271"/>
      <c r="AI42" s="271"/>
      <c r="AJ42" s="271"/>
      <c r="AK42" s="271"/>
      <c r="AL42" s="271"/>
      <c r="AM42" s="271"/>
    </row>
    <row r="43" spans="1:39" ht="14.25" customHeight="1">
      <c r="A43" s="271"/>
      <c r="B43" s="381" t="s">
        <v>956</v>
      </c>
      <c r="C43" s="382" t="s">
        <v>874</v>
      </c>
      <c r="D43" s="387">
        <v>0</v>
      </c>
      <c r="E43" s="387"/>
      <c r="F43" s="387">
        <v>0.73905870920000005</v>
      </c>
      <c r="G43" s="387"/>
      <c r="H43" s="387">
        <v>0.56077677930000003</v>
      </c>
      <c r="I43" s="387"/>
      <c r="J43" s="387">
        <v>0.71096220900000007</v>
      </c>
      <c r="K43" s="387">
        <v>0</v>
      </c>
      <c r="L43" s="387">
        <v>2.0107976975000001</v>
      </c>
      <c r="M43" s="387">
        <v>0.55292126630000005</v>
      </c>
      <c r="N43" s="303">
        <f>0/(10^8)</f>
        <v>0</v>
      </c>
      <c r="O43" s="303">
        <f>0/(10^8)</f>
        <v>0</v>
      </c>
      <c r="P43" s="303">
        <f>31224977.38/(10^8)</f>
        <v>0.31224977379999996</v>
      </c>
      <c r="Q43" s="303">
        <f>0/(10^8)</f>
        <v>0</v>
      </c>
      <c r="R43" s="303">
        <f>20585864.11/(10^8)</f>
        <v>0.20585864109999999</v>
      </c>
      <c r="S43" s="303">
        <f>0/(10^8)</f>
        <v>0</v>
      </c>
      <c r="T43" s="303">
        <f>58167582.56/(10^8)</f>
        <v>0.58167582559999997</v>
      </c>
      <c r="U43" s="303">
        <f>110000/(10^8)</f>
        <v>1.1000000000000001E-3</v>
      </c>
      <c r="V43" s="303">
        <f>110088424.05/(10^8)</f>
        <v>1.1008842404999999</v>
      </c>
      <c r="W43" s="303">
        <f>20875516.33/(10^8)</f>
        <v>0.20875516329999999</v>
      </c>
      <c r="X43" s="299">
        <v>0.43290000000000001</v>
      </c>
      <c r="Y43" s="271"/>
      <c r="Z43" s="271"/>
      <c r="AA43" s="271"/>
      <c r="AB43" s="271"/>
      <c r="AC43" s="271"/>
      <c r="AD43" s="271"/>
      <c r="AE43" s="271"/>
      <c r="AF43" s="271"/>
      <c r="AG43" s="271"/>
      <c r="AH43" s="271"/>
      <c r="AI43" s="271"/>
      <c r="AJ43" s="271"/>
      <c r="AK43" s="271"/>
      <c r="AL43" s="271"/>
      <c r="AM43" s="271"/>
    </row>
    <row r="44" spans="1:39" ht="16.5" customHeight="1">
      <c r="A44" s="271"/>
      <c r="B44" s="381" t="s">
        <v>957</v>
      </c>
      <c r="C44" s="382" t="s">
        <v>875</v>
      </c>
      <c r="D44" s="387">
        <v>4.1955730999999998E-3</v>
      </c>
      <c r="E44" s="387"/>
      <c r="F44" s="387">
        <v>4.9379065999999999E-3</v>
      </c>
      <c r="G44" s="387">
        <v>0</v>
      </c>
      <c r="H44" s="387">
        <v>0.4462395878</v>
      </c>
      <c r="I44" s="387"/>
      <c r="J44" s="387">
        <v>0.64287771179999997</v>
      </c>
      <c r="K44" s="387">
        <v>0.14684952630000001</v>
      </c>
      <c r="L44" s="387">
        <v>1.2451003056000001</v>
      </c>
      <c r="M44" s="387">
        <v>0.45642838590000001</v>
      </c>
      <c r="N44" s="303">
        <f>502196.37/(10^8)</f>
        <v>5.0219636999999998E-3</v>
      </c>
      <c r="O44" s="303">
        <f>0/(10^8)</f>
        <v>0</v>
      </c>
      <c r="P44" s="303">
        <f>0/(10^8)</f>
        <v>0</v>
      </c>
      <c r="Q44" s="303">
        <f>0/(10^8)</f>
        <v>0</v>
      </c>
      <c r="R44" s="303">
        <f>5252846.1/(10^8)</f>
        <v>5.2528460999999999E-2</v>
      </c>
      <c r="S44" s="303">
        <f>0/(10^8)</f>
        <v>0</v>
      </c>
      <c r="T44" s="303">
        <f>51938897.44/(10^8)</f>
        <v>0.51938897439999998</v>
      </c>
      <c r="U44" s="303">
        <f>15131152.64/(10^8)</f>
        <v>0.15131152640000001</v>
      </c>
      <c r="V44" s="303">
        <f>72825092.55/(10^8)</f>
        <v>0.72825092549999992</v>
      </c>
      <c r="W44" s="303">
        <f>4496020.96/(10^8)</f>
        <v>4.4960209600000002E-2</v>
      </c>
      <c r="X44" s="299">
        <v>0.1918</v>
      </c>
      <c r="Y44" s="271"/>
      <c r="Z44" s="271"/>
      <c r="AA44" s="271"/>
      <c r="AB44" s="271"/>
      <c r="AC44" s="271"/>
      <c r="AD44" s="271"/>
      <c r="AE44" s="271"/>
      <c r="AF44" s="271"/>
      <c r="AG44" s="271"/>
      <c r="AH44" s="271"/>
      <c r="AI44" s="271"/>
      <c r="AJ44" s="271"/>
      <c r="AK44" s="271"/>
      <c r="AL44" s="271"/>
      <c r="AM44" s="271"/>
    </row>
    <row r="45" spans="1:39" ht="14.25" customHeight="1">
      <c r="A45" s="271"/>
      <c r="B45" s="381" t="s">
        <v>958</v>
      </c>
      <c r="C45" s="382" t="s">
        <v>876</v>
      </c>
      <c r="D45" s="387">
        <v>1.1827617861999999</v>
      </c>
      <c r="E45" s="387"/>
      <c r="F45" s="387">
        <v>44.720554162200003</v>
      </c>
      <c r="G45" s="387">
        <v>0.46002812640000001</v>
      </c>
      <c r="H45" s="387">
        <v>2.2723193087999998</v>
      </c>
      <c r="I45" s="387">
        <v>2.0367118903999999</v>
      </c>
      <c r="J45" s="387">
        <v>0.29312726920000004</v>
      </c>
      <c r="K45" s="387">
        <v>0.57955093800000002</v>
      </c>
      <c r="L45" s="387">
        <v>51.085025354799996</v>
      </c>
      <c r="M45" s="387">
        <v>2.0975632573</v>
      </c>
      <c r="N45" s="303">
        <f>115859826.94/(10^8)</f>
        <v>1.1585982693999999</v>
      </c>
      <c r="O45" s="303"/>
      <c r="P45" s="303">
        <f>4255617716.84/(10^8)</f>
        <v>42.556177168400005</v>
      </c>
      <c r="Q45" s="303">
        <f>87229731.52/(10^8)</f>
        <v>0.87229731519999998</v>
      </c>
      <c r="R45" s="303">
        <f>226071076.99/(10^8)</f>
        <v>2.2607107699000002</v>
      </c>
      <c r="S45" s="303">
        <f>193575930.45/(10^8)</f>
        <v>1.9357593044999999</v>
      </c>
      <c r="T45" s="303">
        <f>28826514.94/(10^8)</f>
        <v>0.28826514940000003</v>
      </c>
      <c r="U45" s="303">
        <f>54756592.93/(10^8)</f>
        <v>0.54756592930000003</v>
      </c>
      <c r="V45" s="303">
        <f>4874707659.09/(10^8)</f>
        <v>48.747076590900001</v>
      </c>
      <c r="W45" s="303">
        <f>192866358.89/(10^8)</f>
        <v>1.9286635888999999</v>
      </c>
      <c r="X45" s="299">
        <v>1.4E-2</v>
      </c>
      <c r="Y45" s="271"/>
      <c r="Z45" s="271"/>
      <c r="AA45" s="271"/>
      <c r="AB45" s="271"/>
      <c r="AC45" s="271"/>
      <c r="AD45" s="271"/>
      <c r="AE45" s="271"/>
      <c r="AF45" s="271"/>
      <c r="AG45" s="271"/>
      <c r="AH45" s="271"/>
      <c r="AI45" s="271"/>
      <c r="AJ45" s="271"/>
      <c r="AK45" s="271"/>
      <c r="AL45" s="271"/>
      <c r="AM45" s="271"/>
    </row>
    <row r="46" spans="1:39" ht="14.25" customHeight="1">
      <c r="A46" s="271"/>
      <c r="B46" s="381" t="s">
        <v>959</v>
      </c>
      <c r="C46" s="382" t="s">
        <v>877</v>
      </c>
      <c r="D46" s="387">
        <v>0.40138959799999996</v>
      </c>
      <c r="E46" s="387"/>
      <c r="F46" s="387">
        <v>26.424130101300001</v>
      </c>
      <c r="G46" s="387">
        <v>0.27842303329999996</v>
      </c>
      <c r="H46" s="387">
        <v>4.5182013727000001</v>
      </c>
      <c r="I46" s="387">
        <v>2.3061074633</v>
      </c>
      <c r="J46" s="387"/>
      <c r="K46" s="387">
        <v>1.7109461424000001</v>
      </c>
      <c r="L46" s="387">
        <v>35.3607746777</v>
      </c>
      <c r="M46" s="387">
        <v>4.2444557560999998</v>
      </c>
      <c r="N46" s="303">
        <f>33994177.52/(10^8)</f>
        <v>0.33994177520000002</v>
      </c>
      <c r="O46" s="303"/>
      <c r="P46" s="303">
        <f>3299729583.81/(10^8)</f>
        <v>32.997295838100001</v>
      </c>
      <c r="Q46" s="303">
        <f>37984141.65/(10^8)</f>
        <v>0.37984141649999997</v>
      </c>
      <c r="R46" s="303">
        <f>99474478.38/(10^8)</f>
        <v>0.99474478379999998</v>
      </c>
      <c r="S46" s="303">
        <f>147025865.98/(10^8)</f>
        <v>1.4702586597999998</v>
      </c>
      <c r="T46" s="303"/>
      <c r="U46" s="303">
        <f>152976794.04/(10^8)</f>
        <v>1.5297679404</v>
      </c>
      <c r="V46" s="303">
        <f>3733200899.73/(10^8)</f>
        <v>37.332008997300001</v>
      </c>
      <c r="W46" s="303">
        <f>79600707.98/(10^8)</f>
        <v>0.79600707980000007</v>
      </c>
      <c r="X46" s="299">
        <v>-0.26490000000000002</v>
      </c>
      <c r="Y46" s="271"/>
      <c r="Z46" s="271"/>
      <c r="AA46" s="271"/>
      <c r="AB46" s="271"/>
      <c r="AC46" s="271"/>
      <c r="AD46" s="271"/>
      <c r="AE46" s="271"/>
      <c r="AF46" s="271"/>
      <c r="AG46" s="271"/>
      <c r="AH46" s="271"/>
      <c r="AI46" s="271"/>
      <c r="AJ46" s="271"/>
      <c r="AK46" s="271"/>
      <c r="AL46" s="271"/>
      <c r="AM46" s="271"/>
    </row>
    <row r="47" spans="1:39" ht="14.25" customHeight="1">
      <c r="A47" s="271"/>
      <c r="B47" s="381" t="s">
        <v>960</v>
      </c>
      <c r="C47" s="382" t="s">
        <v>879</v>
      </c>
      <c r="D47" s="387">
        <v>0.58412129359999998</v>
      </c>
      <c r="E47" s="387"/>
      <c r="F47" s="387">
        <v>19.0445876848</v>
      </c>
      <c r="G47" s="387">
        <v>0.70565327310000003</v>
      </c>
      <c r="H47" s="387">
        <v>3.2037552183</v>
      </c>
      <c r="I47" s="387">
        <v>0.39017487509999998</v>
      </c>
      <c r="J47" s="387"/>
      <c r="K47" s="387">
        <v>1.29621823E-2</v>
      </c>
      <c r="L47" s="387">
        <v>23.235601254099997</v>
      </c>
      <c r="M47" s="387">
        <v>3.1813929770999998</v>
      </c>
      <c r="N47" s="303">
        <f>18987814.46/(10^8)</f>
        <v>0.18987814460000002</v>
      </c>
      <c r="O47" s="303"/>
      <c r="P47" s="303">
        <f>1341862693.47/(10^8)</f>
        <v>13.418626934700001</v>
      </c>
      <c r="Q47" s="303">
        <f>44918099.19/(10^8)</f>
        <v>0.44918099189999999</v>
      </c>
      <c r="R47" s="303">
        <f>213334795.31/(10^8)</f>
        <v>2.1333479530999999</v>
      </c>
      <c r="S47" s="303">
        <f>56701950.49/(10^8)</f>
        <v>0.56701950489999997</v>
      </c>
      <c r="T47" s="303"/>
      <c r="U47" s="303">
        <f>1797394.68/(10^8)</f>
        <v>1.7973946799999998E-2</v>
      </c>
      <c r="V47" s="303">
        <f>1632684648.41/(10^8)</f>
        <v>16.326846484100002</v>
      </c>
      <c r="W47" s="303">
        <f>163012407.37/(10^8)</f>
        <v>1.6301240737</v>
      </c>
      <c r="X47" s="299">
        <v>0.19400000000000001</v>
      </c>
      <c r="Y47" s="271"/>
      <c r="Z47" s="271"/>
      <c r="AA47" s="271"/>
      <c r="AB47" s="271"/>
      <c r="AC47" s="271"/>
      <c r="AD47" s="271"/>
      <c r="AE47" s="271"/>
      <c r="AF47" s="271"/>
      <c r="AG47" s="271"/>
      <c r="AH47" s="271"/>
      <c r="AI47" s="271"/>
      <c r="AJ47" s="271"/>
      <c r="AK47" s="271"/>
      <c r="AL47" s="271"/>
      <c r="AM47" s="271"/>
    </row>
    <row r="48" spans="1:39" ht="14.25" customHeight="1">
      <c r="A48" s="271"/>
      <c r="B48" s="381" t="s">
        <v>961</v>
      </c>
      <c r="C48" s="382" t="s">
        <v>881</v>
      </c>
      <c r="D48" s="387">
        <v>1.5675159899999999E-2</v>
      </c>
      <c r="E48" s="387"/>
      <c r="F48" s="387">
        <v>0.34565257669999999</v>
      </c>
      <c r="G48" s="387">
        <v>2.9999999999999997E-4</v>
      </c>
      <c r="H48" s="387">
        <v>4.8033340799999998E-2</v>
      </c>
      <c r="I48" s="387">
        <v>0.20777521160000001</v>
      </c>
      <c r="J48" s="387"/>
      <c r="K48" s="387">
        <v>0.1537074709</v>
      </c>
      <c r="L48" s="387">
        <v>0.77084375989999998</v>
      </c>
      <c r="M48" s="387">
        <v>4.6365740799999999E-2</v>
      </c>
      <c r="N48" s="303">
        <f>1474716.89/(10^8)</f>
        <v>1.47471689E-2</v>
      </c>
      <c r="O48" s="303"/>
      <c r="P48" s="303">
        <f>27620947.21/(10^8)</f>
        <v>0.27620947210000002</v>
      </c>
      <c r="Q48" s="303">
        <f>16276/(10^8)</f>
        <v>1.6275999999999999E-4</v>
      </c>
      <c r="R48" s="303">
        <f>1364792.92/(10^8)</f>
        <v>1.3647929199999999E-2</v>
      </c>
      <c r="S48" s="303">
        <f>8976922.35/(10^8)</f>
        <v>8.9769223499999995E-2</v>
      </c>
      <c r="T48" s="303"/>
      <c r="U48" s="303">
        <f>12142029.77/(10^8)</f>
        <v>0.1214202977</v>
      </c>
      <c r="V48" s="303">
        <f>51579409.14/(10^8)</f>
        <v>0.51579409139999999</v>
      </c>
      <c r="W48" s="303">
        <f>1283921.48/(10^8)</f>
        <v>1.28392148E-2</v>
      </c>
      <c r="X48" s="299">
        <v>7.8700000000000006E-2</v>
      </c>
      <c r="Y48" s="271"/>
      <c r="Z48" s="271"/>
      <c r="AA48" s="271"/>
      <c r="AB48" s="271"/>
      <c r="AC48" s="271"/>
      <c r="AD48" s="271"/>
      <c r="AE48" s="271"/>
      <c r="AF48" s="271"/>
      <c r="AG48" s="271"/>
      <c r="AH48" s="271"/>
      <c r="AI48" s="271"/>
      <c r="AJ48" s="271"/>
      <c r="AK48" s="271"/>
      <c r="AL48" s="271"/>
      <c r="AM48" s="271"/>
    </row>
    <row r="49" spans="1:39" ht="15" customHeight="1">
      <c r="A49" s="271"/>
      <c r="B49" s="381" t="s">
        <v>962</v>
      </c>
      <c r="C49" s="382" t="s">
        <v>883</v>
      </c>
      <c r="D49" s="387">
        <v>0</v>
      </c>
      <c r="E49" s="387"/>
      <c r="F49" s="387">
        <v>0</v>
      </c>
      <c r="G49" s="387">
        <v>0</v>
      </c>
      <c r="H49" s="387">
        <v>0.16053010249999999</v>
      </c>
      <c r="I49" s="387">
        <v>2.4690749999999999E-4</v>
      </c>
      <c r="J49" s="387"/>
      <c r="K49" s="387">
        <v>0</v>
      </c>
      <c r="L49" s="387">
        <v>0.16077701</v>
      </c>
      <c r="M49" s="387">
        <v>1.25970101E-2</v>
      </c>
      <c r="N49" s="303">
        <f>161221395.56/(10^8)</f>
        <v>1.6122139555999999</v>
      </c>
      <c r="O49" s="303"/>
      <c r="P49" s="303">
        <f>3703345923.88/(10^8)</f>
        <v>37.033459238799999</v>
      </c>
      <c r="Q49" s="303">
        <f>77848692.72/(10^8)</f>
        <v>0.77848692720000001</v>
      </c>
      <c r="R49" s="303">
        <f>279268638.76/(10^8)</f>
        <v>2.7926863875999999</v>
      </c>
      <c r="S49" s="303">
        <f>584594362.35/(10^8)</f>
        <v>5.8459436235000002</v>
      </c>
      <c r="T49" s="303"/>
      <c r="U49" s="303">
        <f>46842466.45/(10^8)</f>
        <v>0.46842466450000003</v>
      </c>
      <c r="V49" s="303">
        <f>4775272787/(10^8)</f>
        <v>47.752727870000001</v>
      </c>
      <c r="W49" s="303">
        <f>775324300.98/(10^8)</f>
        <v>7.7532430098000003</v>
      </c>
      <c r="X49" s="299">
        <v>3.1300000000000001E-2</v>
      </c>
      <c r="Y49" s="271"/>
      <c r="Z49" s="271"/>
      <c r="AA49" s="271"/>
      <c r="AB49" s="271"/>
      <c r="AC49" s="271"/>
      <c r="AD49" s="271"/>
      <c r="AE49" s="271"/>
      <c r="AF49" s="271"/>
      <c r="AG49" s="271"/>
      <c r="AH49" s="271"/>
      <c r="AI49" s="271"/>
      <c r="AJ49" s="271"/>
      <c r="AK49" s="271"/>
      <c r="AL49" s="271"/>
      <c r="AM49" s="271"/>
    </row>
    <row r="50" spans="1:39" ht="14.25" customHeight="1">
      <c r="A50" s="271"/>
      <c r="B50" s="381" t="s">
        <v>963</v>
      </c>
      <c r="C50" s="382" t="s">
        <v>884</v>
      </c>
      <c r="D50" s="387">
        <v>0.60167503259999999</v>
      </c>
      <c r="E50" s="387"/>
      <c r="F50" s="387">
        <v>8.5626450124000009</v>
      </c>
      <c r="G50" s="387"/>
      <c r="H50" s="387">
        <v>1.5128665500000001E-2</v>
      </c>
      <c r="I50" s="387">
        <v>0.8971485978</v>
      </c>
      <c r="J50" s="387"/>
      <c r="K50" s="387">
        <v>0.15191892099999998</v>
      </c>
      <c r="L50" s="387">
        <v>10.2285162293</v>
      </c>
      <c r="M50" s="387">
        <v>9.0652042000000013E-3</v>
      </c>
      <c r="N50" s="303">
        <f>34448629.41/(10^8)</f>
        <v>0.34448629409999998</v>
      </c>
      <c r="O50" s="303"/>
      <c r="P50" s="303">
        <f>911463041.03/(10^8)</f>
        <v>9.1146304103000002</v>
      </c>
      <c r="Q50" s="303">
        <f>0/(10^8)</f>
        <v>0</v>
      </c>
      <c r="R50" s="303">
        <f>3024703.5/(10^8)</f>
        <v>3.0247034999999999E-2</v>
      </c>
      <c r="S50" s="303">
        <f>50631099.61/(10^8)</f>
        <v>0.50631099609999997</v>
      </c>
      <c r="T50" s="303"/>
      <c r="U50" s="303">
        <f>6194863.76/(10^8)</f>
        <v>6.1948637599999995E-2</v>
      </c>
      <c r="V50" s="303">
        <f>1005762337.31/(10^8)</f>
        <v>10.0576233731</v>
      </c>
      <c r="W50" s="303">
        <f>1125349.31/(10^8)</f>
        <v>1.1253493100000001E-2</v>
      </c>
      <c r="X50" s="299">
        <v>0.1065</v>
      </c>
      <c r="Y50" s="271"/>
      <c r="Z50" s="271"/>
      <c r="AA50" s="271"/>
      <c r="AB50" s="271"/>
      <c r="AC50" s="271"/>
      <c r="AD50" s="271"/>
      <c r="AE50" s="271"/>
      <c r="AF50" s="271"/>
      <c r="AG50" s="271"/>
      <c r="AH50" s="271"/>
      <c r="AI50" s="271"/>
      <c r="AJ50" s="271"/>
      <c r="AK50" s="271"/>
      <c r="AL50" s="271"/>
      <c r="AM50" s="271"/>
    </row>
    <row r="51" spans="1:39" ht="14.25" customHeight="1">
      <c r="A51" s="271"/>
      <c r="B51" s="381" t="s">
        <v>964</v>
      </c>
      <c r="C51" s="382" t="s">
        <v>885</v>
      </c>
      <c r="D51" s="387">
        <v>0.25498565340000001</v>
      </c>
      <c r="E51" s="387"/>
      <c r="F51" s="387">
        <v>1.6857605961000002</v>
      </c>
      <c r="G51" s="387">
        <v>1.7130513E-3</v>
      </c>
      <c r="H51" s="387">
        <v>0.49798066530000001</v>
      </c>
      <c r="I51" s="387">
        <v>1.0278051801000001</v>
      </c>
      <c r="J51" s="387">
        <v>0.2211883694</v>
      </c>
      <c r="K51" s="387">
        <v>0.22523840190000002</v>
      </c>
      <c r="L51" s="387">
        <v>3.9129588661999999</v>
      </c>
      <c r="M51" s="387">
        <v>0.49389247689999999</v>
      </c>
      <c r="N51" s="303">
        <f>2318415.04/(10^8)</f>
        <v>2.3184150399999999E-2</v>
      </c>
      <c r="O51" s="303"/>
      <c r="P51" s="303">
        <f>271278652.3/(10^8)</f>
        <v>2.7127865230000001</v>
      </c>
      <c r="Q51" s="303">
        <f>1254683.98/(10^8)</f>
        <v>1.2546839799999999E-2</v>
      </c>
      <c r="R51" s="303">
        <f>25642087.61/(10^8)</f>
        <v>0.25642087609999997</v>
      </c>
      <c r="S51" s="303">
        <f>113767327.6/(10^8)</f>
        <v>1.1376732759999999</v>
      </c>
      <c r="T51" s="303">
        <f>7729300.03/(10^8)</f>
        <v>7.7293000299999998E-2</v>
      </c>
      <c r="U51" s="303">
        <f>31910483.84/(10^8)</f>
        <v>0.31910483839999998</v>
      </c>
      <c r="V51" s="303">
        <f>452646266.42/(10^8)</f>
        <v>4.5264626642000003</v>
      </c>
      <c r="W51" s="303">
        <f>28283858.29/(10^8)</f>
        <v>0.28283858289999997</v>
      </c>
      <c r="X51" s="299">
        <v>-0.1966</v>
      </c>
      <c r="Y51" s="271"/>
      <c r="Z51" s="271"/>
      <c r="AA51" s="271"/>
      <c r="AB51" s="271"/>
      <c r="AC51" s="271"/>
      <c r="AD51" s="271"/>
      <c r="AE51" s="271"/>
      <c r="AF51" s="271"/>
      <c r="AG51" s="271"/>
      <c r="AH51" s="271"/>
      <c r="AI51" s="271"/>
      <c r="AJ51" s="271"/>
      <c r="AK51" s="271"/>
      <c r="AL51" s="271"/>
      <c r="AM51" s="271"/>
    </row>
    <row r="52" spans="1:39" ht="14.25" customHeight="1">
      <c r="A52" s="271"/>
      <c r="B52" s="381" t="s">
        <v>965</v>
      </c>
      <c r="C52" s="382" t="s">
        <v>886</v>
      </c>
      <c r="D52" s="387">
        <v>0.75106934700000005</v>
      </c>
      <c r="E52" s="387"/>
      <c r="F52" s="387">
        <v>24.304228456200001</v>
      </c>
      <c r="G52" s="387">
        <v>4.5168612999999996E-2</v>
      </c>
      <c r="H52" s="387">
        <v>42.247634112199997</v>
      </c>
      <c r="I52" s="387">
        <v>3.9339203331000001</v>
      </c>
      <c r="J52" s="387">
        <v>1.2016399699999999E-2</v>
      </c>
      <c r="K52" s="387">
        <v>0.57425104579999997</v>
      </c>
      <c r="L52" s="387">
        <v>71.823119693999999</v>
      </c>
      <c r="M52" s="387">
        <v>41.311262657199997</v>
      </c>
      <c r="N52" s="303">
        <f>57356829.81/(10^8)</f>
        <v>0.57356829809999998</v>
      </c>
      <c r="O52" s="303"/>
      <c r="P52" s="303">
        <f>1950761529.52/(10^8)</f>
        <v>19.507615295200001</v>
      </c>
      <c r="Q52" s="303">
        <f>5358818.21/(10^8)</f>
        <v>5.3588182099999999E-2</v>
      </c>
      <c r="R52" s="303">
        <f>500661226.1/(10^8)</f>
        <v>5.0066122609999999</v>
      </c>
      <c r="S52" s="303">
        <f>257284826.8/(10^8)</f>
        <v>2.572848268</v>
      </c>
      <c r="T52" s="303">
        <f>730439.32/(10^8)</f>
        <v>7.3043931999999994E-3</v>
      </c>
      <c r="U52" s="303">
        <f>54520280.28/(10^8)</f>
        <v>0.5452028028</v>
      </c>
      <c r="V52" s="303">
        <f>2821315131.83/(10^8)</f>
        <v>28.2131513183</v>
      </c>
      <c r="W52" s="303">
        <f>395201532.74/(10^8)</f>
        <v>3.9520153274000003</v>
      </c>
      <c r="X52" s="299">
        <v>0.124</v>
      </c>
      <c r="Y52" s="271"/>
      <c r="Z52" s="271"/>
      <c r="AA52" s="271"/>
      <c r="AB52" s="271"/>
      <c r="AC52" s="271"/>
      <c r="AD52" s="271"/>
      <c r="AE52" s="271"/>
      <c r="AF52" s="271"/>
      <c r="AG52" s="271"/>
      <c r="AH52" s="271"/>
      <c r="AI52" s="271"/>
      <c r="AJ52" s="271"/>
      <c r="AK52" s="271"/>
      <c r="AL52" s="271"/>
      <c r="AM52" s="271"/>
    </row>
    <row r="53" spans="1:39" ht="14.25" customHeight="1">
      <c r="A53" s="271"/>
      <c r="B53" s="381" t="s">
        <v>966</v>
      </c>
      <c r="C53" s="382" t="s">
        <v>887</v>
      </c>
      <c r="D53" s="387">
        <v>4.7000696000000005E-3</v>
      </c>
      <c r="E53" s="387"/>
      <c r="F53" s="387">
        <v>0.29111372280000003</v>
      </c>
      <c r="G53" s="387">
        <v>7.2966229999999995E-4</v>
      </c>
      <c r="H53" s="387">
        <v>0</v>
      </c>
      <c r="I53" s="387">
        <v>-6.34146087E-2</v>
      </c>
      <c r="J53" s="387"/>
      <c r="K53" s="387"/>
      <c r="L53" s="387">
        <v>0.23239918370000001</v>
      </c>
      <c r="M53" s="387">
        <v>-6.49461593E-2</v>
      </c>
      <c r="N53" s="303">
        <f>473318.79/(10^8)</f>
        <v>4.7331878999999997E-3</v>
      </c>
      <c r="O53" s="303"/>
      <c r="P53" s="303">
        <f>14116632.97/(10^8)</f>
        <v>0.14116632970000001</v>
      </c>
      <c r="Q53" s="303">
        <f>6130.6/(10^8)</f>
        <v>6.1305999999999999E-5</v>
      </c>
      <c r="R53" s="303">
        <f>3849779.22/(10^8)</f>
        <v>3.8497792199999999E-2</v>
      </c>
      <c r="S53" s="303">
        <f>-4256363.7/(10^8)</f>
        <v>-4.2563637000000001E-2</v>
      </c>
      <c r="T53" s="303"/>
      <c r="U53" s="303"/>
      <c r="V53" s="303">
        <f>14183367.28/(10^8)</f>
        <v>0.1418336728</v>
      </c>
      <c r="W53" s="303">
        <f>650377.17/(10^8)</f>
        <v>6.5037717E-3</v>
      </c>
      <c r="X53" s="299">
        <v>0.78459999999999996</v>
      </c>
      <c r="Y53" s="271"/>
      <c r="Z53" s="271"/>
      <c r="AA53" s="271"/>
      <c r="AB53" s="271"/>
      <c r="AC53" s="271"/>
      <c r="AD53" s="271"/>
      <c r="AE53" s="271"/>
      <c r="AF53" s="271"/>
      <c r="AG53" s="271"/>
      <c r="AH53" s="271"/>
      <c r="AI53" s="271"/>
      <c r="AJ53" s="271"/>
      <c r="AK53" s="271"/>
      <c r="AL53" s="271"/>
      <c r="AM53" s="271"/>
    </row>
    <row r="54" spans="1:39" ht="14.25" customHeight="1">
      <c r="A54" s="271"/>
      <c r="B54" s="381" t="s">
        <v>967</v>
      </c>
      <c r="C54" s="382" t="s">
        <v>888</v>
      </c>
      <c r="D54" s="387">
        <v>1.9759000000000001E-3</v>
      </c>
      <c r="E54" s="387"/>
      <c r="F54" s="387">
        <v>0.95466472030000005</v>
      </c>
      <c r="G54" s="387">
        <v>0.66689976780000004</v>
      </c>
      <c r="H54" s="387">
        <v>2.75954E-3</v>
      </c>
      <c r="I54" s="387">
        <v>0.13238436740000001</v>
      </c>
      <c r="J54" s="387"/>
      <c r="K54" s="387">
        <v>3.5473638599999996E-2</v>
      </c>
      <c r="L54" s="387">
        <v>1.1272581662999999</v>
      </c>
      <c r="M54" s="387">
        <v>1.4343655E-2</v>
      </c>
      <c r="N54" s="303">
        <f>294310.88/(10^8)</f>
        <v>2.9431088000000001E-3</v>
      </c>
      <c r="O54" s="303"/>
      <c r="P54" s="303">
        <f>46605184.88/(10^8)</f>
        <v>0.4660518488</v>
      </c>
      <c r="Q54" s="303">
        <f>2997093.53/(10^8)</f>
        <v>2.9970935299999998E-2</v>
      </c>
      <c r="R54" s="303">
        <f>7067435.96/(10^8)</f>
        <v>7.06743596E-2</v>
      </c>
      <c r="S54" s="303">
        <f>8327079.39/(10^8)</f>
        <v>8.3270793900000001E-2</v>
      </c>
      <c r="T54" s="303"/>
      <c r="U54" s="303">
        <f>4406445.01/(10^8)</f>
        <v>4.4064450099999999E-2</v>
      </c>
      <c r="V54" s="303">
        <f>66700456.12/(10^8)</f>
        <v>0.66700456119999996</v>
      </c>
      <c r="W54" s="303">
        <f>6223108.05/(10^8)</f>
        <v>6.2231080500000001E-2</v>
      </c>
      <c r="X54" s="299">
        <v>-0.4536</v>
      </c>
      <c r="Y54" s="271"/>
      <c r="Z54" s="271"/>
      <c r="AA54" s="271"/>
      <c r="AB54" s="271"/>
      <c r="AC54" s="271"/>
      <c r="AD54" s="271"/>
      <c r="AE54" s="271"/>
      <c r="AF54" s="271"/>
      <c r="AG54" s="271"/>
      <c r="AH54" s="271"/>
      <c r="AI54" s="271"/>
      <c r="AJ54" s="271"/>
      <c r="AK54" s="271"/>
      <c r="AL54" s="271"/>
      <c r="AM54" s="271"/>
    </row>
    <row r="55" spans="1:39" ht="14.25" customHeight="1">
      <c r="A55" s="271"/>
      <c r="B55" s="381" t="s">
        <v>968</v>
      </c>
      <c r="C55" s="382" t="s">
        <v>889</v>
      </c>
      <c r="D55" s="387">
        <v>8.7593141400000005E-2</v>
      </c>
      <c r="E55" s="387"/>
      <c r="F55" s="387">
        <v>2.4967113342</v>
      </c>
      <c r="G55" s="387">
        <v>7.3849826199999996E-2</v>
      </c>
      <c r="H55" s="387">
        <v>8.0964062177000002</v>
      </c>
      <c r="I55" s="387">
        <v>0.17839977210000002</v>
      </c>
      <c r="J55" s="387"/>
      <c r="K55" s="387"/>
      <c r="L55" s="387">
        <v>10.859110465399999</v>
      </c>
      <c r="M55" s="387">
        <v>7.7294889845000005</v>
      </c>
      <c r="N55" s="303">
        <f>588763.01/(10^8)</f>
        <v>5.8876301000000001E-3</v>
      </c>
      <c r="O55" s="303"/>
      <c r="P55" s="303">
        <f>109871621.87/(10^8)</f>
        <v>1.0987162187000001</v>
      </c>
      <c r="Q55" s="303">
        <f>6575474.6/(10^8)</f>
        <v>6.5754746000000003E-2</v>
      </c>
      <c r="R55" s="303">
        <f>884881924.86/(10^8)</f>
        <v>8.8488192485999999</v>
      </c>
      <c r="S55" s="303">
        <f>3459915.87/(10^8)</f>
        <v>3.45991587E-2</v>
      </c>
      <c r="T55" s="303"/>
      <c r="U55" s="303"/>
      <c r="V55" s="303">
        <f>998802225.61/(10^8)</f>
        <v>9.9880222561000007</v>
      </c>
      <c r="W55" s="303">
        <f>718910405.38/(10^8)</f>
        <v>7.1891040538000004</v>
      </c>
      <c r="X55" s="299">
        <v>0.91269999999999996</v>
      </c>
      <c r="Y55" s="271"/>
      <c r="Z55" s="271"/>
      <c r="AA55" s="271"/>
      <c r="AB55" s="271"/>
      <c r="AC55" s="271"/>
      <c r="AD55" s="271"/>
      <c r="AE55" s="271"/>
      <c r="AF55" s="271"/>
      <c r="AG55" s="271"/>
      <c r="AH55" s="271"/>
      <c r="AI55" s="271"/>
      <c r="AJ55" s="271"/>
      <c r="AK55" s="271"/>
      <c r="AL55" s="271"/>
      <c r="AM55" s="271"/>
    </row>
    <row r="56" spans="1:39" ht="14.25" customHeight="1">
      <c r="A56" s="271"/>
      <c r="B56" s="381" t="s">
        <v>969</v>
      </c>
      <c r="C56" s="382" t="s">
        <v>890</v>
      </c>
      <c r="D56" s="387">
        <v>0.9400448037000001</v>
      </c>
      <c r="E56" s="387"/>
      <c r="F56" s="387">
        <v>7.3867026111000005</v>
      </c>
      <c r="G56" s="387">
        <v>8.9775604199999998E-2</v>
      </c>
      <c r="H56" s="387">
        <v>0.63694787600000002</v>
      </c>
      <c r="I56" s="387"/>
      <c r="J56" s="387"/>
      <c r="K56" s="387"/>
      <c r="L56" s="387">
        <v>8.9636952908000005</v>
      </c>
      <c r="M56" s="387">
        <v>0.39214937080000001</v>
      </c>
      <c r="N56" s="303">
        <f>41856594.51/(10^8)</f>
        <v>0.4185659451</v>
      </c>
      <c r="O56" s="303"/>
      <c r="P56" s="303">
        <f>587796985.5/(10^8)</f>
        <v>5.8779698549999999</v>
      </c>
      <c r="Q56" s="303">
        <f>16434205.15/(10^8)</f>
        <v>0.1643420515</v>
      </c>
      <c r="R56" s="303">
        <f>68388369.32/(10^8)</f>
        <v>0.68388369319999998</v>
      </c>
      <c r="S56" s="303"/>
      <c r="T56" s="303"/>
      <c r="U56" s="303"/>
      <c r="V56" s="303">
        <f>698041949.33/(10^8)</f>
        <v>6.9804194933000003</v>
      </c>
      <c r="W56" s="303">
        <f>69254888.15/(10^8)</f>
        <v>0.69254888150000005</v>
      </c>
      <c r="X56" s="299">
        <v>0.21060000000000001</v>
      </c>
      <c r="Y56" s="271"/>
      <c r="Z56" s="271"/>
      <c r="AA56" s="271"/>
      <c r="AB56" s="271"/>
      <c r="AC56" s="271"/>
      <c r="AD56" s="271"/>
      <c r="AE56" s="271"/>
      <c r="AF56" s="271"/>
      <c r="AG56" s="271"/>
      <c r="AH56" s="271"/>
      <c r="AI56" s="271"/>
      <c r="AJ56" s="271"/>
      <c r="AK56" s="271"/>
      <c r="AL56" s="271"/>
      <c r="AM56" s="271"/>
    </row>
    <row r="57" spans="1:39" ht="14.25" customHeight="1">
      <c r="A57" s="271"/>
      <c r="B57" s="381" t="s">
        <v>970</v>
      </c>
      <c r="C57" s="382" t="s">
        <v>891</v>
      </c>
      <c r="D57" s="387">
        <v>5.7272026300000001E-2</v>
      </c>
      <c r="E57" s="387"/>
      <c r="F57" s="387">
        <v>2.3175207879999999</v>
      </c>
      <c r="G57" s="387">
        <v>4.6089245000000001E-2</v>
      </c>
      <c r="H57" s="387">
        <v>1.8408457E-3</v>
      </c>
      <c r="I57" s="387">
        <v>6.4801859645000004</v>
      </c>
      <c r="J57" s="387">
        <v>0</v>
      </c>
      <c r="K57" s="387"/>
      <c r="L57" s="387">
        <v>8.8568196244999999</v>
      </c>
      <c r="M57" s="387">
        <v>7.7213429999999994E-4</v>
      </c>
      <c r="N57" s="303">
        <f>5549609.6/(10^8)</f>
        <v>5.5496095999999995E-2</v>
      </c>
      <c r="O57" s="303"/>
      <c r="P57" s="303">
        <f>165283144.01/(10^8)</f>
        <v>1.6528314400999999</v>
      </c>
      <c r="Q57" s="303">
        <f>3177371.83/(10^8)</f>
        <v>3.1773718300000003E-2</v>
      </c>
      <c r="R57" s="303">
        <f>1093071.06/(10^8)</f>
        <v>1.0930710600000001E-2</v>
      </c>
      <c r="S57" s="303">
        <f>9170874.98/(10^8)</f>
        <v>9.1708749800000003E-2</v>
      </c>
      <c r="T57" s="303">
        <f>0/(10^8)</f>
        <v>0</v>
      </c>
      <c r="U57" s="303"/>
      <c r="V57" s="303">
        <f>181096699.65/(10^8)</f>
        <v>1.8109669965000001</v>
      </c>
      <c r="W57" s="303">
        <f>938696.92/(10^8)</f>
        <v>9.3869692000000012E-3</v>
      </c>
      <c r="X57" s="299">
        <v>0.18820000000000001</v>
      </c>
      <c r="Y57" s="271"/>
      <c r="Z57" s="271"/>
      <c r="AA57" s="271"/>
      <c r="AB57" s="271"/>
      <c r="AC57" s="271"/>
      <c r="AD57" s="271"/>
      <c r="AE57" s="271"/>
      <c r="AF57" s="271"/>
      <c r="AG57" s="271"/>
      <c r="AH57" s="271"/>
      <c r="AI57" s="271"/>
      <c r="AJ57" s="271"/>
      <c r="AK57" s="271"/>
      <c r="AL57" s="271"/>
      <c r="AM57" s="271"/>
    </row>
    <row r="58" spans="1:39" ht="14.25" customHeight="1">
      <c r="A58" s="271"/>
      <c r="B58" s="381" t="s">
        <v>971</v>
      </c>
      <c r="C58" s="382" t="s">
        <v>892</v>
      </c>
      <c r="D58" s="387">
        <v>0.12960204119999999</v>
      </c>
      <c r="E58" s="387"/>
      <c r="F58" s="387">
        <v>2.7085854510000003</v>
      </c>
      <c r="G58" s="387">
        <v>0.32452655140000003</v>
      </c>
      <c r="H58" s="387">
        <v>1.0785245695000001</v>
      </c>
      <c r="I58" s="387">
        <v>0.28769183260000003</v>
      </c>
      <c r="J58" s="387"/>
      <c r="K58" s="387">
        <v>1.1596554800000001E-2</v>
      </c>
      <c r="L58" s="387">
        <v>4.2160004491</v>
      </c>
      <c r="M58" s="387">
        <v>1.0710939038</v>
      </c>
      <c r="N58" s="303">
        <f>13305556.4/(10^8)</f>
        <v>0.13305556400000002</v>
      </c>
      <c r="O58" s="303"/>
      <c r="P58" s="303">
        <f>239077174.72/(10^8)</f>
        <v>2.3907717472000001</v>
      </c>
      <c r="Q58" s="303">
        <f>27327702.96/(10^8)</f>
        <v>0.2732770296</v>
      </c>
      <c r="R58" s="303">
        <f>72751586.67/(10^8)</f>
        <v>0.72751586670000001</v>
      </c>
      <c r="S58" s="303">
        <f>25894141.04/(10^8)</f>
        <v>0.25894141040000002</v>
      </c>
      <c r="T58" s="303"/>
      <c r="U58" s="303">
        <f>591923.44/(10^8)</f>
        <v>5.919234399999999E-3</v>
      </c>
      <c r="V58" s="303">
        <f>351620382.27/(10^8)</f>
        <v>3.5162038226999996</v>
      </c>
      <c r="W58" s="303">
        <f>72089170.02/(10^8)</f>
        <v>0.72089170019999993</v>
      </c>
      <c r="X58" s="299">
        <v>9.3799999999999994E-2</v>
      </c>
      <c r="Y58" s="271"/>
      <c r="Z58" s="271"/>
      <c r="AA58" s="271"/>
      <c r="AB58" s="271"/>
      <c r="AC58" s="271"/>
      <c r="AD58" s="271"/>
      <c r="AE58" s="271"/>
      <c r="AF58" s="271"/>
      <c r="AG58" s="271"/>
      <c r="AH58" s="271"/>
      <c r="AI58" s="271"/>
      <c r="AJ58" s="271"/>
      <c r="AK58" s="271"/>
      <c r="AL58" s="271"/>
      <c r="AM58" s="271"/>
    </row>
    <row r="59" spans="1:39" ht="14.25" customHeight="1">
      <c r="A59" s="271"/>
      <c r="B59" s="381" t="s">
        <v>972</v>
      </c>
      <c r="C59" s="382" t="s">
        <v>893</v>
      </c>
      <c r="D59" s="387">
        <v>8.0954279000000004E-3</v>
      </c>
      <c r="E59" s="387"/>
      <c r="F59" s="387">
        <v>1.3441125947999999</v>
      </c>
      <c r="G59" s="387">
        <v>3.3009999999999997E-5</v>
      </c>
      <c r="H59" s="387">
        <v>6.8176569999999995E-3</v>
      </c>
      <c r="I59" s="387"/>
      <c r="J59" s="387"/>
      <c r="K59" s="387"/>
      <c r="L59" s="387">
        <v>1.3590256797</v>
      </c>
      <c r="M59" s="387">
        <v>6.8176569999999995E-3</v>
      </c>
      <c r="N59" s="303">
        <f>485628.82/(10^8)</f>
        <v>4.8562882000000003E-3</v>
      </c>
      <c r="O59" s="303"/>
      <c r="P59" s="303">
        <f>98985971.98/(10^8)</f>
        <v>0.98985971980000009</v>
      </c>
      <c r="Q59" s="303">
        <f>401496.95/(10^8)</f>
        <v>4.0149694999999999E-3</v>
      </c>
      <c r="R59" s="303">
        <f>3388444.9/(10^8)</f>
        <v>3.3884448999999997E-2</v>
      </c>
      <c r="S59" s="303"/>
      <c r="T59" s="303"/>
      <c r="U59" s="303"/>
      <c r="V59" s="303">
        <f>102860045.7/(10^8)</f>
        <v>1.028600457</v>
      </c>
      <c r="W59" s="303">
        <f>3388444.9/(10^8)</f>
        <v>3.3884448999999997E-2</v>
      </c>
      <c r="X59" s="299">
        <v>0.3619</v>
      </c>
      <c r="Y59" s="271"/>
      <c r="Z59" s="271"/>
      <c r="AA59" s="271"/>
      <c r="AB59" s="271"/>
      <c r="AC59" s="271"/>
      <c r="AD59" s="271"/>
      <c r="AE59" s="271"/>
      <c r="AF59" s="271"/>
      <c r="AG59" s="271"/>
      <c r="AH59" s="271"/>
      <c r="AI59" s="271"/>
      <c r="AJ59" s="271"/>
      <c r="AK59" s="271"/>
      <c r="AL59" s="271"/>
      <c r="AM59" s="271"/>
    </row>
    <row r="60" spans="1:39" ht="14.25" customHeight="1">
      <c r="A60" s="271"/>
      <c r="B60" s="381" t="s">
        <v>973</v>
      </c>
      <c r="C60" s="382" t="s">
        <v>894</v>
      </c>
      <c r="D60" s="387">
        <v>0</v>
      </c>
      <c r="E60" s="387"/>
      <c r="F60" s="387">
        <v>35.282370900499998</v>
      </c>
      <c r="G60" s="387">
        <v>6.8306985471999999</v>
      </c>
      <c r="H60" s="387"/>
      <c r="I60" s="387"/>
      <c r="J60" s="387"/>
      <c r="K60" s="387"/>
      <c r="L60" s="387">
        <v>35.282370900499998</v>
      </c>
      <c r="M60" s="387">
        <v>0</v>
      </c>
      <c r="N60" s="303">
        <f>0/(10^8)</f>
        <v>0</v>
      </c>
      <c r="O60" s="303"/>
      <c r="P60" s="303">
        <f>2987389774.16/(10^8)</f>
        <v>29.873897741599997</v>
      </c>
      <c r="Q60" s="303">
        <f>877373836.82/(10^8)</f>
        <v>8.7737383682000001</v>
      </c>
      <c r="R60" s="303"/>
      <c r="S60" s="303"/>
      <c r="T60" s="303"/>
      <c r="U60" s="303"/>
      <c r="V60" s="303">
        <f>2987389774.16/(10^8)</f>
        <v>29.873897741599997</v>
      </c>
      <c r="W60" s="303"/>
      <c r="X60" s="299">
        <v>6.7100000000000007E-2</v>
      </c>
      <c r="Y60" s="271"/>
      <c r="Z60" s="271"/>
      <c r="AA60" s="271"/>
      <c r="AB60" s="271"/>
      <c r="AC60" s="271"/>
      <c r="AD60" s="271"/>
      <c r="AE60" s="271"/>
      <c r="AF60" s="271"/>
      <c r="AG60" s="271"/>
      <c r="AH60" s="271"/>
      <c r="AI60" s="271"/>
      <c r="AJ60" s="271"/>
      <c r="AK60" s="271"/>
      <c r="AL60" s="271"/>
      <c r="AM60" s="271"/>
    </row>
    <row r="61" spans="1:39" ht="14.25" customHeight="1">
      <c r="A61" s="271"/>
      <c r="B61" s="381" t="s">
        <v>974</v>
      </c>
      <c r="C61" s="382" t="s">
        <v>895</v>
      </c>
      <c r="D61" s="387">
        <v>3.0967224518999998</v>
      </c>
      <c r="E61" s="387"/>
      <c r="F61" s="387">
        <v>110.41988713049999</v>
      </c>
      <c r="G61" s="387">
        <v>0.89147376690000002</v>
      </c>
      <c r="H61" s="387">
        <v>5.9886677657000007</v>
      </c>
      <c r="I61" s="387">
        <v>3.2087588102</v>
      </c>
      <c r="J61" s="387">
        <v>0.68234072060000006</v>
      </c>
      <c r="K61" s="387">
        <v>1.0312792181999999</v>
      </c>
      <c r="L61" s="387">
        <v>124.42765609709998</v>
      </c>
      <c r="M61" s="387">
        <v>5.5368820354999997</v>
      </c>
      <c r="N61" s="303">
        <f>271931756.76/(10^8)</f>
        <v>2.7193175676000001</v>
      </c>
      <c r="O61" s="303"/>
      <c r="P61" s="303">
        <f>9774640078.63/(10^8)</f>
        <v>97.746400786299986</v>
      </c>
      <c r="Q61" s="303">
        <f>263536364.96/(10^8)</f>
        <v>2.6353636495999999</v>
      </c>
      <c r="R61" s="303">
        <f>521707241.26/(10^8)</f>
        <v>5.2170724126000003</v>
      </c>
      <c r="S61" s="303">
        <f>273009213.5/(10^8)</f>
        <v>2.730092135</v>
      </c>
      <c r="T61" s="303">
        <f>55186732.22/(10^8)</f>
        <v>0.55186732220000001</v>
      </c>
      <c r="U61" s="303">
        <f>77200143.52/(10^8)</f>
        <v>0.77200143519999997</v>
      </c>
      <c r="V61" s="303">
        <f>10973675165.89/(10^8)</f>
        <v>109.73675165889999</v>
      </c>
      <c r="W61" s="303">
        <f>472021357.5/(10^8)</f>
        <v>4.7202135749999998</v>
      </c>
      <c r="X61" s="299">
        <v>6.5100000000000005E-2</v>
      </c>
      <c r="Y61" s="271"/>
      <c r="Z61" s="271"/>
      <c r="AA61" s="271"/>
      <c r="AB61" s="271"/>
      <c r="AC61" s="271"/>
      <c r="AD61" s="271"/>
      <c r="AE61" s="271"/>
      <c r="AF61" s="271"/>
      <c r="AG61" s="271"/>
      <c r="AH61" s="271"/>
      <c r="AI61" s="271"/>
      <c r="AJ61" s="271"/>
      <c r="AK61" s="271"/>
      <c r="AL61" s="271"/>
      <c r="AM61" s="271"/>
    </row>
    <row r="62" spans="1:39" ht="14.25" customHeight="1">
      <c r="A62" s="271"/>
      <c r="B62" s="381" t="s">
        <v>64</v>
      </c>
      <c r="C62" s="382" t="s">
        <v>896</v>
      </c>
      <c r="D62" s="387">
        <v>1.3696499794999999</v>
      </c>
      <c r="E62" s="387"/>
      <c r="F62" s="387">
        <v>63.702156875</v>
      </c>
      <c r="G62" s="387">
        <v>2.1140426344000001</v>
      </c>
      <c r="H62" s="387">
        <v>132.55550871439999</v>
      </c>
      <c r="I62" s="387">
        <v>4.9445439656000003</v>
      </c>
      <c r="J62" s="387">
        <v>38.056603545999998</v>
      </c>
      <c r="K62" s="387">
        <v>3.9641765239</v>
      </c>
      <c r="L62" s="387">
        <v>244.59263960439998</v>
      </c>
      <c r="M62" s="387">
        <v>865.04852561960001</v>
      </c>
      <c r="N62" s="303">
        <f>130812851.64/(10^8)</f>
        <v>1.3081285164000001</v>
      </c>
      <c r="O62" s="303"/>
      <c r="P62" s="303">
        <f>5195321082.81/(10^8)</f>
        <v>51.953210828100005</v>
      </c>
      <c r="Q62" s="303">
        <f>634789612.92/(10^8)</f>
        <v>6.3478961291999996</v>
      </c>
      <c r="R62" s="303">
        <f>7059425855.52/(10^8)</f>
        <v>70.5942585552</v>
      </c>
      <c r="S62" s="303">
        <f>38983512.54/(10^8)</f>
        <v>0.38983512539999998</v>
      </c>
      <c r="T62" s="303">
        <f>2156642468.35/(10^8)</f>
        <v>21.566424683499999</v>
      </c>
      <c r="U62" s="303">
        <f>327471741.41/(10^8)</f>
        <v>3.2747174141000004</v>
      </c>
      <c r="V62" s="303">
        <f>14908657512.27/(10^8)</f>
        <v>149.0865751227</v>
      </c>
      <c r="W62" s="303">
        <f>16734579956.95/(10^8)</f>
        <v>167.3457995695</v>
      </c>
      <c r="X62" s="299">
        <v>0.38679999999999998</v>
      </c>
      <c r="Y62" s="271"/>
      <c r="Z62" s="271"/>
      <c r="AA62" s="271"/>
      <c r="AB62" s="271"/>
      <c r="AC62" s="271"/>
      <c r="AD62" s="271"/>
      <c r="AE62" s="271"/>
      <c r="AF62" s="271"/>
      <c r="AG62" s="271"/>
      <c r="AH62" s="271"/>
      <c r="AI62" s="271"/>
      <c r="AJ62" s="271"/>
      <c r="AK62" s="271"/>
      <c r="AL62" s="271"/>
      <c r="AM62" s="271"/>
    </row>
    <row r="63" spans="1:39" ht="14.25" customHeight="1">
      <c r="A63" s="271"/>
      <c r="B63" s="383" t="s">
        <v>975</v>
      </c>
      <c r="C63" s="382" t="s">
        <v>897</v>
      </c>
      <c r="D63" s="387">
        <v>190.17277491459998</v>
      </c>
      <c r="E63" s="387">
        <v>13332.2573016724</v>
      </c>
      <c r="F63" s="387">
        <v>6721.6799188614004</v>
      </c>
      <c r="G63" s="387">
        <v>584.54785199669993</v>
      </c>
      <c r="H63" s="387">
        <v>856.0933628816</v>
      </c>
      <c r="I63" s="387">
        <v>172.54120403099998</v>
      </c>
      <c r="J63" s="387">
        <v>65.492028213899999</v>
      </c>
      <c r="K63" s="387">
        <v>43.003464298400004</v>
      </c>
      <c r="L63" s="387">
        <v>21381.240054873302</v>
      </c>
      <c r="M63" s="387">
        <v>1268.0589492612</v>
      </c>
      <c r="N63" s="303">
        <f>17132037031.51/(10^8)</f>
        <v>171.32037031510001</v>
      </c>
      <c r="O63" s="303">
        <f>1257183973374.47/(10^8)</f>
        <v>12571.8397337447</v>
      </c>
      <c r="P63" s="303">
        <f>605429825478.71/(10^8)</f>
        <v>6054.2982547870997</v>
      </c>
      <c r="Q63" s="303">
        <f>56272788548.61/(10^8)</f>
        <v>562.72788548610004</v>
      </c>
      <c r="R63" s="303">
        <f>52451012031.03/(10^8)</f>
        <v>524.51012031029995</v>
      </c>
      <c r="S63" s="303">
        <f>12834121653.96/(10^8)</f>
        <v>128.3412165396</v>
      </c>
      <c r="T63" s="303">
        <f>4917459633.52/(10^8)</f>
        <v>49.174596335200008</v>
      </c>
      <c r="U63" s="303">
        <f>3989483693.63/(10^8)</f>
        <v>39.894836936300003</v>
      </c>
      <c r="V63" s="303">
        <f>1953937912896.83/(10^8)</f>
        <v>19539.379128968299</v>
      </c>
      <c r="W63" s="303">
        <f>47606216238.31/(10^8)</f>
        <v>476.06216238309997</v>
      </c>
      <c r="X63" s="299">
        <v>1.0999999999999999E-2</v>
      </c>
      <c r="Y63" s="271"/>
      <c r="Z63" s="271"/>
      <c r="AA63" s="271"/>
      <c r="AB63" s="271"/>
      <c r="AC63" s="271"/>
      <c r="AD63" s="271"/>
      <c r="AE63" s="271"/>
      <c r="AF63" s="271"/>
      <c r="AG63" s="271"/>
      <c r="AH63" s="271"/>
      <c r="AI63" s="271"/>
      <c r="AJ63" s="271"/>
      <c r="AK63" s="271"/>
      <c r="AL63" s="271"/>
      <c r="AM63" s="271"/>
    </row>
    <row r="64" spans="1:39" ht="14.25" customHeight="1">
      <c r="A64" s="271"/>
      <c r="B64" s="384" t="s">
        <v>976</v>
      </c>
      <c r="C64" s="382" t="s">
        <v>898</v>
      </c>
      <c r="D64" s="387">
        <v>36.510367163399998</v>
      </c>
      <c r="E64" s="387">
        <v>0</v>
      </c>
      <c r="F64" s="387">
        <v>1671.0807852157</v>
      </c>
      <c r="G64" s="387">
        <v>192.12048447410001</v>
      </c>
      <c r="H64" s="387">
        <v>604.55850645660007</v>
      </c>
      <c r="I64" s="387">
        <v>98.829765359899994</v>
      </c>
      <c r="J64" s="387"/>
      <c r="K64" s="387">
        <v>8.0638891412000007</v>
      </c>
      <c r="L64" s="387">
        <v>2419.0433133368001</v>
      </c>
      <c r="M64" s="387">
        <v>1025.9113654174</v>
      </c>
      <c r="N64" s="303">
        <f>3122991426.95/(10^8)</f>
        <v>31.229914269499996</v>
      </c>
      <c r="O64" s="303"/>
      <c r="P64" s="303">
        <f>163449962100.32/(10^8)</f>
        <v>1634.4996210032</v>
      </c>
      <c r="Q64" s="303">
        <f>22192906615.32/(10^8)</f>
        <v>221.92906615319998</v>
      </c>
      <c r="R64" s="303">
        <f>36231628755.21/(10^8)</f>
        <v>362.31628755209999</v>
      </c>
      <c r="S64" s="303">
        <f>5750326656.43/(10^8)</f>
        <v>57.503266564300006</v>
      </c>
      <c r="T64" s="303"/>
      <c r="U64" s="303">
        <f>1953150101.56/(10^8)</f>
        <v>19.5315010156</v>
      </c>
      <c r="V64" s="303">
        <f>210508059040.47/(10^8)</f>
        <v>2105.0805904047002</v>
      </c>
      <c r="W64" s="303">
        <f>32432502131.91/(10^8)</f>
        <v>324.32502131910002</v>
      </c>
      <c r="X64" s="299">
        <v>6.9800000000000001E-2</v>
      </c>
      <c r="Y64" s="271"/>
      <c r="Z64" s="271"/>
      <c r="AA64" s="271"/>
      <c r="AB64" s="271"/>
      <c r="AC64" s="271"/>
      <c r="AD64" s="271"/>
      <c r="AE64" s="271"/>
      <c r="AF64" s="271"/>
      <c r="AG64" s="271"/>
      <c r="AH64" s="271"/>
      <c r="AI64" s="271"/>
      <c r="AJ64" s="271"/>
      <c r="AK64" s="271"/>
      <c r="AL64" s="271"/>
      <c r="AM64" s="271"/>
    </row>
    <row r="65" spans="1:39" ht="14.25" customHeight="1">
      <c r="A65" s="271"/>
      <c r="B65" s="384" t="s">
        <v>977</v>
      </c>
      <c r="C65" s="382" t="s">
        <v>899</v>
      </c>
      <c r="D65" s="387"/>
      <c r="E65" s="387"/>
      <c r="F65" s="387"/>
      <c r="G65" s="387"/>
      <c r="H65" s="387">
        <v>7.8135594565000002</v>
      </c>
      <c r="I65" s="387"/>
      <c r="J65" s="387"/>
      <c r="K65" s="387"/>
      <c r="L65" s="387">
        <v>7.8135594565000002</v>
      </c>
      <c r="M65" s="387">
        <v>7.7588012478000001</v>
      </c>
      <c r="N65" s="303"/>
      <c r="O65" s="303"/>
      <c r="P65" s="303"/>
      <c r="Q65" s="303"/>
      <c r="R65" s="303">
        <f>154781663.33/(10^8)</f>
        <v>1.5478166333000001</v>
      </c>
      <c r="S65" s="303"/>
      <c r="T65" s="303"/>
      <c r="U65" s="303"/>
      <c r="V65" s="303">
        <f>154781663.33/(10^8)</f>
        <v>1.5478166333000001</v>
      </c>
      <c r="W65" s="303">
        <f>130233044.88/(10^8)</f>
        <v>1.3023304488</v>
      </c>
      <c r="X65" s="299">
        <v>0.21029999999999999</v>
      </c>
      <c r="Y65" s="271"/>
      <c r="Z65" s="271"/>
      <c r="AA65" s="271"/>
      <c r="AB65" s="271"/>
      <c r="AC65" s="271"/>
      <c r="AD65" s="271"/>
      <c r="AE65" s="271"/>
      <c r="AF65" s="271"/>
      <c r="AG65" s="271"/>
      <c r="AH65" s="271"/>
      <c r="AI65" s="271"/>
      <c r="AJ65" s="271"/>
      <c r="AK65" s="271"/>
      <c r="AL65" s="271"/>
      <c r="AM65" s="271"/>
    </row>
    <row r="66" spans="1:39" ht="14.25" customHeight="1">
      <c r="A66" s="271"/>
      <c r="B66" s="384" t="s">
        <v>978</v>
      </c>
      <c r="C66" s="382" t="s">
        <v>900</v>
      </c>
      <c r="D66" s="387">
        <v>0</v>
      </c>
      <c r="E66" s="387"/>
      <c r="F66" s="387">
        <v>0</v>
      </c>
      <c r="G66" s="387">
        <v>0</v>
      </c>
      <c r="H66" s="387">
        <v>2.1986884817000001</v>
      </c>
      <c r="I66" s="387">
        <v>0</v>
      </c>
      <c r="J66" s="387">
        <v>0</v>
      </c>
      <c r="K66" s="387">
        <v>0</v>
      </c>
      <c r="L66" s="387">
        <v>2.1986884817000001</v>
      </c>
      <c r="M66" s="387">
        <v>0</v>
      </c>
      <c r="N66" s="303">
        <f>0/(10^8)</f>
        <v>0</v>
      </c>
      <c r="O66" s="303"/>
      <c r="P66" s="303">
        <f>0/(10^8)</f>
        <v>0</v>
      </c>
      <c r="Q66" s="303">
        <f>0/(10^8)</f>
        <v>0</v>
      </c>
      <c r="R66" s="303">
        <f>200552588.72/(10^8)</f>
        <v>2.0055258872000001</v>
      </c>
      <c r="S66" s="303">
        <f>0/(10^8)</f>
        <v>0</v>
      </c>
      <c r="T66" s="303">
        <f>0/(10^8)</f>
        <v>0</v>
      </c>
      <c r="U66" s="303">
        <f>0/(10^8)</f>
        <v>0</v>
      </c>
      <c r="V66" s="303">
        <f>200552588.72/(10^8)</f>
        <v>2.0055258872000001</v>
      </c>
      <c r="W66" s="303">
        <f>0/(10^8)</f>
        <v>0</v>
      </c>
      <c r="X66" s="299">
        <v>-0.14560000000000001</v>
      </c>
      <c r="Y66" s="271"/>
      <c r="Z66" s="271"/>
      <c r="AA66" s="271"/>
      <c r="AB66" s="271"/>
      <c r="AC66" s="271"/>
      <c r="AD66" s="271"/>
      <c r="AE66" s="271"/>
      <c r="AF66" s="271"/>
      <c r="AG66" s="271"/>
      <c r="AH66" s="271"/>
      <c r="AI66" s="271"/>
      <c r="AJ66" s="271"/>
      <c r="AK66" s="271"/>
      <c r="AL66" s="271"/>
      <c r="AM66" s="271"/>
    </row>
    <row r="67" spans="1:39" ht="14.25" customHeight="1">
      <c r="A67" s="271"/>
      <c r="B67" s="280"/>
      <c r="C67" s="280"/>
      <c r="D67" s="280"/>
      <c r="E67" s="280"/>
      <c r="F67" s="302"/>
      <c r="G67" s="271"/>
      <c r="H67" s="302"/>
      <c r="I67" s="302"/>
      <c r="J67" s="302"/>
      <c r="K67" s="302"/>
      <c r="L67" s="302"/>
      <c r="M67" s="271"/>
      <c r="N67" s="302"/>
      <c r="O67" s="302"/>
      <c r="P67" s="271"/>
      <c r="Q67" s="302"/>
      <c r="R67" s="302"/>
      <c r="S67" s="302"/>
      <c r="T67" s="302"/>
      <c r="U67" s="302"/>
      <c r="V67" s="302"/>
      <c r="W67" s="271"/>
      <c r="X67" s="302"/>
      <c r="Y67" s="271"/>
      <c r="Z67" s="271"/>
      <c r="AA67" s="271"/>
      <c r="AB67" s="271"/>
      <c r="AC67" s="271"/>
      <c r="AD67" s="271"/>
      <c r="AE67" s="271"/>
      <c r="AF67" s="271"/>
      <c r="AG67" s="271"/>
      <c r="AH67" s="271"/>
      <c r="AI67" s="271"/>
      <c r="AJ67" s="271"/>
      <c r="AK67" s="271"/>
      <c r="AL67" s="271"/>
      <c r="AM67" s="271"/>
    </row>
    <row r="68" spans="1:39" ht="14.25" customHeight="1">
      <c r="B68" s="218"/>
      <c r="C68" s="218"/>
      <c r="D68" s="218"/>
      <c r="E68" s="218"/>
      <c r="F68" s="302"/>
      <c r="G68" s="271"/>
      <c r="H68" s="302"/>
      <c r="I68" s="302"/>
      <c r="J68" s="302"/>
      <c r="K68" s="302"/>
      <c r="L68" s="302"/>
      <c r="M68" s="271"/>
      <c r="N68" s="302"/>
      <c r="O68" s="302"/>
      <c r="P68" s="271"/>
      <c r="Q68" s="302"/>
      <c r="R68" s="302"/>
      <c r="S68" s="302"/>
      <c r="T68" s="302"/>
      <c r="U68" s="302"/>
      <c r="V68" s="302"/>
      <c r="W68" s="271"/>
      <c r="X68" s="302"/>
    </row>
    <row r="69" spans="1:39" ht="14.25" customHeight="1">
      <c r="B69" s="306" t="s">
        <v>980</v>
      </c>
      <c r="C69" s="306"/>
      <c r="D69" s="306" t="s">
        <v>433</v>
      </c>
      <c r="E69" s="306" t="s">
        <v>986</v>
      </c>
      <c r="F69" s="343" t="s">
        <v>987</v>
      </c>
      <c r="G69" s="344" t="s">
        <v>988</v>
      </c>
      <c r="H69" s="343" t="s">
        <v>1027</v>
      </c>
      <c r="I69" s="343" t="s">
        <v>985</v>
      </c>
      <c r="J69" s="302"/>
      <c r="K69" s="302"/>
      <c r="L69" s="302"/>
      <c r="M69" s="271"/>
      <c r="N69" s="302"/>
      <c r="O69" s="302"/>
      <c r="P69" s="271"/>
      <c r="Q69" s="302"/>
      <c r="R69" s="302"/>
      <c r="S69" s="302"/>
      <c r="T69" s="302"/>
      <c r="U69" s="302"/>
      <c r="V69" s="302"/>
      <c r="W69" s="271"/>
      <c r="X69" s="302"/>
    </row>
    <row r="70" spans="1:39" ht="14.25" customHeight="1">
      <c r="B70" s="388" t="s">
        <v>981</v>
      </c>
      <c r="C70" s="389"/>
      <c r="D70" s="390"/>
      <c r="E70" s="389"/>
      <c r="F70" s="389">
        <f>F14</f>
        <v>1059.5550656629</v>
      </c>
      <c r="G70" s="389"/>
      <c r="H70" s="391">
        <f>F70</f>
        <v>1059.5550656629</v>
      </c>
      <c r="I70" s="392"/>
      <c r="J70" s="302"/>
      <c r="K70" s="302"/>
      <c r="L70" s="302"/>
      <c r="M70" s="271"/>
      <c r="N70" s="302"/>
      <c r="O70" s="302"/>
      <c r="P70" s="271"/>
      <c r="Q70" s="302"/>
      <c r="R70" s="302"/>
      <c r="S70" s="302"/>
      <c r="T70" s="302"/>
      <c r="U70" s="302"/>
      <c r="V70" s="302"/>
      <c r="W70" s="271"/>
      <c r="X70" s="302"/>
    </row>
    <row r="71" spans="1:39" ht="14.25" customHeight="1">
      <c r="B71" s="388" t="s">
        <v>168</v>
      </c>
      <c r="C71" s="389"/>
      <c r="D71" s="390"/>
      <c r="E71" s="389"/>
      <c r="F71" s="389">
        <f>F10</f>
        <v>1176.6762179672</v>
      </c>
      <c r="G71" s="389">
        <f>G10</f>
        <v>30.605205329099999</v>
      </c>
      <c r="H71" s="391">
        <f>F71-G71</f>
        <v>1146.0710126381</v>
      </c>
      <c r="I71" s="392"/>
      <c r="J71" s="302"/>
      <c r="K71" s="302"/>
      <c r="L71" s="302"/>
      <c r="M71" s="271"/>
      <c r="N71" s="302"/>
      <c r="O71" s="302"/>
      <c r="P71" s="271"/>
      <c r="Q71" s="302"/>
      <c r="R71" s="302"/>
      <c r="S71" s="302"/>
      <c r="T71" s="302"/>
      <c r="U71" s="302"/>
      <c r="V71" s="302"/>
      <c r="W71" s="271"/>
      <c r="X71" s="302"/>
    </row>
    <row r="72" spans="1:39" ht="14.25" customHeight="1">
      <c r="B72" s="388" t="s">
        <v>169</v>
      </c>
      <c r="C72" s="389"/>
      <c r="D72" s="390"/>
      <c r="E72" s="389"/>
      <c r="F72" s="389">
        <f>F26</f>
        <v>137.08420180639999</v>
      </c>
      <c r="G72" s="389">
        <f>G26</f>
        <v>2.3501790752999998</v>
      </c>
      <c r="H72" s="391">
        <f>F72-G72</f>
        <v>134.7340227311</v>
      </c>
      <c r="I72" s="392"/>
      <c r="J72" s="302"/>
      <c r="K72" s="302"/>
      <c r="L72" s="302"/>
      <c r="M72" s="271"/>
      <c r="N72" s="302"/>
      <c r="O72" s="302"/>
      <c r="P72" s="271"/>
      <c r="Q72" s="302"/>
      <c r="R72" s="302"/>
      <c r="S72" s="302"/>
      <c r="T72" s="302"/>
      <c r="U72" s="302"/>
      <c r="V72" s="302"/>
      <c r="W72" s="271"/>
      <c r="X72" s="302"/>
    </row>
    <row r="73" spans="1:39" ht="14.25" customHeight="1">
      <c r="B73" s="388" t="s">
        <v>170</v>
      </c>
      <c r="C73" s="389"/>
      <c r="D73" s="390"/>
      <c r="E73" s="389"/>
      <c r="F73" s="389">
        <f>F61+F19</f>
        <v>501.91735050880004</v>
      </c>
      <c r="G73" s="389">
        <f>G61+G19</f>
        <v>8.7312649188000009</v>
      </c>
      <c r="H73" s="391">
        <f>F73-G73</f>
        <v>493.18608559000006</v>
      </c>
      <c r="I73" s="392" t="s">
        <v>984</v>
      </c>
      <c r="J73" s="302"/>
      <c r="K73" s="302"/>
      <c r="L73" s="302"/>
      <c r="M73" s="271"/>
      <c r="N73" s="302"/>
      <c r="O73" s="302"/>
      <c r="P73" s="271"/>
      <c r="Q73" s="302"/>
      <c r="R73" s="302"/>
      <c r="S73" s="302"/>
      <c r="T73" s="302"/>
      <c r="U73" s="302"/>
      <c r="V73" s="302"/>
      <c r="W73" s="271"/>
      <c r="X73" s="302"/>
    </row>
    <row r="74" spans="1:39" ht="14.25" customHeight="1">
      <c r="B74" s="388" t="s">
        <v>991</v>
      </c>
      <c r="C74" s="389"/>
      <c r="D74" s="390"/>
      <c r="E74" s="389"/>
      <c r="F74" s="389">
        <f>F31+F32</f>
        <v>17.894379376300002</v>
      </c>
      <c r="G74" s="389">
        <f>G31+G32</f>
        <v>1.5309341087999999</v>
      </c>
      <c r="H74" s="391">
        <f>F74-G74</f>
        <v>16.363445267500001</v>
      </c>
      <c r="I74" s="392" t="s">
        <v>992</v>
      </c>
      <c r="J74" s="302"/>
      <c r="K74" s="302"/>
      <c r="L74" s="302"/>
      <c r="M74" s="271"/>
      <c r="N74" s="302"/>
      <c r="O74" s="302"/>
      <c r="P74" s="271"/>
      <c r="Q74" s="302"/>
      <c r="R74" s="302"/>
      <c r="S74" s="302"/>
      <c r="T74" s="302"/>
      <c r="U74" s="302"/>
      <c r="V74" s="302"/>
      <c r="W74" s="271"/>
      <c r="X74" s="302"/>
    </row>
    <row r="75" spans="1:39" ht="14.25" customHeight="1">
      <c r="B75" s="388" t="s">
        <v>513</v>
      </c>
      <c r="C75" s="389"/>
      <c r="D75" s="390"/>
      <c r="E75" s="389"/>
      <c r="F75" s="389"/>
      <c r="G75" s="389">
        <f>SUM(G71:G74)</f>
        <v>43.217583431999998</v>
      </c>
      <c r="H75" s="391">
        <f>G75</f>
        <v>43.217583431999998</v>
      </c>
      <c r="I75" s="392"/>
      <c r="J75" s="302"/>
      <c r="K75" s="302"/>
      <c r="L75" s="302"/>
      <c r="M75" s="271"/>
      <c r="N75" s="302"/>
      <c r="O75" s="302"/>
      <c r="P75" s="271"/>
      <c r="Q75" s="302"/>
      <c r="R75" s="302"/>
      <c r="S75" s="302"/>
      <c r="T75" s="302"/>
      <c r="U75" s="302"/>
      <c r="V75" s="302"/>
      <c r="W75" s="271"/>
      <c r="X75" s="302"/>
    </row>
    <row r="76" spans="1:39" ht="14.25" customHeight="1">
      <c r="B76" s="388" t="s">
        <v>979</v>
      </c>
      <c r="C76" s="389"/>
      <c r="D76" s="390"/>
      <c r="E76" s="389"/>
      <c r="F76" s="389">
        <f>F11</f>
        <v>2722.0434385192998</v>
      </c>
      <c r="G76" s="389"/>
      <c r="H76" s="391">
        <f>F76</f>
        <v>2722.0434385192998</v>
      </c>
      <c r="I76" s="392"/>
      <c r="J76" s="302"/>
      <c r="K76" s="302"/>
      <c r="L76" s="302"/>
      <c r="M76" s="271"/>
      <c r="N76" s="302"/>
      <c r="O76" s="302"/>
      <c r="P76" s="271"/>
      <c r="Q76" s="302"/>
      <c r="R76" s="302"/>
      <c r="S76" s="302"/>
      <c r="T76" s="302"/>
      <c r="U76" s="302"/>
      <c r="V76" s="302"/>
      <c r="W76" s="271"/>
      <c r="X76" s="302"/>
    </row>
    <row r="77" spans="1:39" ht="14.25" customHeight="1">
      <c r="B77" s="393" t="s">
        <v>632</v>
      </c>
      <c r="C77" s="394"/>
      <c r="D77" s="394"/>
      <c r="E77" s="394"/>
      <c r="F77" s="389">
        <f>L11</f>
        <v>2854.6640328407002</v>
      </c>
      <c r="G77" s="395"/>
      <c r="H77" s="391">
        <f>F77</f>
        <v>2854.6640328407002</v>
      </c>
      <c r="I77" s="392"/>
      <c r="J77" s="302"/>
      <c r="K77" s="302"/>
      <c r="L77" s="302"/>
      <c r="M77" s="271"/>
      <c r="N77" s="302"/>
      <c r="O77" s="302"/>
      <c r="P77" s="271"/>
      <c r="Q77" s="302"/>
      <c r="R77" s="302"/>
      <c r="S77" s="302"/>
      <c r="T77" s="302"/>
      <c r="U77" s="302"/>
      <c r="V77" s="302"/>
      <c r="W77" s="271"/>
      <c r="X77" s="302"/>
    </row>
    <row r="78" spans="1:39" ht="14.25" customHeight="1">
      <c r="B78" s="393" t="s">
        <v>433</v>
      </c>
      <c r="C78" s="394"/>
      <c r="D78" s="389">
        <f>D63</f>
        <v>190.17277491459998</v>
      </c>
      <c r="E78" s="394"/>
      <c r="F78" s="392"/>
      <c r="G78" s="395"/>
      <c r="H78" s="391">
        <f>D78</f>
        <v>190.17277491459998</v>
      </c>
      <c r="I78" s="392"/>
      <c r="J78" s="302"/>
      <c r="K78" s="302"/>
      <c r="L78" s="302"/>
      <c r="M78" s="271"/>
      <c r="N78" s="302"/>
      <c r="O78" s="302"/>
      <c r="P78" s="271"/>
      <c r="Q78" s="302"/>
      <c r="R78" s="302"/>
      <c r="S78" s="302"/>
      <c r="T78" s="302"/>
      <c r="U78" s="302"/>
      <c r="V78" s="302"/>
      <c r="W78" s="271"/>
      <c r="X78" s="302"/>
    </row>
    <row r="79" spans="1:39" ht="14.25" customHeight="1">
      <c r="B79" s="218"/>
      <c r="C79" s="218"/>
      <c r="D79" s="218"/>
      <c r="E79" s="218"/>
      <c r="F79" s="302"/>
      <c r="G79" s="271"/>
      <c r="H79" s="302"/>
      <c r="I79" s="302"/>
      <c r="J79" s="302"/>
      <c r="K79" s="302"/>
      <c r="L79" s="302"/>
      <c r="M79" s="271"/>
      <c r="N79" s="302"/>
      <c r="O79" s="302"/>
      <c r="P79" s="271"/>
      <c r="Q79" s="302"/>
      <c r="R79" s="302"/>
      <c r="S79" s="302"/>
      <c r="T79" s="302"/>
      <c r="U79" s="302"/>
      <c r="V79" s="302"/>
      <c r="W79" s="271"/>
      <c r="X79" s="302"/>
    </row>
    <row r="80" spans="1:39" ht="14.25" customHeight="1">
      <c r="B80" s="218"/>
      <c r="C80" s="218"/>
      <c r="D80" s="218"/>
      <c r="E80" s="218"/>
      <c r="F80" s="302"/>
      <c r="G80" s="271"/>
      <c r="H80" s="302"/>
      <c r="I80" s="302"/>
      <c r="J80" s="302"/>
      <c r="K80" s="302"/>
      <c r="L80" s="302"/>
      <c r="M80" s="271"/>
      <c r="N80" s="302"/>
      <c r="O80" s="302"/>
      <c r="P80" s="271"/>
      <c r="Q80" s="302"/>
      <c r="R80" s="302"/>
      <c r="S80" s="302"/>
      <c r="T80" s="302"/>
      <c r="U80" s="302"/>
      <c r="V80" s="302"/>
      <c r="W80" s="271"/>
      <c r="X80" s="302"/>
    </row>
    <row r="81" spans="2:24" ht="14.25" customHeight="1">
      <c r="B81" s="218"/>
      <c r="C81" s="218"/>
      <c r="D81" s="218"/>
      <c r="E81" s="218"/>
      <c r="F81" s="302">
        <f>F63-F10-F11-F14</f>
        <v>1763.4051967120001</v>
      </c>
      <c r="G81" s="271"/>
      <c r="H81" s="302"/>
      <c r="I81" s="302"/>
      <c r="J81" s="302"/>
      <c r="K81" s="302"/>
      <c r="L81" s="302"/>
      <c r="M81" s="271"/>
      <c r="N81" s="302"/>
      <c r="O81" s="302"/>
      <c r="P81" s="271"/>
      <c r="Q81" s="302"/>
      <c r="R81" s="302"/>
      <c r="S81" s="302"/>
      <c r="T81" s="302"/>
      <c r="U81" s="302"/>
      <c r="V81" s="302"/>
      <c r="W81" s="271"/>
      <c r="X81" s="302"/>
    </row>
    <row r="82" spans="2:24" ht="14.25" customHeight="1">
      <c r="B82" s="218"/>
      <c r="C82" s="218"/>
      <c r="D82" s="218"/>
      <c r="E82" s="218"/>
      <c r="F82" s="302"/>
      <c r="G82" s="271"/>
      <c r="H82" s="302"/>
      <c r="I82" s="302"/>
      <c r="J82" s="302"/>
      <c r="K82" s="302"/>
      <c r="L82" s="302"/>
      <c r="M82" s="271"/>
      <c r="N82" s="302"/>
      <c r="O82" s="302"/>
      <c r="P82" s="271"/>
      <c r="Q82" s="302"/>
      <c r="R82" s="302"/>
      <c r="S82" s="302"/>
      <c r="T82" s="302"/>
      <c r="U82" s="302"/>
      <c r="V82" s="302"/>
      <c r="W82" s="271"/>
      <c r="X82" s="302"/>
    </row>
    <row r="83" spans="2:24" ht="14.25" customHeight="1">
      <c r="B83" s="218"/>
      <c r="C83" s="218"/>
      <c r="D83" s="218"/>
      <c r="E83" s="218"/>
      <c r="F83" s="302"/>
      <c r="G83" s="271"/>
      <c r="H83" s="302"/>
      <c r="I83" s="302"/>
      <c r="J83" s="302"/>
      <c r="K83" s="302"/>
      <c r="L83" s="302"/>
      <c r="M83" s="271"/>
      <c r="N83" s="302"/>
      <c r="O83" s="302"/>
      <c r="P83" s="271"/>
      <c r="Q83" s="302"/>
      <c r="R83" s="302"/>
      <c r="S83" s="302"/>
      <c r="T83" s="302"/>
      <c r="U83" s="302"/>
      <c r="V83" s="302"/>
      <c r="W83" s="271"/>
      <c r="X83" s="302"/>
    </row>
    <row r="84" spans="2:24" ht="14.25" customHeight="1">
      <c r="B84" s="218"/>
      <c r="C84" s="218"/>
      <c r="D84" s="218"/>
      <c r="E84" s="218"/>
      <c r="F84" s="302"/>
      <c r="G84" s="271"/>
      <c r="H84" s="302"/>
      <c r="I84" s="302"/>
      <c r="J84" s="302"/>
      <c r="K84" s="302"/>
      <c r="L84" s="302"/>
      <c r="M84" s="271"/>
      <c r="N84" s="302"/>
      <c r="O84" s="302"/>
      <c r="P84" s="271"/>
      <c r="Q84" s="302"/>
      <c r="R84" s="302"/>
      <c r="S84" s="302"/>
      <c r="T84" s="302"/>
      <c r="U84" s="302"/>
      <c r="V84" s="302"/>
      <c r="W84" s="271"/>
      <c r="X84" s="302"/>
    </row>
    <row r="85" spans="2:24" ht="14.25" customHeight="1">
      <c r="B85" s="218"/>
      <c r="C85" s="218"/>
      <c r="D85" s="218"/>
      <c r="E85" s="218"/>
      <c r="F85" s="302"/>
      <c r="G85" s="271"/>
      <c r="H85" s="302"/>
      <c r="I85" s="302"/>
      <c r="J85" s="302"/>
      <c r="K85" s="302"/>
      <c r="L85" s="302"/>
      <c r="M85" s="271"/>
      <c r="N85" s="302"/>
      <c r="O85" s="302"/>
      <c r="P85" s="271"/>
      <c r="Q85" s="302"/>
      <c r="R85" s="302"/>
      <c r="S85" s="302"/>
      <c r="T85" s="302"/>
      <c r="U85" s="302"/>
      <c r="V85" s="302"/>
      <c r="W85" s="271"/>
      <c r="X85" s="302"/>
    </row>
    <row r="86" spans="2:24" ht="14.25" customHeight="1">
      <c r="B86" s="218"/>
      <c r="C86" s="218"/>
      <c r="D86" s="218"/>
      <c r="E86" s="218"/>
      <c r="F86" s="302"/>
      <c r="G86" s="271"/>
      <c r="H86" s="302"/>
      <c r="I86" s="302"/>
      <c r="J86" s="302"/>
      <c r="K86" s="302"/>
      <c r="L86" s="302"/>
      <c r="M86" s="271"/>
      <c r="N86" s="302"/>
      <c r="O86" s="302"/>
      <c r="P86" s="271"/>
      <c r="Q86" s="302"/>
      <c r="R86" s="302"/>
      <c r="S86" s="302"/>
      <c r="T86" s="302"/>
      <c r="U86" s="302"/>
      <c r="V86" s="302"/>
      <c r="W86" s="271"/>
      <c r="X86" s="302"/>
    </row>
    <row r="87" spans="2:24" ht="14.25" customHeight="1">
      <c r="B87" s="218"/>
      <c r="C87" s="218"/>
      <c r="D87" s="218"/>
      <c r="E87" s="218"/>
      <c r="F87" s="302"/>
      <c r="G87" s="271"/>
      <c r="H87" s="302"/>
      <c r="I87" s="302"/>
      <c r="J87" s="302"/>
      <c r="K87" s="302"/>
      <c r="L87" s="302"/>
      <c r="M87" s="271"/>
      <c r="N87" s="302"/>
      <c r="O87" s="302"/>
      <c r="P87" s="271"/>
      <c r="Q87" s="302"/>
      <c r="R87" s="302"/>
      <c r="S87" s="302"/>
      <c r="T87" s="302"/>
      <c r="U87" s="302"/>
      <c r="V87" s="302"/>
      <c r="W87" s="271"/>
      <c r="X87" s="302"/>
    </row>
    <row r="88" spans="2:24" ht="14.25" customHeight="1">
      <c r="B88" s="218"/>
      <c r="C88" s="218"/>
      <c r="D88" s="218"/>
      <c r="E88" s="218"/>
      <c r="F88" s="302"/>
      <c r="G88" s="271"/>
      <c r="H88" s="302"/>
      <c r="I88" s="302"/>
      <c r="J88" s="302"/>
      <c r="K88" s="302"/>
      <c r="L88" s="302"/>
      <c r="M88" s="271"/>
      <c r="N88" s="302"/>
      <c r="O88" s="302"/>
      <c r="P88" s="271"/>
      <c r="Q88" s="302"/>
      <c r="R88" s="302"/>
      <c r="S88" s="302"/>
      <c r="T88" s="302"/>
      <c r="U88" s="302"/>
      <c r="V88" s="302"/>
      <c r="W88" s="271"/>
      <c r="X88" s="302"/>
    </row>
    <row r="89" spans="2:24" ht="14.25" customHeight="1">
      <c r="B89" s="218"/>
      <c r="C89" s="218"/>
      <c r="D89" s="218"/>
      <c r="E89" s="218"/>
      <c r="F89" s="302"/>
      <c r="G89" s="271"/>
      <c r="H89" s="302"/>
      <c r="I89" s="302"/>
      <c r="J89" s="302"/>
      <c r="K89" s="302"/>
      <c r="L89" s="302"/>
      <c r="M89" s="271"/>
      <c r="N89" s="302"/>
      <c r="O89" s="302"/>
      <c r="P89" s="271"/>
      <c r="Q89" s="302"/>
      <c r="R89" s="302"/>
      <c r="S89" s="302"/>
      <c r="T89" s="302"/>
      <c r="U89" s="302"/>
      <c r="V89" s="302"/>
      <c r="W89" s="271"/>
      <c r="X89" s="302"/>
    </row>
    <row r="90" spans="2:24" ht="14.25" customHeight="1">
      <c r="B90" s="218"/>
      <c r="C90" s="218"/>
      <c r="D90" s="218"/>
      <c r="E90" s="218"/>
      <c r="F90" s="302"/>
      <c r="G90" s="271"/>
      <c r="H90" s="302"/>
      <c r="I90" s="302"/>
      <c r="J90" s="302"/>
      <c r="K90" s="302"/>
      <c r="L90" s="302"/>
      <c r="M90" s="271"/>
      <c r="N90" s="302"/>
      <c r="O90" s="302"/>
      <c r="P90" s="271"/>
      <c r="Q90" s="302"/>
      <c r="R90" s="302"/>
      <c r="S90" s="302"/>
      <c r="T90" s="302"/>
      <c r="U90" s="302"/>
      <c r="V90" s="302"/>
      <c r="W90" s="271"/>
      <c r="X90" s="302"/>
    </row>
    <row r="91" spans="2:24" ht="14.25" customHeight="1">
      <c r="B91" s="218"/>
      <c r="C91" s="218"/>
      <c r="D91" s="218"/>
      <c r="E91" s="218"/>
      <c r="F91" s="302"/>
      <c r="G91" s="271"/>
      <c r="H91" s="302"/>
      <c r="I91" s="302"/>
      <c r="J91" s="302"/>
      <c r="K91" s="302"/>
      <c r="L91" s="302"/>
      <c r="M91" s="271"/>
      <c r="N91" s="302"/>
      <c r="O91" s="302"/>
      <c r="P91" s="271"/>
      <c r="Q91" s="302"/>
      <c r="R91" s="302"/>
      <c r="S91" s="302"/>
      <c r="T91" s="302"/>
      <c r="U91" s="302"/>
      <c r="V91" s="302"/>
      <c r="W91" s="271"/>
      <c r="X91" s="302"/>
    </row>
  </sheetData>
  <mergeCells count="26">
    <mergeCell ref="T6:T7"/>
    <mergeCell ref="U6:U7"/>
    <mergeCell ref="V6:V7"/>
    <mergeCell ref="W6:W7"/>
    <mergeCell ref="M6:M7"/>
    <mergeCell ref="N6:N7"/>
    <mergeCell ref="O6:O7"/>
    <mergeCell ref="P6:P7"/>
    <mergeCell ref="R6:R7"/>
    <mergeCell ref="S6:S7"/>
    <mergeCell ref="L6:L7"/>
    <mergeCell ref="B2:X2"/>
    <mergeCell ref="B4:E4"/>
    <mergeCell ref="K4:N4"/>
    <mergeCell ref="B5:B7"/>
    <mergeCell ref="C5:C7"/>
    <mergeCell ref="D5:M5"/>
    <mergeCell ref="N5:W5"/>
    <mergeCell ref="X5:X7"/>
    <mergeCell ref="D6:D7"/>
    <mergeCell ref="E6:E7"/>
    <mergeCell ref="F6:F7"/>
    <mergeCell ref="H6:H7"/>
    <mergeCell ref="I6:I7"/>
    <mergeCell ref="J6:J7"/>
    <mergeCell ref="K6:K7"/>
  </mergeCells>
  <phoneticPr fontId="20" type="noConversion"/>
  <printOptions horizontalCentered="1"/>
  <pageMargins left="0.59527777777777779" right="0.27777777777777779" top="0.47625000000000001" bottom="0.19847222222222222" header="0" footer="0.19847222222222222"/>
  <pageSetup paperSize="9" scale="53" pageOrder="overThenDown" orientation="landscape" blackAndWhite="1" useFirstPageNumber="1" r:id="rId1"/>
  <headerFooter alignWithMargins="0"/>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24"/>
  <dimension ref="A1:AQ140"/>
  <sheetViews>
    <sheetView showGridLines="0" zoomScale="70" zoomScaleNormal="70" workbookViewId="0">
      <pane xSplit="3" ySplit="7" topLeftCell="D8" activePane="bottomRight" state="frozenSplit"/>
      <selection activeCell="K8" sqref="K8"/>
      <selection pane="topRight" activeCell="K8" sqref="K8"/>
      <selection pane="bottomLeft" activeCell="K8" sqref="K8"/>
      <selection pane="bottomRight" activeCell="K8" sqref="K8"/>
    </sheetView>
  </sheetViews>
  <sheetFormatPr defaultColWidth="9.44140625" defaultRowHeight="14.25" customHeight="1"/>
  <cols>
    <col min="1" max="1" width="1.44140625" style="273" customWidth="1"/>
    <col min="2" max="2" width="57.88671875" style="273" customWidth="1"/>
    <col min="3" max="3" width="5.88671875" style="273" customWidth="1"/>
    <col min="4" max="4" width="14.44140625" style="273" bestFit="1" customWidth="1"/>
    <col min="5" max="5" width="17.88671875" style="273" customWidth="1"/>
    <col min="6" max="12" width="12.33203125" style="273" customWidth="1"/>
    <col min="13" max="13" width="24.33203125" style="273" bestFit="1" customWidth="1"/>
    <col min="14" max="14" width="12.33203125" style="273" customWidth="1"/>
    <col min="15" max="15" width="15.44140625" style="273" bestFit="1" customWidth="1"/>
    <col min="16" max="24" width="12.33203125" style="273" customWidth="1"/>
    <col min="25" max="25" width="16.77734375" style="273" customWidth="1"/>
    <col min="26" max="26" width="15.6640625" style="273" customWidth="1"/>
    <col min="27" max="27" width="17" style="273" customWidth="1"/>
    <col min="28" max="28" width="15.44140625" style="273" customWidth="1"/>
    <col min="29" max="29" width="10.77734375" style="273" customWidth="1"/>
    <col min="30" max="30" width="11" style="273" customWidth="1"/>
    <col min="31" max="43" width="10.77734375" style="273" customWidth="1"/>
    <col min="44" max="256" width="9.44140625" style="273"/>
    <col min="257" max="257" width="1.44140625" style="273" customWidth="1"/>
    <col min="258" max="258" width="57.88671875" style="273" customWidth="1"/>
    <col min="259" max="259" width="5.88671875" style="273" customWidth="1"/>
    <col min="260" max="260" width="12.33203125" style="273" customWidth="1"/>
    <col min="261" max="261" width="17.88671875" style="273" customWidth="1"/>
    <col min="262" max="280" width="12.33203125" style="273" customWidth="1"/>
    <col min="281" max="281" width="16.77734375" style="273" customWidth="1"/>
    <col min="282" max="282" width="15.6640625" style="273" customWidth="1"/>
    <col min="283" max="283" width="17" style="273" customWidth="1"/>
    <col min="284" max="284" width="15.44140625" style="273" customWidth="1"/>
    <col min="285" max="285" width="10.77734375" style="273" customWidth="1"/>
    <col min="286" max="286" width="11" style="273" customWidth="1"/>
    <col min="287" max="299" width="10.77734375" style="273" customWidth="1"/>
    <col min="300" max="512" width="9.44140625" style="273"/>
    <col min="513" max="513" width="1.44140625" style="273" customWidth="1"/>
    <col min="514" max="514" width="57.88671875" style="273" customWidth="1"/>
    <col min="515" max="515" width="5.88671875" style="273" customWidth="1"/>
    <col min="516" max="516" width="12.33203125" style="273" customWidth="1"/>
    <col min="517" max="517" width="17.88671875" style="273" customWidth="1"/>
    <col min="518" max="536" width="12.33203125" style="273" customWidth="1"/>
    <col min="537" max="537" width="16.77734375" style="273" customWidth="1"/>
    <col min="538" max="538" width="15.6640625" style="273" customWidth="1"/>
    <col min="539" max="539" width="17" style="273" customWidth="1"/>
    <col min="540" max="540" width="15.44140625" style="273" customWidth="1"/>
    <col min="541" max="541" width="10.77734375" style="273" customWidth="1"/>
    <col min="542" max="542" width="11" style="273" customWidth="1"/>
    <col min="543" max="555" width="10.77734375" style="273" customWidth="1"/>
    <col min="556" max="768" width="9.44140625" style="273"/>
    <col min="769" max="769" width="1.44140625" style="273" customWidth="1"/>
    <col min="770" max="770" width="57.88671875" style="273" customWidth="1"/>
    <col min="771" max="771" width="5.88671875" style="273" customWidth="1"/>
    <col min="772" max="772" width="12.33203125" style="273" customWidth="1"/>
    <col min="773" max="773" width="17.88671875" style="273" customWidth="1"/>
    <col min="774" max="792" width="12.33203125" style="273" customWidth="1"/>
    <col min="793" max="793" width="16.77734375" style="273" customWidth="1"/>
    <col min="794" max="794" width="15.6640625" style="273" customWidth="1"/>
    <col min="795" max="795" width="17" style="273" customWidth="1"/>
    <col min="796" max="796" width="15.44140625" style="273" customWidth="1"/>
    <col min="797" max="797" width="10.77734375" style="273" customWidth="1"/>
    <col min="798" max="798" width="11" style="273" customWidth="1"/>
    <col min="799" max="811" width="10.77734375" style="273" customWidth="1"/>
    <col min="812" max="1024" width="9.44140625" style="273"/>
    <col min="1025" max="1025" width="1.44140625" style="273" customWidth="1"/>
    <col min="1026" max="1026" width="57.88671875" style="273" customWidth="1"/>
    <col min="1027" max="1027" width="5.88671875" style="273" customWidth="1"/>
    <col min="1028" max="1028" width="12.33203125" style="273" customWidth="1"/>
    <col min="1029" max="1029" width="17.88671875" style="273" customWidth="1"/>
    <col min="1030" max="1048" width="12.33203125" style="273" customWidth="1"/>
    <col min="1049" max="1049" width="16.77734375" style="273" customWidth="1"/>
    <col min="1050" max="1050" width="15.6640625" style="273" customWidth="1"/>
    <col min="1051" max="1051" width="17" style="273" customWidth="1"/>
    <col min="1052" max="1052" width="15.44140625" style="273" customWidth="1"/>
    <col min="1053" max="1053" width="10.77734375" style="273" customWidth="1"/>
    <col min="1054" max="1054" width="11" style="273" customWidth="1"/>
    <col min="1055" max="1067" width="10.77734375" style="273" customWidth="1"/>
    <col min="1068" max="1280" width="9.44140625" style="273"/>
    <col min="1281" max="1281" width="1.44140625" style="273" customWidth="1"/>
    <col min="1282" max="1282" width="57.88671875" style="273" customWidth="1"/>
    <col min="1283" max="1283" width="5.88671875" style="273" customWidth="1"/>
    <col min="1284" max="1284" width="12.33203125" style="273" customWidth="1"/>
    <col min="1285" max="1285" width="17.88671875" style="273" customWidth="1"/>
    <col min="1286" max="1304" width="12.33203125" style="273" customWidth="1"/>
    <col min="1305" max="1305" width="16.77734375" style="273" customWidth="1"/>
    <col min="1306" max="1306" width="15.6640625" style="273" customWidth="1"/>
    <col min="1307" max="1307" width="17" style="273" customWidth="1"/>
    <col min="1308" max="1308" width="15.44140625" style="273" customWidth="1"/>
    <col min="1309" max="1309" width="10.77734375" style="273" customWidth="1"/>
    <col min="1310" max="1310" width="11" style="273" customWidth="1"/>
    <col min="1311" max="1323" width="10.77734375" style="273" customWidth="1"/>
    <col min="1324" max="1536" width="9.44140625" style="273"/>
    <col min="1537" max="1537" width="1.44140625" style="273" customWidth="1"/>
    <col min="1538" max="1538" width="57.88671875" style="273" customWidth="1"/>
    <col min="1539" max="1539" width="5.88671875" style="273" customWidth="1"/>
    <col min="1540" max="1540" width="12.33203125" style="273" customWidth="1"/>
    <col min="1541" max="1541" width="17.88671875" style="273" customWidth="1"/>
    <col min="1542" max="1560" width="12.33203125" style="273" customWidth="1"/>
    <col min="1561" max="1561" width="16.77734375" style="273" customWidth="1"/>
    <col min="1562" max="1562" width="15.6640625" style="273" customWidth="1"/>
    <col min="1563" max="1563" width="17" style="273" customWidth="1"/>
    <col min="1564" max="1564" width="15.44140625" style="273" customWidth="1"/>
    <col min="1565" max="1565" width="10.77734375" style="273" customWidth="1"/>
    <col min="1566" max="1566" width="11" style="273" customWidth="1"/>
    <col min="1567" max="1579" width="10.77734375" style="273" customWidth="1"/>
    <col min="1580" max="1792" width="9.44140625" style="273"/>
    <col min="1793" max="1793" width="1.44140625" style="273" customWidth="1"/>
    <col min="1794" max="1794" width="57.88671875" style="273" customWidth="1"/>
    <col min="1795" max="1795" width="5.88671875" style="273" customWidth="1"/>
    <col min="1796" max="1796" width="12.33203125" style="273" customWidth="1"/>
    <col min="1797" max="1797" width="17.88671875" style="273" customWidth="1"/>
    <col min="1798" max="1816" width="12.33203125" style="273" customWidth="1"/>
    <col min="1817" max="1817" width="16.77734375" style="273" customWidth="1"/>
    <col min="1818" max="1818" width="15.6640625" style="273" customWidth="1"/>
    <col min="1819" max="1819" width="17" style="273" customWidth="1"/>
    <col min="1820" max="1820" width="15.44140625" style="273" customWidth="1"/>
    <col min="1821" max="1821" width="10.77734375" style="273" customWidth="1"/>
    <col min="1822" max="1822" width="11" style="273" customWidth="1"/>
    <col min="1823" max="1835" width="10.77734375" style="273" customWidth="1"/>
    <col min="1836" max="2048" width="9.44140625" style="273"/>
    <col min="2049" max="2049" width="1.44140625" style="273" customWidth="1"/>
    <col min="2050" max="2050" width="57.88671875" style="273" customWidth="1"/>
    <col min="2051" max="2051" width="5.88671875" style="273" customWidth="1"/>
    <col min="2052" max="2052" width="12.33203125" style="273" customWidth="1"/>
    <col min="2053" max="2053" width="17.88671875" style="273" customWidth="1"/>
    <col min="2054" max="2072" width="12.33203125" style="273" customWidth="1"/>
    <col min="2073" max="2073" width="16.77734375" style="273" customWidth="1"/>
    <col min="2074" max="2074" width="15.6640625" style="273" customWidth="1"/>
    <col min="2075" max="2075" width="17" style="273" customWidth="1"/>
    <col min="2076" max="2076" width="15.44140625" style="273" customWidth="1"/>
    <col min="2077" max="2077" width="10.77734375" style="273" customWidth="1"/>
    <col min="2078" max="2078" width="11" style="273" customWidth="1"/>
    <col min="2079" max="2091" width="10.77734375" style="273" customWidth="1"/>
    <col min="2092" max="2304" width="9.44140625" style="273"/>
    <col min="2305" max="2305" width="1.44140625" style="273" customWidth="1"/>
    <col min="2306" max="2306" width="57.88671875" style="273" customWidth="1"/>
    <col min="2307" max="2307" width="5.88671875" style="273" customWidth="1"/>
    <col min="2308" max="2308" width="12.33203125" style="273" customWidth="1"/>
    <col min="2309" max="2309" width="17.88671875" style="273" customWidth="1"/>
    <col min="2310" max="2328" width="12.33203125" style="273" customWidth="1"/>
    <col min="2329" max="2329" width="16.77734375" style="273" customWidth="1"/>
    <col min="2330" max="2330" width="15.6640625" style="273" customWidth="1"/>
    <col min="2331" max="2331" width="17" style="273" customWidth="1"/>
    <col min="2332" max="2332" width="15.44140625" style="273" customWidth="1"/>
    <col min="2333" max="2333" width="10.77734375" style="273" customWidth="1"/>
    <col min="2334" max="2334" width="11" style="273" customWidth="1"/>
    <col min="2335" max="2347" width="10.77734375" style="273" customWidth="1"/>
    <col min="2348" max="2560" width="9.44140625" style="273"/>
    <col min="2561" max="2561" width="1.44140625" style="273" customWidth="1"/>
    <col min="2562" max="2562" width="57.88671875" style="273" customWidth="1"/>
    <col min="2563" max="2563" width="5.88671875" style="273" customWidth="1"/>
    <col min="2564" max="2564" width="12.33203125" style="273" customWidth="1"/>
    <col min="2565" max="2565" width="17.88671875" style="273" customWidth="1"/>
    <col min="2566" max="2584" width="12.33203125" style="273" customWidth="1"/>
    <col min="2585" max="2585" width="16.77734375" style="273" customWidth="1"/>
    <col min="2586" max="2586" width="15.6640625" style="273" customWidth="1"/>
    <col min="2587" max="2587" width="17" style="273" customWidth="1"/>
    <col min="2588" max="2588" width="15.44140625" style="273" customWidth="1"/>
    <col min="2589" max="2589" width="10.77734375" style="273" customWidth="1"/>
    <col min="2590" max="2590" width="11" style="273" customWidth="1"/>
    <col min="2591" max="2603" width="10.77734375" style="273" customWidth="1"/>
    <col min="2604" max="2816" width="9.44140625" style="273"/>
    <col min="2817" max="2817" width="1.44140625" style="273" customWidth="1"/>
    <col min="2818" max="2818" width="57.88671875" style="273" customWidth="1"/>
    <col min="2819" max="2819" width="5.88671875" style="273" customWidth="1"/>
    <col min="2820" max="2820" width="12.33203125" style="273" customWidth="1"/>
    <col min="2821" max="2821" width="17.88671875" style="273" customWidth="1"/>
    <col min="2822" max="2840" width="12.33203125" style="273" customWidth="1"/>
    <col min="2841" max="2841" width="16.77734375" style="273" customWidth="1"/>
    <col min="2842" max="2842" width="15.6640625" style="273" customWidth="1"/>
    <col min="2843" max="2843" width="17" style="273" customWidth="1"/>
    <col min="2844" max="2844" width="15.44140625" style="273" customWidth="1"/>
    <col min="2845" max="2845" width="10.77734375" style="273" customWidth="1"/>
    <col min="2846" max="2846" width="11" style="273" customWidth="1"/>
    <col min="2847" max="2859" width="10.77734375" style="273" customWidth="1"/>
    <col min="2860" max="3072" width="9.44140625" style="273"/>
    <col min="3073" max="3073" width="1.44140625" style="273" customWidth="1"/>
    <col min="3074" max="3074" width="57.88671875" style="273" customWidth="1"/>
    <col min="3075" max="3075" width="5.88671875" style="273" customWidth="1"/>
    <col min="3076" max="3076" width="12.33203125" style="273" customWidth="1"/>
    <col min="3077" max="3077" width="17.88671875" style="273" customWidth="1"/>
    <col min="3078" max="3096" width="12.33203125" style="273" customWidth="1"/>
    <col min="3097" max="3097" width="16.77734375" style="273" customWidth="1"/>
    <col min="3098" max="3098" width="15.6640625" style="273" customWidth="1"/>
    <col min="3099" max="3099" width="17" style="273" customWidth="1"/>
    <col min="3100" max="3100" width="15.44140625" style="273" customWidth="1"/>
    <col min="3101" max="3101" width="10.77734375" style="273" customWidth="1"/>
    <col min="3102" max="3102" width="11" style="273" customWidth="1"/>
    <col min="3103" max="3115" width="10.77734375" style="273" customWidth="1"/>
    <col min="3116" max="3328" width="9.44140625" style="273"/>
    <col min="3329" max="3329" width="1.44140625" style="273" customWidth="1"/>
    <col min="3330" max="3330" width="57.88671875" style="273" customWidth="1"/>
    <col min="3331" max="3331" width="5.88671875" style="273" customWidth="1"/>
    <col min="3332" max="3332" width="12.33203125" style="273" customWidth="1"/>
    <col min="3333" max="3333" width="17.88671875" style="273" customWidth="1"/>
    <col min="3334" max="3352" width="12.33203125" style="273" customWidth="1"/>
    <col min="3353" max="3353" width="16.77734375" style="273" customWidth="1"/>
    <col min="3354" max="3354" width="15.6640625" style="273" customWidth="1"/>
    <col min="3355" max="3355" width="17" style="273" customWidth="1"/>
    <col min="3356" max="3356" width="15.44140625" style="273" customWidth="1"/>
    <col min="3357" max="3357" width="10.77734375" style="273" customWidth="1"/>
    <col min="3358" max="3358" width="11" style="273" customWidth="1"/>
    <col min="3359" max="3371" width="10.77734375" style="273" customWidth="1"/>
    <col min="3372" max="3584" width="9.44140625" style="273"/>
    <col min="3585" max="3585" width="1.44140625" style="273" customWidth="1"/>
    <col min="3586" max="3586" width="57.88671875" style="273" customWidth="1"/>
    <col min="3587" max="3587" width="5.88671875" style="273" customWidth="1"/>
    <col min="3588" max="3588" width="12.33203125" style="273" customWidth="1"/>
    <col min="3589" max="3589" width="17.88671875" style="273" customWidth="1"/>
    <col min="3590" max="3608" width="12.33203125" style="273" customWidth="1"/>
    <col min="3609" max="3609" width="16.77734375" style="273" customWidth="1"/>
    <col min="3610" max="3610" width="15.6640625" style="273" customWidth="1"/>
    <col min="3611" max="3611" width="17" style="273" customWidth="1"/>
    <col min="3612" max="3612" width="15.44140625" style="273" customWidth="1"/>
    <col min="3613" max="3613" width="10.77734375" style="273" customWidth="1"/>
    <col min="3614" max="3614" width="11" style="273" customWidth="1"/>
    <col min="3615" max="3627" width="10.77734375" style="273" customWidth="1"/>
    <col min="3628" max="3840" width="9.44140625" style="273"/>
    <col min="3841" max="3841" width="1.44140625" style="273" customWidth="1"/>
    <col min="3842" max="3842" width="57.88671875" style="273" customWidth="1"/>
    <col min="3843" max="3843" width="5.88671875" style="273" customWidth="1"/>
    <col min="3844" max="3844" width="12.33203125" style="273" customWidth="1"/>
    <col min="3845" max="3845" width="17.88671875" style="273" customWidth="1"/>
    <col min="3846" max="3864" width="12.33203125" style="273" customWidth="1"/>
    <col min="3865" max="3865" width="16.77734375" style="273" customWidth="1"/>
    <col min="3866" max="3866" width="15.6640625" style="273" customWidth="1"/>
    <col min="3867" max="3867" width="17" style="273" customWidth="1"/>
    <col min="3868" max="3868" width="15.44140625" style="273" customWidth="1"/>
    <col min="3869" max="3869" width="10.77734375" style="273" customWidth="1"/>
    <col min="3870" max="3870" width="11" style="273" customWidth="1"/>
    <col min="3871" max="3883" width="10.77734375" style="273" customWidth="1"/>
    <col min="3884" max="4096" width="9.44140625" style="273"/>
    <col min="4097" max="4097" width="1.44140625" style="273" customWidth="1"/>
    <col min="4098" max="4098" width="57.88671875" style="273" customWidth="1"/>
    <col min="4099" max="4099" width="5.88671875" style="273" customWidth="1"/>
    <col min="4100" max="4100" width="12.33203125" style="273" customWidth="1"/>
    <col min="4101" max="4101" width="17.88671875" style="273" customWidth="1"/>
    <col min="4102" max="4120" width="12.33203125" style="273" customWidth="1"/>
    <col min="4121" max="4121" width="16.77734375" style="273" customWidth="1"/>
    <col min="4122" max="4122" width="15.6640625" style="273" customWidth="1"/>
    <col min="4123" max="4123" width="17" style="273" customWidth="1"/>
    <col min="4124" max="4124" width="15.44140625" style="273" customWidth="1"/>
    <col min="4125" max="4125" width="10.77734375" style="273" customWidth="1"/>
    <col min="4126" max="4126" width="11" style="273" customWidth="1"/>
    <col min="4127" max="4139" width="10.77734375" style="273" customWidth="1"/>
    <col min="4140" max="4352" width="9.44140625" style="273"/>
    <col min="4353" max="4353" width="1.44140625" style="273" customWidth="1"/>
    <col min="4354" max="4354" width="57.88671875" style="273" customWidth="1"/>
    <col min="4355" max="4355" width="5.88671875" style="273" customWidth="1"/>
    <col min="4356" max="4356" width="12.33203125" style="273" customWidth="1"/>
    <col min="4357" max="4357" width="17.88671875" style="273" customWidth="1"/>
    <col min="4358" max="4376" width="12.33203125" style="273" customWidth="1"/>
    <col min="4377" max="4377" width="16.77734375" style="273" customWidth="1"/>
    <col min="4378" max="4378" width="15.6640625" style="273" customWidth="1"/>
    <col min="4379" max="4379" width="17" style="273" customWidth="1"/>
    <col min="4380" max="4380" width="15.44140625" style="273" customWidth="1"/>
    <col min="4381" max="4381" width="10.77734375" style="273" customWidth="1"/>
    <col min="4382" max="4382" width="11" style="273" customWidth="1"/>
    <col min="4383" max="4395" width="10.77734375" style="273" customWidth="1"/>
    <col min="4396" max="4608" width="9.44140625" style="273"/>
    <col min="4609" max="4609" width="1.44140625" style="273" customWidth="1"/>
    <col min="4610" max="4610" width="57.88671875" style="273" customWidth="1"/>
    <col min="4611" max="4611" width="5.88671875" style="273" customWidth="1"/>
    <col min="4612" max="4612" width="12.33203125" style="273" customWidth="1"/>
    <col min="4613" max="4613" width="17.88671875" style="273" customWidth="1"/>
    <col min="4614" max="4632" width="12.33203125" style="273" customWidth="1"/>
    <col min="4633" max="4633" width="16.77734375" style="273" customWidth="1"/>
    <col min="4634" max="4634" width="15.6640625" style="273" customWidth="1"/>
    <col min="4635" max="4635" width="17" style="273" customWidth="1"/>
    <col min="4636" max="4636" width="15.44140625" style="273" customWidth="1"/>
    <col min="4637" max="4637" width="10.77734375" style="273" customWidth="1"/>
    <col min="4638" max="4638" width="11" style="273" customWidth="1"/>
    <col min="4639" max="4651" width="10.77734375" style="273" customWidth="1"/>
    <col min="4652" max="4864" width="9.44140625" style="273"/>
    <col min="4865" max="4865" width="1.44140625" style="273" customWidth="1"/>
    <col min="4866" max="4866" width="57.88671875" style="273" customWidth="1"/>
    <col min="4867" max="4867" width="5.88671875" style="273" customWidth="1"/>
    <col min="4868" max="4868" width="12.33203125" style="273" customWidth="1"/>
    <col min="4869" max="4869" width="17.88671875" style="273" customWidth="1"/>
    <col min="4870" max="4888" width="12.33203125" style="273" customWidth="1"/>
    <col min="4889" max="4889" width="16.77734375" style="273" customWidth="1"/>
    <col min="4890" max="4890" width="15.6640625" style="273" customWidth="1"/>
    <col min="4891" max="4891" width="17" style="273" customWidth="1"/>
    <col min="4892" max="4892" width="15.44140625" style="273" customWidth="1"/>
    <col min="4893" max="4893" width="10.77734375" style="273" customWidth="1"/>
    <col min="4894" max="4894" width="11" style="273" customWidth="1"/>
    <col min="4895" max="4907" width="10.77734375" style="273" customWidth="1"/>
    <col min="4908" max="5120" width="9.44140625" style="273"/>
    <col min="5121" max="5121" width="1.44140625" style="273" customWidth="1"/>
    <col min="5122" max="5122" width="57.88671875" style="273" customWidth="1"/>
    <col min="5123" max="5123" width="5.88671875" style="273" customWidth="1"/>
    <col min="5124" max="5124" width="12.33203125" style="273" customWidth="1"/>
    <col min="5125" max="5125" width="17.88671875" style="273" customWidth="1"/>
    <col min="5126" max="5144" width="12.33203125" style="273" customWidth="1"/>
    <col min="5145" max="5145" width="16.77734375" style="273" customWidth="1"/>
    <col min="5146" max="5146" width="15.6640625" style="273" customWidth="1"/>
    <col min="5147" max="5147" width="17" style="273" customWidth="1"/>
    <col min="5148" max="5148" width="15.44140625" style="273" customWidth="1"/>
    <col min="5149" max="5149" width="10.77734375" style="273" customWidth="1"/>
    <col min="5150" max="5150" width="11" style="273" customWidth="1"/>
    <col min="5151" max="5163" width="10.77734375" style="273" customWidth="1"/>
    <col min="5164" max="5376" width="9.44140625" style="273"/>
    <col min="5377" max="5377" width="1.44140625" style="273" customWidth="1"/>
    <col min="5378" max="5378" width="57.88671875" style="273" customWidth="1"/>
    <col min="5379" max="5379" width="5.88671875" style="273" customWidth="1"/>
    <col min="5380" max="5380" width="12.33203125" style="273" customWidth="1"/>
    <col min="5381" max="5381" width="17.88671875" style="273" customWidth="1"/>
    <col min="5382" max="5400" width="12.33203125" style="273" customWidth="1"/>
    <col min="5401" max="5401" width="16.77734375" style="273" customWidth="1"/>
    <col min="5402" max="5402" width="15.6640625" style="273" customWidth="1"/>
    <col min="5403" max="5403" width="17" style="273" customWidth="1"/>
    <col min="5404" max="5404" width="15.44140625" style="273" customWidth="1"/>
    <col min="5405" max="5405" width="10.77734375" style="273" customWidth="1"/>
    <col min="5406" max="5406" width="11" style="273" customWidth="1"/>
    <col min="5407" max="5419" width="10.77734375" style="273" customWidth="1"/>
    <col min="5420" max="5632" width="9.44140625" style="273"/>
    <col min="5633" max="5633" width="1.44140625" style="273" customWidth="1"/>
    <col min="5634" max="5634" width="57.88671875" style="273" customWidth="1"/>
    <col min="5635" max="5635" width="5.88671875" style="273" customWidth="1"/>
    <col min="5636" max="5636" width="12.33203125" style="273" customWidth="1"/>
    <col min="5637" max="5637" width="17.88671875" style="273" customWidth="1"/>
    <col min="5638" max="5656" width="12.33203125" style="273" customWidth="1"/>
    <col min="5657" max="5657" width="16.77734375" style="273" customWidth="1"/>
    <col min="5658" max="5658" width="15.6640625" style="273" customWidth="1"/>
    <col min="5659" max="5659" width="17" style="273" customWidth="1"/>
    <col min="5660" max="5660" width="15.44140625" style="273" customWidth="1"/>
    <col min="5661" max="5661" width="10.77734375" style="273" customWidth="1"/>
    <col min="5662" max="5662" width="11" style="273" customWidth="1"/>
    <col min="5663" max="5675" width="10.77734375" style="273" customWidth="1"/>
    <col min="5676" max="5888" width="9.44140625" style="273"/>
    <col min="5889" max="5889" width="1.44140625" style="273" customWidth="1"/>
    <col min="5890" max="5890" width="57.88671875" style="273" customWidth="1"/>
    <col min="5891" max="5891" width="5.88671875" style="273" customWidth="1"/>
    <col min="5892" max="5892" width="12.33203125" style="273" customWidth="1"/>
    <col min="5893" max="5893" width="17.88671875" style="273" customWidth="1"/>
    <col min="5894" max="5912" width="12.33203125" style="273" customWidth="1"/>
    <col min="5913" max="5913" width="16.77734375" style="273" customWidth="1"/>
    <col min="5914" max="5914" width="15.6640625" style="273" customWidth="1"/>
    <col min="5915" max="5915" width="17" style="273" customWidth="1"/>
    <col min="5916" max="5916" width="15.44140625" style="273" customWidth="1"/>
    <col min="5917" max="5917" width="10.77734375" style="273" customWidth="1"/>
    <col min="5918" max="5918" width="11" style="273" customWidth="1"/>
    <col min="5919" max="5931" width="10.77734375" style="273" customWidth="1"/>
    <col min="5932" max="6144" width="9.44140625" style="273"/>
    <col min="6145" max="6145" width="1.44140625" style="273" customWidth="1"/>
    <col min="6146" max="6146" width="57.88671875" style="273" customWidth="1"/>
    <col min="6147" max="6147" width="5.88671875" style="273" customWidth="1"/>
    <col min="6148" max="6148" width="12.33203125" style="273" customWidth="1"/>
    <col min="6149" max="6149" width="17.88671875" style="273" customWidth="1"/>
    <col min="6150" max="6168" width="12.33203125" style="273" customWidth="1"/>
    <col min="6169" max="6169" width="16.77734375" style="273" customWidth="1"/>
    <col min="6170" max="6170" width="15.6640625" style="273" customWidth="1"/>
    <col min="6171" max="6171" width="17" style="273" customWidth="1"/>
    <col min="6172" max="6172" width="15.44140625" style="273" customWidth="1"/>
    <col min="6173" max="6173" width="10.77734375" style="273" customWidth="1"/>
    <col min="6174" max="6174" width="11" style="273" customWidth="1"/>
    <col min="6175" max="6187" width="10.77734375" style="273" customWidth="1"/>
    <col min="6188" max="6400" width="9.44140625" style="273"/>
    <col min="6401" max="6401" width="1.44140625" style="273" customWidth="1"/>
    <col min="6402" max="6402" width="57.88671875" style="273" customWidth="1"/>
    <col min="6403" max="6403" width="5.88671875" style="273" customWidth="1"/>
    <col min="6404" max="6404" width="12.33203125" style="273" customWidth="1"/>
    <col min="6405" max="6405" width="17.88671875" style="273" customWidth="1"/>
    <col min="6406" max="6424" width="12.33203125" style="273" customWidth="1"/>
    <col min="6425" max="6425" width="16.77734375" style="273" customWidth="1"/>
    <col min="6426" max="6426" width="15.6640625" style="273" customWidth="1"/>
    <col min="6427" max="6427" width="17" style="273" customWidth="1"/>
    <col min="6428" max="6428" width="15.44140625" style="273" customWidth="1"/>
    <col min="6429" max="6429" width="10.77734375" style="273" customWidth="1"/>
    <col min="6430" max="6430" width="11" style="273" customWidth="1"/>
    <col min="6431" max="6443" width="10.77734375" style="273" customWidth="1"/>
    <col min="6444" max="6656" width="9.44140625" style="273"/>
    <col min="6657" max="6657" width="1.44140625" style="273" customWidth="1"/>
    <col min="6658" max="6658" width="57.88671875" style="273" customWidth="1"/>
    <col min="6659" max="6659" width="5.88671875" style="273" customWidth="1"/>
    <col min="6660" max="6660" width="12.33203125" style="273" customWidth="1"/>
    <col min="6661" max="6661" width="17.88671875" style="273" customWidth="1"/>
    <col min="6662" max="6680" width="12.33203125" style="273" customWidth="1"/>
    <col min="6681" max="6681" width="16.77734375" style="273" customWidth="1"/>
    <col min="6682" max="6682" width="15.6640625" style="273" customWidth="1"/>
    <col min="6683" max="6683" width="17" style="273" customWidth="1"/>
    <col min="6684" max="6684" width="15.44140625" style="273" customWidth="1"/>
    <col min="6685" max="6685" width="10.77734375" style="273" customWidth="1"/>
    <col min="6686" max="6686" width="11" style="273" customWidth="1"/>
    <col min="6687" max="6699" width="10.77734375" style="273" customWidth="1"/>
    <col min="6700" max="6912" width="9.44140625" style="273"/>
    <col min="6913" max="6913" width="1.44140625" style="273" customWidth="1"/>
    <col min="6914" max="6914" width="57.88671875" style="273" customWidth="1"/>
    <col min="6915" max="6915" width="5.88671875" style="273" customWidth="1"/>
    <col min="6916" max="6916" width="12.33203125" style="273" customWidth="1"/>
    <col min="6917" max="6917" width="17.88671875" style="273" customWidth="1"/>
    <col min="6918" max="6936" width="12.33203125" style="273" customWidth="1"/>
    <col min="6937" max="6937" width="16.77734375" style="273" customWidth="1"/>
    <col min="6938" max="6938" width="15.6640625" style="273" customWidth="1"/>
    <col min="6939" max="6939" width="17" style="273" customWidth="1"/>
    <col min="6940" max="6940" width="15.44140625" style="273" customWidth="1"/>
    <col min="6941" max="6941" width="10.77734375" style="273" customWidth="1"/>
    <col min="6942" max="6942" width="11" style="273" customWidth="1"/>
    <col min="6943" max="6955" width="10.77734375" style="273" customWidth="1"/>
    <col min="6956" max="7168" width="9.44140625" style="273"/>
    <col min="7169" max="7169" width="1.44140625" style="273" customWidth="1"/>
    <col min="7170" max="7170" width="57.88671875" style="273" customWidth="1"/>
    <col min="7171" max="7171" width="5.88671875" style="273" customWidth="1"/>
    <col min="7172" max="7172" width="12.33203125" style="273" customWidth="1"/>
    <col min="7173" max="7173" width="17.88671875" style="273" customWidth="1"/>
    <col min="7174" max="7192" width="12.33203125" style="273" customWidth="1"/>
    <col min="7193" max="7193" width="16.77734375" style="273" customWidth="1"/>
    <col min="7194" max="7194" width="15.6640625" style="273" customWidth="1"/>
    <col min="7195" max="7195" width="17" style="273" customWidth="1"/>
    <col min="7196" max="7196" width="15.44140625" style="273" customWidth="1"/>
    <col min="7197" max="7197" width="10.77734375" style="273" customWidth="1"/>
    <col min="7198" max="7198" width="11" style="273" customWidth="1"/>
    <col min="7199" max="7211" width="10.77734375" style="273" customWidth="1"/>
    <col min="7212" max="7424" width="9.44140625" style="273"/>
    <col min="7425" max="7425" width="1.44140625" style="273" customWidth="1"/>
    <col min="7426" max="7426" width="57.88671875" style="273" customWidth="1"/>
    <col min="7427" max="7427" width="5.88671875" style="273" customWidth="1"/>
    <col min="7428" max="7428" width="12.33203125" style="273" customWidth="1"/>
    <col min="7429" max="7429" width="17.88671875" style="273" customWidth="1"/>
    <col min="7430" max="7448" width="12.33203125" style="273" customWidth="1"/>
    <col min="7449" max="7449" width="16.77734375" style="273" customWidth="1"/>
    <col min="7450" max="7450" width="15.6640625" style="273" customWidth="1"/>
    <col min="7451" max="7451" width="17" style="273" customWidth="1"/>
    <col min="7452" max="7452" width="15.44140625" style="273" customWidth="1"/>
    <col min="7453" max="7453" width="10.77734375" style="273" customWidth="1"/>
    <col min="7454" max="7454" width="11" style="273" customWidth="1"/>
    <col min="7455" max="7467" width="10.77734375" style="273" customWidth="1"/>
    <col min="7468" max="7680" width="9.44140625" style="273"/>
    <col min="7681" max="7681" width="1.44140625" style="273" customWidth="1"/>
    <col min="7682" max="7682" width="57.88671875" style="273" customWidth="1"/>
    <col min="7683" max="7683" width="5.88671875" style="273" customWidth="1"/>
    <col min="7684" max="7684" width="12.33203125" style="273" customWidth="1"/>
    <col min="7685" max="7685" width="17.88671875" style="273" customWidth="1"/>
    <col min="7686" max="7704" width="12.33203125" style="273" customWidth="1"/>
    <col min="7705" max="7705" width="16.77734375" style="273" customWidth="1"/>
    <col min="7706" max="7706" width="15.6640625" style="273" customWidth="1"/>
    <col min="7707" max="7707" width="17" style="273" customWidth="1"/>
    <col min="7708" max="7708" width="15.44140625" style="273" customWidth="1"/>
    <col min="7709" max="7709" width="10.77734375" style="273" customWidth="1"/>
    <col min="7710" max="7710" width="11" style="273" customWidth="1"/>
    <col min="7711" max="7723" width="10.77734375" style="273" customWidth="1"/>
    <col min="7724" max="7936" width="9.44140625" style="273"/>
    <col min="7937" max="7937" width="1.44140625" style="273" customWidth="1"/>
    <col min="7938" max="7938" width="57.88671875" style="273" customWidth="1"/>
    <col min="7939" max="7939" width="5.88671875" style="273" customWidth="1"/>
    <col min="7940" max="7940" width="12.33203125" style="273" customWidth="1"/>
    <col min="7941" max="7941" width="17.88671875" style="273" customWidth="1"/>
    <col min="7942" max="7960" width="12.33203125" style="273" customWidth="1"/>
    <col min="7961" max="7961" width="16.77734375" style="273" customWidth="1"/>
    <col min="7962" max="7962" width="15.6640625" style="273" customWidth="1"/>
    <col min="7963" max="7963" width="17" style="273" customWidth="1"/>
    <col min="7964" max="7964" width="15.44140625" style="273" customWidth="1"/>
    <col min="7965" max="7965" width="10.77734375" style="273" customWidth="1"/>
    <col min="7966" max="7966" width="11" style="273" customWidth="1"/>
    <col min="7967" max="7979" width="10.77734375" style="273" customWidth="1"/>
    <col min="7980" max="8192" width="9.44140625" style="273"/>
    <col min="8193" max="8193" width="1.44140625" style="273" customWidth="1"/>
    <col min="8194" max="8194" width="57.88671875" style="273" customWidth="1"/>
    <col min="8195" max="8195" width="5.88671875" style="273" customWidth="1"/>
    <col min="8196" max="8196" width="12.33203125" style="273" customWidth="1"/>
    <col min="8197" max="8197" width="17.88671875" style="273" customWidth="1"/>
    <col min="8198" max="8216" width="12.33203125" style="273" customWidth="1"/>
    <col min="8217" max="8217" width="16.77734375" style="273" customWidth="1"/>
    <col min="8218" max="8218" width="15.6640625" style="273" customWidth="1"/>
    <col min="8219" max="8219" width="17" style="273" customWidth="1"/>
    <col min="8220" max="8220" width="15.44140625" style="273" customWidth="1"/>
    <col min="8221" max="8221" width="10.77734375" style="273" customWidth="1"/>
    <col min="8222" max="8222" width="11" style="273" customWidth="1"/>
    <col min="8223" max="8235" width="10.77734375" style="273" customWidth="1"/>
    <col min="8236" max="8448" width="9.44140625" style="273"/>
    <col min="8449" max="8449" width="1.44140625" style="273" customWidth="1"/>
    <col min="8450" max="8450" width="57.88671875" style="273" customWidth="1"/>
    <col min="8451" max="8451" width="5.88671875" style="273" customWidth="1"/>
    <col min="8452" max="8452" width="12.33203125" style="273" customWidth="1"/>
    <col min="8453" max="8453" width="17.88671875" style="273" customWidth="1"/>
    <col min="8454" max="8472" width="12.33203125" style="273" customWidth="1"/>
    <col min="8473" max="8473" width="16.77734375" style="273" customWidth="1"/>
    <col min="8474" max="8474" width="15.6640625" style="273" customWidth="1"/>
    <col min="8475" max="8475" width="17" style="273" customWidth="1"/>
    <col min="8476" max="8476" width="15.44140625" style="273" customWidth="1"/>
    <col min="8477" max="8477" width="10.77734375" style="273" customWidth="1"/>
    <col min="8478" max="8478" width="11" style="273" customWidth="1"/>
    <col min="8479" max="8491" width="10.77734375" style="273" customWidth="1"/>
    <col min="8492" max="8704" width="9.44140625" style="273"/>
    <col min="8705" max="8705" width="1.44140625" style="273" customWidth="1"/>
    <col min="8706" max="8706" width="57.88671875" style="273" customWidth="1"/>
    <col min="8707" max="8707" width="5.88671875" style="273" customWidth="1"/>
    <col min="8708" max="8708" width="12.33203125" style="273" customWidth="1"/>
    <col min="8709" max="8709" width="17.88671875" style="273" customWidth="1"/>
    <col min="8710" max="8728" width="12.33203125" style="273" customWidth="1"/>
    <col min="8729" max="8729" width="16.77734375" style="273" customWidth="1"/>
    <col min="8730" max="8730" width="15.6640625" style="273" customWidth="1"/>
    <col min="8731" max="8731" width="17" style="273" customWidth="1"/>
    <col min="8732" max="8732" width="15.44140625" style="273" customWidth="1"/>
    <col min="8733" max="8733" width="10.77734375" style="273" customWidth="1"/>
    <col min="8734" max="8734" width="11" style="273" customWidth="1"/>
    <col min="8735" max="8747" width="10.77734375" style="273" customWidth="1"/>
    <col min="8748" max="8960" width="9.44140625" style="273"/>
    <col min="8961" max="8961" width="1.44140625" style="273" customWidth="1"/>
    <col min="8962" max="8962" width="57.88671875" style="273" customWidth="1"/>
    <col min="8963" max="8963" width="5.88671875" style="273" customWidth="1"/>
    <col min="8964" max="8964" width="12.33203125" style="273" customWidth="1"/>
    <col min="8965" max="8965" width="17.88671875" style="273" customWidth="1"/>
    <col min="8966" max="8984" width="12.33203125" style="273" customWidth="1"/>
    <col min="8985" max="8985" width="16.77734375" style="273" customWidth="1"/>
    <col min="8986" max="8986" width="15.6640625" style="273" customWidth="1"/>
    <col min="8987" max="8987" width="17" style="273" customWidth="1"/>
    <col min="8988" max="8988" width="15.44140625" style="273" customWidth="1"/>
    <col min="8989" max="8989" width="10.77734375" style="273" customWidth="1"/>
    <col min="8990" max="8990" width="11" style="273" customWidth="1"/>
    <col min="8991" max="9003" width="10.77734375" style="273" customWidth="1"/>
    <col min="9004" max="9216" width="9.44140625" style="273"/>
    <col min="9217" max="9217" width="1.44140625" style="273" customWidth="1"/>
    <col min="9218" max="9218" width="57.88671875" style="273" customWidth="1"/>
    <col min="9219" max="9219" width="5.88671875" style="273" customWidth="1"/>
    <col min="9220" max="9220" width="12.33203125" style="273" customWidth="1"/>
    <col min="9221" max="9221" width="17.88671875" style="273" customWidth="1"/>
    <col min="9222" max="9240" width="12.33203125" style="273" customWidth="1"/>
    <col min="9241" max="9241" width="16.77734375" style="273" customWidth="1"/>
    <col min="9242" max="9242" width="15.6640625" style="273" customWidth="1"/>
    <col min="9243" max="9243" width="17" style="273" customWidth="1"/>
    <col min="9244" max="9244" width="15.44140625" style="273" customWidth="1"/>
    <col min="9245" max="9245" width="10.77734375" style="273" customWidth="1"/>
    <col min="9246" max="9246" width="11" style="273" customWidth="1"/>
    <col min="9247" max="9259" width="10.77734375" style="273" customWidth="1"/>
    <col min="9260" max="9472" width="9.44140625" style="273"/>
    <col min="9473" max="9473" width="1.44140625" style="273" customWidth="1"/>
    <col min="9474" max="9474" width="57.88671875" style="273" customWidth="1"/>
    <col min="9475" max="9475" width="5.88671875" style="273" customWidth="1"/>
    <col min="9476" max="9476" width="12.33203125" style="273" customWidth="1"/>
    <col min="9477" max="9477" width="17.88671875" style="273" customWidth="1"/>
    <col min="9478" max="9496" width="12.33203125" style="273" customWidth="1"/>
    <col min="9497" max="9497" width="16.77734375" style="273" customWidth="1"/>
    <col min="9498" max="9498" width="15.6640625" style="273" customWidth="1"/>
    <col min="9499" max="9499" width="17" style="273" customWidth="1"/>
    <col min="9500" max="9500" width="15.44140625" style="273" customWidth="1"/>
    <col min="9501" max="9501" width="10.77734375" style="273" customWidth="1"/>
    <col min="9502" max="9502" width="11" style="273" customWidth="1"/>
    <col min="9503" max="9515" width="10.77734375" style="273" customWidth="1"/>
    <col min="9516" max="9728" width="9.44140625" style="273"/>
    <col min="9729" max="9729" width="1.44140625" style="273" customWidth="1"/>
    <col min="9730" max="9730" width="57.88671875" style="273" customWidth="1"/>
    <col min="9731" max="9731" width="5.88671875" style="273" customWidth="1"/>
    <col min="9732" max="9732" width="12.33203125" style="273" customWidth="1"/>
    <col min="9733" max="9733" width="17.88671875" style="273" customWidth="1"/>
    <col min="9734" max="9752" width="12.33203125" style="273" customWidth="1"/>
    <col min="9753" max="9753" width="16.77734375" style="273" customWidth="1"/>
    <col min="9754" max="9754" width="15.6640625" style="273" customWidth="1"/>
    <col min="9755" max="9755" width="17" style="273" customWidth="1"/>
    <col min="9756" max="9756" width="15.44140625" style="273" customWidth="1"/>
    <col min="9757" max="9757" width="10.77734375" style="273" customWidth="1"/>
    <col min="9758" max="9758" width="11" style="273" customWidth="1"/>
    <col min="9759" max="9771" width="10.77734375" style="273" customWidth="1"/>
    <col min="9772" max="9984" width="9.44140625" style="273"/>
    <col min="9985" max="9985" width="1.44140625" style="273" customWidth="1"/>
    <col min="9986" max="9986" width="57.88671875" style="273" customWidth="1"/>
    <col min="9987" max="9987" width="5.88671875" style="273" customWidth="1"/>
    <col min="9988" max="9988" width="12.33203125" style="273" customWidth="1"/>
    <col min="9989" max="9989" width="17.88671875" style="273" customWidth="1"/>
    <col min="9990" max="10008" width="12.33203125" style="273" customWidth="1"/>
    <col min="10009" max="10009" width="16.77734375" style="273" customWidth="1"/>
    <col min="10010" max="10010" width="15.6640625" style="273" customWidth="1"/>
    <col min="10011" max="10011" width="17" style="273" customWidth="1"/>
    <col min="10012" max="10012" width="15.44140625" style="273" customWidth="1"/>
    <col min="10013" max="10013" width="10.77734375" style="273" customWidth="1"/>
    <col min="10014" max="10014" width="11" style="273" customWidth="1"/>
    <col min="10015" max="10027" width="10.77734375" style="273" customWidth="1"/>
    <col min="10028" max="10240" width="9.44140625" style="273"/>
    <col min="10241" max="10241" width="1.44140625" style="273" customWidth="1"/>
    <col min="10242" max="10242" width="57.88671875" style="273" customWidth="1"/>
    <col min="10243" max="10243" width="5.88671875" style="273" customWidth="1"/>
    <col min="10244" max="10244" width="12.33203125" style="273" customWidth="1"/>
    <col min="10245" max="10245" width="17.88671875" style="273" customWidth="1"/>
    <col min="10246" max="10264" width="12.33203125" style="273" customWidth="1"/>
    <col min="10265" max="10265" width="16.77734375" style="273" customWidth="1"/>
    <col min="10266" max="10266" width="15.6640625" style="273" customWidth="1"/>
    <col min="10267" max="10267" width="17" style="273" customWidth="1"/>
    <col min="10268" max="10268" width="15.44140625" style="273" customWidth="1"/>
    <col min="10269" max="10269" width="10.77734375" style="273" customWidth="1"/>
    <col min="10270" max="10270" width="11" style="273" customWidth="1"/>
    <col min="10271" max="10283" width="10.77734375" style="273" customWidth="1"/>
    <col min="10284" max="10496" width="9.44140625" style="273"/>
    <col min="10497" max="10497" width="1.44140625" style="273" customWidth="1"/>
    <col min="10498" max="10498" width="57.88671875" style="273" customWidth="1"/>
    <col min="10499" max="10499" width="5.88671875" style="273" customWidth="1"/>
    <col min="10500" max="10500" width="12.33203125" style="273" customWidth="1"/>
    <col min="10501" max="10501" width="17.88671875" style="273" customWidth="1"/>
    <col min="10502" max="10520" width="12.33203125" style="273" customWidth="1"/>
    <col min="10521" max="10521" width="16.77734375" style="273" customWidth="1"/>
    <col min="10522" max="10522" width="15.6640625" style="273" customWidth="1"/>
    <col min="10523" max="10523" width="17" style="273" customWidth="1"/>
    <col min="10524" max="10524" width="15.44140625" style="273" customWidth="1"/>
    <col min="10525" max="10525" width="10.77734375" style="273" customWidth="1"/>
    <col min="10526" max="10526" width="11" style="273" customWidth="1"/>
    <col min="10527" max="10539" width="10.77734375" style="273" customWidth="1"/>
    <col min="10540" max="10752" width="9.44140625" style="273"/>
    <col min="10753" max="10753" width="1.44140625" style="273" customWidth="1"/>
    <col min="10754" max="10754" width="57.88671875" style="273" customWidth="1"/>
    <col min="10755" max="10755" width="5.88671875" style="273" customWidth="1"/>
    <col min="10756" max="10756" width="12.33203125" style="273" customWidth="1"/>
    <col min="10757" max="10757" width="17.88671875" style="273" customWidth="1"/>
    <col min="10758" max="10776" width="12.33203125" style="273" customWidth="1"/>
    <col min="10777" max="10777" width="16.77734375" style="273" customWidth="1"/>
    <col min="10778" max="10778" width="15.6640625" style="273" customWidth="1"/>
    <col min="10779" max="10779" width="17" style="273" customWidth="1"/>
    <col min="10780" max="10780" width="15.44140625" style="273" customWidth="1"/>
    <col min="10781" max="10781" width="10.77734375" style="273" customWidth="1"/>
    <col min="10782" max="10782" width="11" style="273" customWidth="1"/>
    <col min="10783" max="10795" width="10.77734375" style="273" customWidth="1"/>
    <col min="10796" max="11008" width="9.44140625" style="273"/>
    <col min="11009" max="11009" width="1.44140625" style="273" customWidth="1"/>
    <col min="11010" max="11010" width="57.88671875" style="273" customWidth="1"/>
    <col min="11011" max="11011" width="5.88671875" style="273" customWidth="1"/>
    <col min="11012" max="11012" width="12.33203125" style="273" customWidth="1"/>
    <col min="11013" max="11013" width="17.88671875" style="273" customWidth="1"/>
    <col min="11014" max="11032" width="12.33203125" style="273" customWidth="1"/>
    <col min="11033" max="11033" width="16.77734375" style="273" customWidth="1"/>
    <col min="11034" max="11034" width="15.6640625" style="273" customWidth="1"/>
    <col min="11035" max="11035" width="17" style="273" customWidth="1"/>
    <col min="11036" max="11036" width="15.44140625" style="273" customWidth="1"/>
    <col min="11037" max="11037" width="10.77734375" style="273" customWidth="1"/>
    <col min="11038" max="11038" width="11" style="273" customWidth="1"/>
    <col min="11039" max="11051" width="10.77734375" style="273" customWidth="1"/>
    <col min="11052" max="11264" width="9.44140625" style="273"/>
    <col min="11265" max="11265" width="1.44140625" style="273" customWidth="1"/>
    <col min="11266" max="11266" width="57.88671875" style="273" customWidth="1"/>
    <col min="11267" max="11267" width="5.88671875" style="273" customWidth="1"/>
    <col min="11268" max="11268" width="12.33203125" style="273" customWidth="1"/>
    <col min="11269" max="11269" width="17.88671875" style="273" customWidth="1"/>
    <col min="11270" max="11288" width="12.33203125" style="273" customWidth="1"/>
    <col min="11289" max="11289" width="16.77734375" style="273" customWidth="1"/>
    <col min="11290" max="11290" width="15.6640625" style="273" customWidth="1"/>
    <col min="11291" max="11291" width="17" style="273" customWidth="1"/>
    <col min="11292" max="11292" width="15.44140625" style="273" customWidth="1"/>
    <col min="11293" max="11293" width="10.77734375" style="273" customWidth="1"/>
    <col min="11294" max="11294" width="11" style="273" customWidth="1"/>
    <col min="11295" max="11307" width="10.77734375" style="273" customWidth="1"/>
    <col min="11308" max="11520" width="9.44140625" style="273"/>
    <col min="11521" max="11521" width="1.44140625" style="273" customWidth="1"/>
    <col min="11522" max="11522" width="57.88671875" style="273" customWidth="1"/>
    <col min="11523" max="11523" width="5.88671875" style="273" customWidth="1"/>
    <col min="11524" max="11524" width="12.33203125" style="273" customWidth="1"/>
    <col min="11525" max="11525" width="17.88671875" style="273" customWidth="1"/>
    <col min="11526" max="11544" width="12.33203125" style="273" customWidth="1"/>
    <col min="11545" max="11545" width="16.77734375" style="273" customWidth="1"/>
    <col min="11546" max="11546" width="15.6640625" style="273" customWidth="1"/>
    <col min="11547" max="11547" width="17" style="273" customWidth="1"/>
    <col min="11548" max="11548" width="15.44140625" style="273" customWidth="1"/>
    <col min="11549" max="11549" width="10.77734375" style="273" customWidth="1"/>
    <col min="11550" max="11550" width="11" style="273" customWidth="1"/>
    <col min="11551" max="11563" width="10.77734375" style="273" customWidth="1"/>
    <col min="11564" max="11776" width="9.44140625" style="273"/>
    <col min="11777" max="11777" width="1.44140625" style="273" customWidth="1"/>
    <col min="11778" max="11778" width="57.88671875" style="273" customWidth="1"/>
    <col min="11779" max="11779" width="5.88671875" style="273" customWidth="1"/>
    <col min="11780" max="11780" width="12.33203125" style="273" customWidth="1"/>
    <col min="11781" max="11781" width="17.88671875" style="273" customWidth="1"/>
    <col min="11782" max="11800" width="12.33203125" style="273" customWidth="1"/>
    <col min="11801" max="11801" width="16.77734375" style="273" customWidth="1"/>
    <col min="11802" max="11802" width="15.6640625" style="273" customWidth="1"/>
    <col min="11803" max="11803" width="17" style="273" customWidth="1"/>
    <col min="11804" max="11804" width="15.44140625" style="273" customWidth="1"/>
    <col min="11805" max="11805" width="10.77734375" style="273" customWidth="1"/>
    <col min="11806" max="11806" width="11" style="273" customWidth="1"/>
    <col min="11807" max="11819" width="10.77734375" style="273" customWidth="1"/>
    <col min="11820" max="12032" width="9.44140625" style="273"/>
    <col min="12033" max="12033" width="1.44140625" style="273" customWidth="1"/>
    <col min="12034" max="12034" width="57.88671875" style="273" customWidth="1"/>
    <col min="12035" max="12035" width="5.88671875" style="273" customWidth="1"/>
    <col min="12036" max="12036" width="12.33203125" style="273" customWidth="1"/>
    <col min="12037" max="12037" width="17.88671875" style="273" customWidth="1"/>
    <col min="12038" max="12056" width="12.33203125" style="273" customWidth="1"/>
    <col min="12057" max="12057" width="16.77734375" style="273" customWidth="1"/>
    <col min="12058" max="12058" width="15.6640625" style="273" customWidth="1"/>
    <col min="12059" max="12059" width="17" style="273" customWidth="1"/>
    <col min="12060" max="12060" width="15.44140625" style="273" customWidth="1"/>
    <col min="12061" max="12061" width="10.77734375" style="273" customWidth="1"/>
    <col min="12062" max="12062" width="11" style="273" customWidth="1"/>
    <col min="12063" max="12075" width="10.77734375" style="273" customWidth="1"/>
    <col min="12076" max="12288" width="9.44140625" style="273"/>
    <col min="12289" max="12289" width="1.44140625" style="273" customWidth="1"/>
    <col min="12290" max="12290" width="57.88671875" style="273" customWidth="1"/>
    <col min="12291" max="12291" width="5.88671875" style="273" customWidth="1"/>
    <col min="12292" max="12292" width="12.33203125" style="273" customWidth="1"/>
    <col min="12293" max="12293" width="17.88671875" style="273" customWidth="1"/>
    <col min="12294" max="12312" width="12.33203125" style="273" customWidth="1"/>
    <col min="12313" max="12313" width="16.77734375" style="273" customWidth="1"/>
    <col min="12314" max="12314" width="15.6640625" style="273" customWidth="1"/>
    <col min="12315" max="12315" width="17" style="273" customWidth="1"/>
    <col min="12316" max="12316" width="15.44140625" style="273" customWidth="1"/>
    <col min="12317" max="12317" width="10.77734375" style="273" customWidth="1"/>
    <col min="12318" max="12318" width="11" style="273" customWidth="1"/>
    <col min="12319" max="12331" width="10.77734375" style="273" customWidth="1"/>
    <col min="12332" max="12544" width="9.44140625" style="273"/>
    <col min="12545" max="12545" width="1.44140625" style="273" customWidth="1"/>
    <col min="12546" max="12546" width="57.88671875" style="273" customWidth="1"/>
    <col min="12547" max="12547" width="5.88671875" style="273" customWidth="1"/>
    <col min="12548" max="12548" width="12.33203125" style="273" customWidth="1"/>
    <col min="12549" max="12549" width="17.88671875" style="273" customWidth="1"/>
    <col min="12550" max="12568" width="12.33203125" style="273" customWidth="1"/>
    <col min="12569" max="12569" width="16.77734375" style="273" customWidth="1"/>
    <col min="12570" max="12570" width="15.6640625" style="273" customWidth="1"/>
    <col min="12571" max="12571" width="17" style="273" customWidth="1"/>
    <col min="12572" max="12572" width="15.44140625" style="273" customWidth="1"/>
    <col min="12573" max="12573" width="10.77734375" style="273" customWidth="1"/>
    <col min="12574" max="12574" width="11" style="273" customWidth="1"/>
    <col min="12575" max="12587" width="10.77734375" style="273" customWidth="1"/>
    <col min="12588" max="12800" width="9.44140625" style="273"/>
    <col min="12801" max="12801" width="1.44140625" style="273" customWidth="1"/>
    <col min="12802" max="12802" width="57.88671875" style="273" customWidth="1"/>
    <col min="12803" max="12803" width="5.88671875" style="273" customWidth="1"/>
    <col min="12804" max="12804" width="12.33203125" style="273" customWidth="1"/>
    <col min="12805" max="12805" width="17.88671875" style="273" customWidth="1"/>
    <col min="12806" max="12824" width="12.33203125" style="273" customWidth="1"/>
    <col min="12825" max="12825" width="16.77734375" style="273" customWidth="1"/>
    <col min="12826" max="12826" width="15.6640625" style="273" customWidth="1"/>
    <col min="12827" max="12827" width="17" style="273" customWidth="1"/>
    <col min="12828" max="12828" width="15.44140625" style="273" customWidth="1"/>
    <col min="12829" max="12829" width="10.77734375" style="273" customWidth="1"/>
    <col min="12830" max="12830" width="11" style="273" customWidth="1"/>
    <col min="12831" max="12843" width="10.77734375" style="273" customWidth="1"/>
    <col min="12844" max="13056" width="9.44140625" style="273"/>
    <col min="13057" max="13057" width="1.44140625" style="273" customWidth="1"/>
    <col min="13058" max="13058" width="57.88671875" style="273" customWidth="1"/>
    <col min="13059" max="13059" width="5.88671875" style="273" customWidth="1"/>
    <col min="13060" max="13060" width="12.33203125" style="273" customWidth="1"/>
    <col min="13061" max="13061" width="17.88671875" style="273" customWidth="1"/>
    <col min="13062" max="13080" width="12.33203125" style="273" customWidth="1"/>
    <col min="13081" max="13081" width="16.77734375" style="273" customWidth="1"/>
    <col min="13082" max="13082" width="15.6640625" style="273" customWidth="1"/>
    <col min="13083" max="13083" width="17" style="273" customWidth="1"/>
    <col min="13084" max="13084" width="15.44140625" style="273" customWidth="1"/>
    <col min="13085" max="13085" width="10.77734375" style="273" customWidth="1"/>
    <col min="13086" max="13086" width="11" style="273" customWidth="1"/>
    <col min="13087" max="13099" width="10.77734375" style="273" customWidth="1"/>
    <col min="13100" max="13312" width="9.44140625" style="273"/>
    <col min="13313" max="13313" width="1.44140625" style="273" customWidth="1"/>
    <col min="13314" max="13314" width="57.88671875" style="273" customWidth="1"/>
    <col min="13315" max="13315" width="5.88671875" style="273" customWidth="1"/>
    <col min="13316" max="13316" width="12.33203125" style="273" customWidth="1"/>
    <col min="13317" max="13317" width="17.88671875" style="273" customWidth="1"/>
    <col min="13318" max="13336" width="12.33203125" style="273" customWidth="1"/>
    <col min="13337" max="13337" width="16.77734375" style="273" customWidth="1"/>
    <col min="13338" max="13338" width="15.6640625" style="273" customWidth="1"/>
    <col min="13339" max="13339" width="17" style="273" customWidth="1"/>
    <col min="13340" max="13340" width="15.44140625" style="273" customWidth="1"/>
    <col min="13341" max="13341" width="10.77734375" style="273" customWidth="1"/>
    <col min="13342" max="13342" width="11" style="273" customWidth="1"/>
    <col min="13343" max="13355" width="10.77734375" style="273" customWidth="1"/>
    <col min="13356" max="13568" width="9.44140625" style="273"/>
    <col min="13569" max="13569" width="1.44140625" style="273" customWidth="1"/>
    <col min="13570" max="13570" width="57.88671875" style="273" customWidth="1"/>
    <col min="13571" max="13571" width="5.88671875" style="273" customWidth="1"/>
    <col min="13572" max="13572" width="12.33203125" style="273" customWidth="1"/>
    <col min="13573" max="13573" width="17.88671875" style="273" customWidth="1"/>
    <col min="13574" max="13592" width="12.33203125" style="273" customWidth="1"/>
    <col min="13593" max="13593" width="16.77734375" style="273" customWidth="1"/>
    <col min="13594" max="13594" width="15.6640625" style="273" customWidth="1"/>
    <col min="13595" max="13595" width="17" style="273" customWidth="1"/>
    <col min="13596" max="13596" width="15.44140625" style="273" customWidth="1"/>
    <col min="13597" max="13597" width="10.77734375" style="273" customWidth="1"/>
    <col min="13598" max="13598" width="11" style="273" customWidth="1"/>
    <col min="13599" max="13611" width="10.77734375" style="273" customWidth="1"/>
    <col min="13612" max="13824" width="9.44140625" style="273"/>
    <col min="13825" max="13825" width="1.44140625" style="273" customWidth="1"/>
    <col min="13826" max="13826" width="57.88671875" style="273" customWidth="1"/>
    <col min="13827" max="13827" width="5.88671875" style="273" customWidth="1"/>
    <col min="13828" max="13828" width="12.33203125" style="273" customWidth="1"/>
    <col min="13829" max="13829" width="17.88671875" style="273" customWidth="1"/>
    <col min="13830" max="13848" width="12.33203125" style="273" customWidth="1"/>
    <col min="13849" max="13849" width="16.77734375" style="273" customWidth="1"/>
    <col min="13850" max="13850" width="15.6640625" style="273" customWidth="1"/>
    <col min="13851" max="13851" width="17" style="273" customWidth="1"/>
    <col min="13852" max="13852" width="15.44140625" style="273" customWidth="1"/>
    <col min="13853" max="13853" width="10.77734375" style="273" customWidth="1"/>
    <col min="13854" max="13854" width="11" style="273" customWidth="1"/>
    <col min="13855" max="13867" width="10.77734375" style="273" customWidth="1"/>
    <col min="13868" max="14080" width="9.44140625" style="273"/>
    <col min="14081" max="14081" width="1.44140625" style="273" customWidth="1"/>
    <col min="14082" max="14082" width="57.88671875" style="273" customWidth="1"/>
    <col min="14083" max="14083" width="5.88671875" style="273" customWidth="1"/>
    <col min="14084" max="14084" width="12.33203125" style="273" customWidth="1"/>
    <col min="14085" max="14085" width="17.88671875" style="273" customWidth="1"/>
    <col min="14086" max="14104" width="12.33203125" style="273" customWidth="1"/>
    <col min="14105" max="14105" width="16.77734375" style="273" customWidth="1"/>
    <col min="14106" max="14106" width="15.6640625" style="273" customWidth="1"/>
    <col min="14107" max="14107" width="17" style="273" customWidth="1"/>
    <col min="14108" max="14108" width="15.44140625" style="273" customWidth="1"/>
    <col min="14109" max="14109" width="10.77734375" style="273" customWidth="1"/>
    <col min="14110" max="14110" width="11" style="273" customWidth="1"/>
    <col min="14111" max="14123" width="10.77734375" style="273" customWidth="1"/>
    <col min="14124" max="14336" width="9.44140625" style="273"/>
    <col min="14337" max="14337" width="1.44140625" style="273" customWidth="1"/>
    <col min="14338" max="14338" width="57.88671875" style="273" customWidth="1"/>
    <col min="14339" max="14339" width="5.88671875" style="273" customWidth="1"/>
    <col min="14340" max="14340" width="12.33203125" style="273" customWidth="1"/>
    <col min="14341" max="14341" width="17.88671875" style="273" customWidth="1"/>
    <col min="14342" max="14360" width="12.33203125" style="273" customWidth="1"/>
    <col min="14361" max="14361" width="16.77734375" style="273" customWidth="1"/>
    <col min="14362" max="14362" width="15.6640625" style="273" customWidth="1"/>
    <col min="14363" max="14363" width="17" style="273" customWidth="1"/>
    <col min="14364" max="14364" width="15.44140625" style="273" customWidth="1"/>
    <col min="14365" max="14365" width="10.77734375" style="273" customWidth="1"/>
    <col min="14366" max="14366" width="11" style="273" customWidth="1"/>
    <col min="14367" max="14379" width="10.77734375" style="273" customWidth="1"/>
    <col min="14380" max="14592" width="9.44140625" style="273"/>
    <col min="14593" max="14593" width="1.44140625" style="273" customWidth="1"/>
    <col min="14594" max="14594" width="57.88671875" style="273" customWidth="1"/>
    <col min="14595" max="14595" width="5.88671875" style="273" customWidth="1"/>
    <col min="14596" max="14596" width="12.33203125" style="273" customWidth="1"/>
    <col min="14597" max="14597" width="17.88671875" style="273" customWidth="1"/>
    <col min="14598" max="14616" width="12.33203125" style="273" customWidth="1"/>
    <col min="14617" max="14617" width="16.77734375" style="273" customWidth="1"/>
    <col min="14618" max="14618" width="15.6640625" style="273" customWidth="1"/>
    <col min="14619" max="14619" width="17" style="273" customWidth="1"/>
    <col min="14620" max="14620" width="15.44140625" style="273" customWidth="1"/>
    <col min="14621" max="14621" width="10.77734375" style="273" customWidth="1"/>
    <col min="14622" max="14622" width="11" style="273" customWidth="1"/>
    <col min="14623" max="14635" width="10.77734375" style="273" customWidth="1"/>
    <col min="14636" max="14848" width="9.44140625" style="273"/>
    <col min="14849" max="14849" width="1.44140625" style="273" customWidth="1"/>
    <col min="14850" max="14850" width="57.88671875" style="273" customWidth="1"/>
    <col min="14851" max="14851" width="5.88671875" style="273" customWidth="1"/>
    <col min="14852" max="14852" width="12.33203125" style="273" customWidth="1"/>
    <col min="14853" max="14853" width="17.88671875" style="273" customWidth="1"/>
    <col min="14854" max="14872" width="12.33203125" style="273" customWidth="1"/>
    <col min="14873" max="14873" width="16.77734375" style="273" customWidth="1"/>
    <col min="14874" max="14874" width="15.6640625" style="273" customWidth="1"/>
    <col min="14875" max="14875" width="17" style="273" customWidth="1"/>
    <col min="14876" max="14876" width="15.44140625" style="273" customWidth="1"/>
    <col min="14877" max="14877" width="10.77734375" style="273" customWidth="1"/>
    <col min="14878" max="14878" width="11" style="273" customWidth="1"/>
    <col min="14879" max="14891" width="10.77734375" style="273" customWidth="1"/>
    <col min="14892" max="15104" width="9.44140625" style="273"/>
    <col min="15105" max="15105" width="1.44140625" style="273" customWidth="1"/>
    <col min="15106" max="15106" width="57.88671875" style="273" customWidth="1"/>
    <col min="15107" max="15107" width="5.88671875" style="273" customWidth="1"/>
    <col min="15108" max="15108" width="12.33203125" style="273" customWidth="1"/>
    <col min="15109" max="15109" width="17.88671875" style="273" customWidth="1"/>
    <col min="15110" max="15128" width="12.33203125" style="273" customWidth="1"/>
    <col min="15129" max="15129" width="16.77734375" style="273" customWidth="1"/>
    <col min="15130" max="15130" width="15.6640625" style="273" customWidth="1"/>
    <col min="15131" max="15131" width="17" style="273" customWidth="1"/>
    <col min="15132" max="15132" width="15.44140625" style="273" customWidth="1"/>
    <col min="15133" max="15133" width="10.77734375" style="273" customWidth="1"/>
    <col min="15134" max="15134" width="11" style="273" customWidth="1"/>
    <col min="15135" max="15147" width="10.77734375" style="273" customWidth="1"/>
    <col min="15148" max="15360" width="9.44140625" style="273"/>
    <col min="15361" max="15361" width="1.44140625" style="273" customWidth="1"/>
    <col min="15362" max="15362" width="57.88671875" style="273" customWidth="1"/>
    <col min="15363" max="15363" width="5.88671875" style="273" customWidth="1"/>
    <col min="15364" max="15364" width="12.33203125" style="273" customWidth="1"/>
    <col min="15365" max="15365" width="17.88671875" style="273" customWidth="1"/>
    <col min="15366" max="15384" width="12.33203125" style="273" customWidth="1"/>
    <col min="15385" max="15385" width="16.77734375" style="273" customWidth="1"/>
    <col min="15386" max="15386" width="15.6640625" style="273" customWidth="1"/>
    <col min="15387" max="15387" width="17" style="273" customWidth="1"/>
    <col min="15388" max="15388" width="15.44140625" style="273" customWidth="1"/>
    <col min="15389" max="15389" width="10.77734375" style="273" customWidth="1"/>
    <col min="15390" max="15390" width="11" style="273" customWidth="1"/>
    <col min="15391" max="15403" width="10.77734375" style="273" customWidth="1"/>
    <col min="15404" max="15616" width="9.44140625" style="273"/>
    <col min="15617" max="15617" width="1.44140625" style="273" customWidth="1"/>
    <col min="15618" max="15618" width="57.88671875" style="273" customWidth="1"/>
    <col min="15619" max="15619" width="5.88671875" style="273" customWidth="1"/>
    <col min="15620" max="15620" width="12.33203125" style="273" customWidth="1"/>
    <col min="15621" max="15621" width="17.88671875" style="273" customWidth="1"/>
    <col min="15622" max="15640" width="12.33203125" style="273" customWidth="1"/>
    <col min="15641" max="15641" width="16.77734375" style="273" customWidth="1"/>
    <col min="15642" max="15642" width="15.6640625" style="273" customWidth="1"/>
    <col min="15643" max="15643" width="17" style="273" customWidth="1"/>
    <col min="15644" max="15644" width="15.44140625" style="273" customWidth="1"/>
    <col min="15645" max="15645" width="10.77734375" style="273" customWidth="1"/>
    <col min="15646" max="15646" width="11" style="273" customWidth="1"/>
    <col min="15647" max="15659" width="10.77734375" style="273" customWidth="1"/>
    <col min="15660" max="15872" width="9.44140625" style="273"/>
    <col min="15873" max="15873" width="1.44140625" style="273" customWidth="1"/>
    <col min="15874" max="15874" width="57.88671875" style="273" customWidth="1"/>
    <col min="15875" max="15875" width="5.88671875" style="273" customWidth="1"/>
    <col min="15876" max="15876" width="12.33203125" style="273" customWidth="1"/>
    <col min="15877" max="15877" width="17.88671875" style="273" customWidth="1"/>
    <col min="15878" max="15896" width="12.33203125" style="273" customWidth="1"/>
    <col min="15897" max="15897" width="16.77734375" style="273" customWidth="1"/>
    <col min="15898" max="15898" width="15.6640625" style="273" customWidth="1"/>
    <col min="15899" max="15899" width="17" style="273" customWidth="1"/>
    <col min="15900" max="15900" width="15.44140625" style="273" customWidth="1"/>
    <col min="15901" max="15901" width="10.77734375" style="273" customWidth="1"/>
    <col min="15902" max="15902" width="11" style="273" customWidth="1"/>
    <col min="15903" max="15915" width="10.77734375" style="273" customWidth="1"/>
    <col min="15916" max="16128" width="9.44140625" style="273"/>
    <col min="16129" max="16129" width="1.44140625" style="273" customWidth="1"/>
    <col min="16130" max="16130" width="57.88671875" style="273" customWidth="1"/>
    <col min="16131" max="16131" width="5.88671875" style="273" customWidth="1"/>
    <col min="16132" max="16132" width="12.33203125" style="273" customWidth="1"/>
    <col min="16133" max="16133" width="17.88671875" style="273" customWidth="1"/>
    <col min="16134" max="16152" width="12.33203125" style="273" customWidth="1"/>
    <col min="16153" max="16153" width="16.77734375" style="273" customWidth="1"/>
    <col min="16154" max="16154" width="15.6640625" style="273" customWidth="1"/>
    <col min="16155" max="16155" width="17" style="273" customWidth="1"/>
    <col min="16156" max="16156" width="15.44140625" style="273" customWidth="1"/>
    <col min="16157" max="16157" width="10.77734375" style="273" customWidth="1"/>
    <col min="16158" max="16158" width="11" style="273" customWidth="1"/>
    <col min="16159" max="16171" width="10.77734375" style="273" customWidth="1"/>
    <col min="16172" max="16384" width="9.44140625" style="273"/>
  </cols>
  <sheetData>
    <row r="1" spans="1:43" ht="3" customHeight="1">
      <c r="A1" s="271"/>
      <c r="B1" s="271"/>
      <c r="C1" s="271"/>
      <c r="D1" s="272"/>
      <c r="E1" s="272"/>
      <c r="F1" s="272"/>
      <c r="G1" s="272"/>
      <c r="H1" s="272"/>
      <c r="I1" s="272"/>
      <c r="J1" s="272"/>
      <c r="K1" s="272"/>
      <c r="L1" s="272"/>
      <c r="M1" s="272"/>
      <c r="N1" s="272"/>
      <c r="O1" s="272"/>
      <c r="P1" s="272"/>
      <c r="Q1" s="272"/>
      <c r="R1" s="272"/>
      <c r="S1" s="272"/>
      <c r="T1" s="272"/>
      <c r="U1" s="272"/>
      <c r="V1" s="272"/>
      <c r="W1" s="272"/>
      <c r="X1" s="272"/>
      <c r="Y1" s="272"/>
      <c r="Z1" s="272"/>
      <c r="AA1" s="272"/>
      <c r="AB1" s="272"/>
      <c r="AC1" s="271"/>
      <c r="AD1" s="271"/>
      <c r="AE1" s="271"/>
      <c r="AF1" s="271"/>
      <c r="AG1" s="271"/>
      <c r="AH1" s="271"/>
      <c r="AI1" s="271"/>
      <c r="AJ1" s="271"/>
      <c r="AK1" s="271"/>
      <c r="AL1" s="271"/>
      <c r="AM1" s="271"/>
      <c r="AN1" s="271"/>
      <c r="AO1" s="271"/>
      <c r="AP1" s="271"/>
      <c r="AQ1" s="271"/>
    </row>
    <row r="2" spans="1:43" ht="24" customHeight="1">
      <c r="A2" s="271"/>
      <c r="B2" s="2542" t="s">
        <v>811</v>
      </c>
      <c r="C2" s="2543"/>
      <c r="D2" s="2544"/>
      <c r="E2" s="2544"/>
      <c r="F2" s="2544"/>
      <c r="G2" s="2544"/>
      <c r="H2" s="2544"/>
      <c r="I2" s="2544"/>
      <c r="J2" s="2544"/>
      <c r="K2" s="2544"/>
      <c r="L2" s="2544"/>
      <c r="M2" s="2544"/>
      <c r="N2" s="2544"/>
      <c r="O2" s="2544"/>
      <c r="P2" s="2544"/>
      <c r="Q2" s="2544"/>
      <c r="R2" s="2544"/>
      <c r="S2" s="2544"/>
      <c r="T2" s="2544"/>
      <c r="U2" s="2544"/>
      <c r="V2" s="2544"/>
      <c r="W2" s="2544"/>
      <c r="X2" s="2544"/>
      <c r="Y2" s="2544"/>
      <c r="Z2" s="2544"/>
      <c r="AA2" s="2544"/>
      <c r="AB2" s="2544"/>
      <c r="AC2" s="271"/>
      <c r="AD2" s="274"/>
      <c r="AE2" s="271"/>
      <c r="AF2" s="271"/>
      <c r="AG2" s="271"/>
      <c r="AH2" s="271"/>
      <c r="AI2" s="271"/>
      <c r="AJ2" s="271"/>
      <c r="AK2" s="271"/>
      <c r="AL2" s="271"/>
      <c r="AM2" s="271"/>
      <c r="AN2" s="271"/>
      <c r="AO2" s="271"/>
      <c r="AP2" s="271"/>
      <c r="AQ2" s="271"/>
    </row>
    <row r="3" spans="1:43" ht="18" customHeight="1">
      <c r="A3" s="271"/>
      <c r="B3" s="275"/>
      <c r="C3" s="276"/>
      <c r="D3" s="277"/>
      <c r="E3" s="277"/>
      <c r="F3" s="277"/>
      <c r="G3" s="277"/>
      <c r="H3" s="277"/>
      <c r="I3" s="277"/>
      <c r="J3" s="277"/>
      <c r="K3" s="277"/>
      <c r="L3" s="277"/>
      <c r="M3" s="277"/>
      <c r="N3" s="277"/>
      <c r="O3" s="277"/>
      <c r="P3" s="277"/>
      <c r="Q3" s="277"/>
      <c r="R3" s="277"/>
      <c r="S3" s="277"/>
      <c r="T3" s="277"/>
      <c r="U3" s="277"/>
      <c r="V3" s="277"/>
      <c r="W3" s="277"/>
      <c r="X3" s="277"/>
      <c r="Y3" s="277"/>
      <c r="Z3" s="277"/>
      <c r="AA3" s="277"/>
      <c r="AB3" s="277" t="s">
        <v>812</v>
      </c>
      <c r="AC3" s="271"/>
      <c r="AD3" s="274"/>
      <c r="AE3" s="271"/>
      <c r="AF3" s="271"/>
      <c r="AG3" s="271"/>
      <c r="AH3" s="271"/>
      <c r="AI3" s="271"/>
      <c r="AJ3" s="271"/>
      <c r="AK3" s="271"/>
      <c r="AL3" s="271"/>
      <c r="AM3" s="271"/>
      <c r="AN3" s="271"/>
      <c r="AO3" s="271"/>
      <c r="AP3" s="271"/>
      <c r="AQ3" s="271"/>
    </row>
    <row r="4" spans="1:43" ht="18" customHeight="1">
      <c r="A4" s="271"/>
      <c r="B4" s="278" t="s">
        <v>813</v>
      </c>
      <c r="C4" s="2545" t="s">
        <v>814</v>
      </c>
      <c r="D4" s="2546"/>
      <c r="E4" s="2546"/>
      <c r="F4" s="2546"/>
      <c r="G4" s="2546"/>
      <c r="H4" s="2546"/>
      <c r="I4" s="2546"/>
      <c r="J4" s="2546"/>
      <c r="K4" s="2546"/>
      <c r="L4" s="2546"/>
      <c r="M4" s="2546"/>
      <c r="N4" s="2546"/>
      <c r="O4" s="2546"/>
      <c r="P4" s="2546"/>
      <c r="Q4" s="2546"/>
      <c r="R4" s="2546"/>
      <c r="S4" s="2546"/>
      <c r="T4" s="2546"/>
      <c r="U4" s="2546"/>
      <c r="V4" s="2546"/>
      <c r="W4" s="2546"/>
      <c r="X4" s="2546"/>
      <c r="Y4" s="2546"/>
      <c r="Z4" s="2546"/>
      <c r="AA4" s="2546"/>
      <c r="AB4" s="277" t="s">
        <v>815</v>
      </c>
      <c r="AC4" s="271"/>
      <c r="AD4" s="274"/>
      <c r="AE4" s="271"/>
      <c r="AF4" s="271"/>
      <c r="AG4" s="271"/>
      <c r="AH4" s="271"/>
      <c r="AI4" s="271"/>
      <c r="AJ4" s="271"/>
      <c r="AK4" s="271"/>
      <c r="AL4" s="271"/>
      <c r="AM4" s="271"/>
      <c r="AN4" s="271"/>
      <c r="AO4" s="271"/>
      <c r="AP4" s="271"/>
      <c r="AQ4" s="271"/>
    </row>
    <row r="5" spans="1:43" ht="18" customHeight="1">
      <c r="A5" s="271"/>
      <c r="B5" s="2547" t="s">
        <v>445</v>
      </c>
      <c r="C5" s="2547" t="s">
        <v>816</v>
      </c>
      <c r="D5" s="2547" t="s">
        <v>446</v>
      </c>
      <c r="E5" s="2547"/>
      <c r="F5" s="2547"/>
      <c r="G5" s="2547"/>
      <c r="H5" s="2541"/>
      <c r="I5" s="2541"/>
      <c r="J5" s="2541"/>
      <c r="K5" s="2541"/>
      <c r="L5" s="2541"/>
      <c r="M5" s="2541"/>
      <c r="N5" s="2541"/>
      <c r="O5" s="2541"/>
      <c r="P5" s="2547" t="s">
        <v>817</v>
      </c>
      <c r="Q5" s="2547" t="s">
        <v>818</v>
      </c>
      <c r="R5" s="2547"/>
      <c r="S5" s="2547"/>
      <c r="T5" s="2547"/>
      <c r="U5" s="2547"/>
      <c r="V5" s="2547"/>
      <c r="W5" s="2547"/>
      <c r="X5" s="2547"/>
      <c r="Y5" s="2547"/>
      <c r="Z5" s="2547"/>
      <c r="AA5" s="2541" t="s">
        <v>819</v>
      </c>
      <c r="AB5" s="2547" t="s">
        <v>820</v>
      </c>
      <c r="AC5" s="271"/>
      <c r="AD5" s="271"/>
      <c r="AE5" s="271"/>
      <c r="AF5" s="271"/>
      <c r="AG5" s="271"/>
      <c r="AH5" s="271"/>
      <c r="AI5" s="271"/>
      <c r="AJ5" s="271"/>
      <c r="AK5" s="271"/>
      <c r="AL5" s="271"/>
      <c r="AM5" s="271"/>
      <c r="AN5" s="271"/>
      <c r="AO5" s="271"/>
      <c r="AP5" s="271"/>
      <c r="AQ5" s="271"/>
    </row>
    <row r="6" spans="1:43" ht="19.5" customHeight="1">
      <c r="A6" s="271"/>
      <c r="B6" s="2548"/>
      <c r="C6" s="2548"/>
      <c r="D6" s="2547" t="s">
        <v>447</v>
      </c>
      <c r="E6" s="2547" t="s">
        <v>448</v>
      </c>
      <c r="F6" s="2547" t="s">
        <v>449</v>
      </c>
      <c r="G6" s="2547"/>
      <c r="H6" s="2541"/>
      <c r="I6" s="2541"/>
      <c r="J6" s="2541"/>
      <c r="K6" s="2541"/>
      <c r="L6" s="2541" t="s">
        <v>450</v>
      </c>
      <c r="M6" s="2541" t="s">
        <v>451</v>
      </c>
      <c r="N6" s="2541" t="s">
        <v>452</v>
      </c>
      <c r="O6" s="2541" t="s">
        <v>453</v>
      </c>
      <c r="P6" s="2547"/>
      <c r="Q6" s="2547" t="s">
        <v>821</v>
      </c>
      <c r="R6" s="2553" t="s">
        <v>822</v>
      </c>
      <c r="S6" s="2547" t="s">
        <v>823</v>
      </c>
      <c r="T6" s="2547" t="s">
        <v>824</v>
      </c>
      <c r="U6" s="2547" t="s">
        <v>825</v>
      </c>
      <c r="V6" s="2547" t="s">
        <v>826</v>
      </c>
      <c r="W6" s="2541" t="s">
        <v>827</v>
      </c>
      <c r="X6" s="2547" t="s">
        <v>64</v>
      </c>
      <c r="Y6" s="2553" t="s">
        <v>828</v>
      </c>
      <c r="Z6" s="2547" t="s">
        <v>453</v>
      </c>
      <c r="AA6" s="2550"/>
      <c r="AB6" s="2550"/>
      <c r="AC6" s="271"/>
      <c r="AD6" s="271"/>
      <c r="AE6" s="271"/>
      <c r="AF6" s="271"/>
      <c r="AG6" s="271"/>
      <c r="AH6" s="271"/>
      <c r="AI6" s="271"/>
      <c r="AJ6" s="271"/>
      <c r="AK6" s="271"/>
      <c r="AL6" s="271"/>
      <c r="AM6" s="271"/>
      <c r="AN6" s="271"/>
      <c r="AO6" s="271"/>
      <c r="AP6" s="271"/>
      <c r="AQ6" s="271"/>
    </row>
    <row r="7" spans="1:43" ht="47.25" customHeight="1">
      <c r="A7" s="271"/>
      <c r="B7" s="2549" t="s">
        <v>445</v>
      </c>
      <c r="C7" s="2549" t="s">
        <v>816</v>
      </c>
      <c r="D7" s="2548" t="s">
        <v>447</v>
      </c>
      <c r="E7" s="2551"/>
      <c r="F7" s="283" t="s">
        <v>454</v>
      </c>
      <c r="G7" s="283" t="s">
        <v>455</v>
      </c>
      <c r="H7" s="284" t="s">
        <v>456</v>
      </c>
      <c r="I7" s="284" t="s">
        <v>457</v>
      </c>
      <c r="J7" s="284" t="s">
        <v>64</v>
      </c>
      <c r="K7" s="285" t="s">
        <v>458</v>
      </c>
      <c r="L7" s="2541" t="s">
        <v>459</v>
      </c>
      <c r="M7" s="2541" t="s">
        <v>460</v>
      </c>
      <c r="N7" s="2541" t="s">
        <v>461</v>
      </c>
      <c r="O7" s="2541"/>
      <c r="P7" s="2547" t="s">
        <v>829</v>
      </c>
      <c r="Q7" s="2547" t="s">
        <v>830</v>
      </c>
      <c r="R7" s="2547" t="s">
        <v>831</v>
      </c>
      <c r="S7" s="2547" t="s">
        <v>832</v>
      </c>
      <c r="T7" s="2547" t="s">
        <v>833</v>
      </c>
      <c r="U7" s="2547" t="s">
        <v>834</v>
      </c>
      <c r="V7" s="2547" t="s">
        <v>835</v>
      </c>
      <c r="W7" s="2547" t="s">
        <v>836</v>
      </c>
      <c r="X7" s="2552" t="s">
        <v>837</v>
      </c>
      <c r="Y7" s="2553"/>
      <c r="Z7" s="2552" t="s">
        <v>838</v>
      </c>
      <c r="AA7" s="2548" t="s">
        <v>819</v>
      </c>
      <c r="AB7" s="2548" t="s">
        <v>820</v>
      </c>
      <c r="AC7" s="271"/>
      <c r="AD7" s="279"/>
      <c r="AE7" s="271"/>
      <c r="AF7" s="271"/>
      <c r="AG7" s="271"/>
      <c r="AH7" s="271"/>
      <c r="AI7" s="271"/>
      <c r="AJ7" s="271"/>
      <c r="AK7" s="271"/>
      <c r="AL7" s="271"/>
      <c r="AM7" s="271"/>
      <c r="AN7" s="271"/>
      <c r="AO7" s="271"/>
      <c r="AP7" s="271"/>
      <c r="AQ7" s="271"/>
    </row>
    <row r="8" spans="1:43" ht="18" customHeight="1">
      <c r="A8" s="271"/>
      <c r="B8" s="322" t="s">
        <v>462</v>
      </c>
      <c r="C8" s="323" t="s">
        <v>839</v>
      </c>
      <c r="D8" s="324">
        <v>25544.272170205899</v>
      </c>
      <c r="E8" s="324">
        <v>-5457.9947708009995</v>
      </c>
      <c r="F8" s="324">
        <v>477.14651531530001</v>
      </c>
      <c r="G8" s="324">
        <v>24.809360003800002</v>
      </c>
      <c r="H8" s="324">
        <v>36.330864227399999</v>
      </c>
      <c r="I8" s="324">
        <v>22.8790891246</v>
      </c>
      <c r="J8" s="324">
        <v>87.612049829500009</v>
      </c>
      <c r="K8" s="324">
        <v>-1.1749103747</v>
      </c>
      <c r="L8" s="324">
        <v>45.7793216874</v>
      </c>
      <c r="M8" s="324">
        <v>1.3224564552</v>
      </c>
      <c r="N8" s="324">
        <v>-594.49747641860006</v>
      </c>
      <c r="O8" s="324">
        <v>20186.484669254798</v>
      </c>
      <c r="P8" s="324">
        <v>181.68962171509997</v>
      </c>
      <c r="Q8" s="324">
        <v>123.16542406950001</v>
      </c>
      <c r="R8" s="324">
        <v>700.4889301641</v>
      </c>
      <c r="S8" s="324">
        <v>186.85727930119998</v>
      </c>
      <c r="T8" s="324">
        <v>151.12543479030001</v>
      </c>
      <c r="U8" s="324">
        <v>131.92855538930002</v>
      </c>
      <c r="V8" s="324">
        <v>55.611028090600001</v>
      </c>
      <c r="W8" s="324">
        <v>83.713514797599998</v>
      </c>
      <c r="X8" s="324">
        <v>42.640067045500004</v>
      </c>
      <c r="Y8" s="324">
        <v>-75.8037297849</v>
      </c>
      <c r="Z8" s="324">
        <v>1399.7265038632002</v>
      </c>
      <c r="AA8" s="324">
        <v>-828.18401986029994</v>
      </c>
      <c r="AB8" s="324">
        <v>20939.7167749728</v>
      </c>
      <c r="AC8" s="271"/>
      <c r="AD8" s="274"/>
      <c r="AE8" s="271"/>
      <c r="AF8" s="271"/>
      <c r="AG8" s="271"/>
      <c r="AH8" s="271"/>
      <c r="AI8" s="271"/>
      <c r="AJ8" s="271"/>
      <c r="AK8" s="271"/>
      <c r="AL8" s="271"/>
      <c r="AM8" s="271"/>
      <c r="AN8" s="271"/>
      <c r="AO8" s="271"/>
      <c r="AP8" s="271"/>
      <c r="AQ8" s="271"/>
    </row>
    <row r="9" spans="1:43" ht="18" customHeight="1">
      <c r="A9" s="271"/>
      <c r="B9" s="325" t="s">
        <v>463</v>
      </c>
      <c r="C9" s="323" t="s">
        <v>840</v>
      </c>
      <c r="D9" s="324">
        <v>25544.272170205899</v>
      </c>
      <c r="E9" s="324">
        <v>-5457.9947708009995</v>
      </c>
      <c r="F9" s="324">
        <v>477.14651531530001</v>
      </c>
      <c r="G9" s="324">
        <v>24.809360003800002</v>
      </c>
      <c r="H9" s="324">
        <v>36.330864227399999</v>
      </c>
      <c r="I9" s="324">
        <v>22.8790891246</v>
      </c>
      <c r="J9" s="324">
        <v>87.612049829500009</v>
      </c>
      <c r="K9" s="324">
        <v>-1.1749103747</v>
      </c>
      <c r="L9" s="324">
        <v>45.7793216874</v>
      </c>
      <c r="M9" s="324">
        <v>1.3224564552</v>
      </c>
      <c r="N9" s="324">
        <v>-594.49747641860006</v>
      </c>
      <c r="O9" s="324">
        <v>20186.484669254798</v>
      </c>
      <c r="P9" s="324">
        <v>4.6567310673</v>
      </c>
      <c r="Q9" s="324">
        <v>123.16542406950001</v>
      </c>
      <c r="R9" s="324">
        <v>700.4889301641</v>
      </c>
      <c r="S9" s="324">
        <v>186.85727930119998</v>
      </c>
      <c r="T9" s="324">
        <v>151.12543479030001</v>
      </c>
      <c r="U9" s="324">
        <v>131.92855538930002</v>
      </c>
      <c r="V9" s="324">
        <v>55.611028090600001</v>
      </c>
      <c r="W9" s="324">
        <v>83.713514797599998</v>
      </c>
      <c r="X9" s="324">
        <v>42.640067045500004</v>
      </c>
      <c r="Y9" s="324">
        <v>-75.8037297849</v>
      </c>
      <c r="Z9" s="324">
        <v>1399.7265038632002</v>
      </c>
      <c r="AA9" s="324">
        <v>-754.15947457880009</v>
      </c>
      <c r="AB9" s="324">
        <v>20836.7084296065</v>
      </c>
      <c r="AC9" s="271"/>
      <c r="AD9" s="274"/>
      <c r="AE9" s="271"/>
      <c r="AF9" s="271"/>
      <c r="AG9" s="271"/>
      <c r="AH9" s="271"/>
      <c r="AI9" s="271"/>
      <c r="AJ9" s="271"/>
      <c r="AK9" s="271"/>
      <c r="AL9" s="271"/>
      <c r="AM9" s="271"/>
      <c r="AN9" s="271"/>
      <c r="AO9" s="271"/>
      <c r="AP9" s="271"/>
      <c r="AQ9" s="271"/>
    </row>
    <row r="10" spans="1:43" ht="18" customHeight="1">
      <c r="A10" s="271"/>
      <c r="B10" s="325" t="s">
        <v>464</v>
      </c>
      <c r="C10" s="323" t="s">
        <v>841</v>
      </c>
      <c r="D10" s="324">
        <v>26858.092198038299</v>
      </c>
      <c r="E10" s="324">
        <v>-5450.9491446562997</v>
      </c>
      <c r="F10" s="324">
        <v>467.9975981568</v>
      </c>
      <c r="G10" s="324">
        <v>24.775266975300003</v>
      </c>
      <c r="H10" s="324">
        <v>35.775160208199999</v>
      </c>
      <c r="I10" s="324">
        <v>22.3149740548</v>
      </c>
      <c r="J10" s="324">
        <v>83.665941972599995</v>
      </c>
      <c r="K10" s="324">
        <v>-0.94589958750000003</v>
      </c>
      <c r="L10" s="324">
        <v>44.528038150200004</v>
      </c>
      <c r="M10" s="324">
        <v>1.3224564552</v>
      </c>
      <c r="N10" s="324">
        <v>-584.66442419639998</v>
      </c>
      <c r="O10" s="324">
        <v>21501.912165571201</v>
      </c>
      <c r="P10" s="324">
        <v>3.4549031514999999</v>
      </c>
      <c r="Q10" s="324">
        <v>122.92434597270001</v>
      </c>
      <c r="R10" s="324">
        <v>694.41227048719998</v>
      </c>
      <c r="S10" s="324">
        <v>185.76781388480001</v>
      </c>
      <c r="T10" s="324">
        <v>150.34720905629999</v>
      </c>
      <c r="U10" s="324">
        <v>131.6829236543</v>
      </c>
      <c r="V10" s="324">
        <v>46.911307771300002</v>
      </c>
      <c r="W10" s="324">
        <v>83.647680025699998</v>
      </c>
      <c r="X10" s="324">
        <v>41.330419546900004</v>
      </c>
      <c r="Y10" s="324">
        <v>-73.562876960799997</v>
      </c>
      <c r="Z10" s="324">
        <v>1383.4610934384</v>
      </c>
      <c r="AA10" s="324">
        <v>-752.80418774020006</v>
      </c>
      <c r="AB10" s="324">
        <v>22136.023974420899</v>
      </c>
      <c r="AC10" s="271"/>
      <c r="AD10" s="271"/>
      <c r="AE10" s="271"/>
      <c r="AF10" s="271"/>
      <c r="AG10" s="271"/>
      <c r="AH10" s="271"/>
      <c r="AI10" s="271"/>
      <c r="AJ10" s="271"/>
      <c r="AK10" s="271"/>
      <c r="AL10" s="271"/>
      <c r="AM10" s="271"/>
      <c r="AN10" s="271"/>
      <c r="AO10" s="271"/>
      <c r="AP10" s="271"/>
      <c r="AQ10" s="271"/>
    </row>
    <row r="11" spans="1:43" ht="18" customHeight="1">
      <c r="A11" s="271"/>
      <c r="B11" s="325" t="s">
        <v>465</v>
      </c>
      <c r="C11" s="323" t="s">
        <v>842</v>
      </c>
      <c r="D11" s="324">
        <v>208.88121035450001</v>
      </c>
      <c r="E11" s="324">
        <v>-4.6206047600000001E-2</v>
      </c>
      <c r="F11" s="324" t="s">
        <v>414</v>
      </c>
      <c r="G11" s="324" t="s">
        <v>414</v>
      </c>
      <c r="H11" s="324" t="s">
        <v>414</v>
      </c>
      <c r="I11" s="324" t="s">
        <v>414</v>
      </c>
      <c r="J11" s="324" t="s">
        <v>414</v>
      </c>
      <c r="K11" s="324" t="s">
        <v>414</v>
      </c>
      <c r="L11" s="324">
        <v>0</v>
      </c>
      <c r="M11" s="324" t="s">
        <v>414</v>
      </c>
      <c r="N11" s="324">
        <v>0</v>
      </c>
      <c r="O11" s="324">
        <v>208.83500430689998</v>
      </c>
      <c r="P11" s="324" t="s">
        <v>414</v>
      </c>
      <c r="Q11" s="324" t="s">
        <v>414</v>
      </c>
      <c r="R11" s="324" t="s">
        <v>414</v>
      </c>
      <c r="S11" s="324" t="s">
        <v>414</v>
      </c>
      <c r="T11" s="324" t="s">
        <v>414</v>
      </c>
      <c r="U11" s="324" t="s">
        <v>414</v>
      </c>
      <c r="V11" s="324" t="s">
        <v>414</v>
      </c>
      <c r="W11" s="324" t="s">
        <v>414</v>
      </c>
      <c r="X11" s="324" t="s">
        <v>414</v>
      </c>
      <c r="Y11" s="324" t="s">
        <v>414</v>
      </c>
      <c r="Z11" s="324" t="s">
        <v>414</v>
      </c>
      <c r="AA11" s="324">
        <v>0</v>
      </c>
      <c r="AB11" s="324">
        <v>208.83500430689998</v>
      </c>
      <c r="AC11" s="271"/>
      <c r="AD11" s="271"/>
      <c r="AE11" s="271"/>
      <c r="AF11" s="271"/>
      <c r="AG11" s="271"/>
      <c r="AH11" s="271"/>
      <c r="AI11" s="271"/>
      <c r="AJ11" s="271"/>
      <c r="AK11" s="271"/>
      <c r="AL11" s="271"/>
      <c r="AM11" s="271"/>
      <c r="AN11" s="271"/>
      <c r="AO11" s="271"/>
      <c r="AP11" s="271"/>
      <c r="AQ11" s="271"/>
    </row>
    <row r="12" spans="1:43" ht="18" customHeight="1">
      <c r="A12" s="271"/>
      <c r="B12" s="325" t="s">
        <v>466</v>
      </c>
      <c r="C12" s="323" t="s">
        <v>843</v>
      </c>
      <c r="D12" s="324">
        <v>251.85800744810001</v>
      </c>
      <c r="E12" s="324">
        <v>0</v>
      </c>
      <c r="F12" s="324" t="s">
        <v>414</v>
      </c>
      <c r="G12" s="324" t="s">
        <v>414</v>
      </c>
      <c r="H12" s="324" t="s">
        <v>414</v>
      </c>
      <c r="I12" s="324" t="s">
        <v>414</v>
      </c>
      <c r="J12" s="324" t="s">
        <v>414</v>
      </c>
      <c r="K12" s="324" t="s">
        <v>414</v>
      </c>
      <c r="L12" s="324">
        <v>0</v>
      </c>
      <c r="M12" s="324" t="s">
        <v>414</v>
      </c>
      <c r="N12" s="324">
        <v>0</v>
      </c>
      <c r="O12" s="324">
        <v>251.85800744810001</v>
      </c>
      <c r="P12" s="324" t="s">
        <v>414</v>
      </c>
      <c r="Q12" s="324" t="s">
        <v>414</v>
      </c>
      <c r="R12" s="324" t="s">
        <v>414</v>
      </c>
      <c r="S12" s="324" t="s">
        <v>414</v>
      </c>
      <c r="T12" s="324" t="s">
        <v>414</v>
      </c>
      <c r="U12" s="324" t="s">
        <v>414</v>
      </c>
      <c r="V12" s="324" t="s">
        <v>414</v>
      </c>
      <c r="W12" s="324" t="s">
        <v>414</v>
      </c>
      <c r="X12" s="324" t="s">
        <v>414</v>
      </c>
      <c r="Y12" s="324" t="s">
        <v>414</v>
      </c>
      <c r="Z12" s="324" t="s">
        <v>414</v>
      </c>
      <c r="AA12" s="324">
        <v>0</v>
      </c>
      <c r="AB12" s="324">
        <v>251.85800744810001</v>
      </c>
      <c r="AC12" s="271"/>
      <c r="AD12" s="271"/>
      <c r="AE12" s="271"/>
      <c r="AF12" s="271"/>
      <c r="AG12" s="271"/>
      <c r="AH12" s="271"/>
      <c r="AI12" s="271"/>
      <c r="AJ12" s="271"/>
      <c r="AK12" s="271"/>
      <c r="AL12" s="271"/>
      <c r="AM12" s="271"/>
      <c r="AN12" s="271"/>
      <c r="AO12" s="271"/>
      <c r="AP12" s="271"/>
      <c r="AQ12" s="271"/>
    </row>
    <row r="13" spans="1:43" ht="18" customHeight="1">
      <c r="A13" s="271"/>
      <c r="B13" s="325" t="s">
        <v>467</v>
      </c>
      <c r="C13" s="323" t="s">
        <v>844</v>
      </c>
      <c r="D13" s="324">
        <v>226.01150278220001</v>
      </c>
      <c r="E13" s="324">
        <v>0</v>
      </c>
      <c r="F13" s="324" t="s">
        <v>414</v>
      </c>
      <c r="G13" s="324" t="s">
        <v>414</v>
      </c>
      <c r="H13" s="324" t="s">
        <v>414</v>
      </c>
      <c r="I13" s="324" t="s">
        <v>414</v>
      </c>
      <c r="J13" s="324" t="s">
        <v>414</v>
      </c>
      <c r="K13" s="324" t="s">
        <v>414</v>
      </c>
      <c r="L13" s="324">
        <v>0</v>
      </c>
      <c r="M13" s="324" t="s">
        <v>414</v>
      </c>
      <c r="N13" s="324">
        <v>0</v>
      </c>
      <c r="O13" s="324">
        <v>226.01150278220001</v>
      </c>
      <c r="P13" s="324" t="s">
        <v>414</v>
      </c>
      <c r="Q13" s="324" t="s">
        <v>414</v>
      </c>
      <c r="R13" s="324" t="s">
        <v>414</v>
      </c>
      <c r="S13" s="324" t="s">
        <v>414</v>
      </c>
      <c r="T13" s="324" t="s">
        <v>414</v>
      </c>
      <c r="U13" s="324" t="s">
        <v>414</v>
      </c>
      <c r="V13" s="324" t="s">
        <v>414</v>
      </c>
      <c r="W13" s="324" t="s">
        <v>414</v>
      </c>
      <c r="X13" s="324" t="s">
        <v>414</v>
      </c>
      <c r="Y13" s="324" t="s">
        <v>414</v>
      </c>
      <c r="Z13" s="324" t="s">
        <v>414</v>
      </c>
      <c r="AA13" s="324">
        <v>0</v>
      </c>
      <c r="AB13" s="324">
        <v>226.01150278220001</v>
      </c>
      <c r="AC13" s="271"/>
      <c r="AD13" s="271"/>
      <c r="AE13" s="271"/>
      <c r="AF13" s="271"/>
      <c r="AG13" s="271"/>
      <c r="AH13" s="271"/>
      <c r="AI13" s="271"/>
      <c r="AJ13" s="271"/>
      <c r="AK13" s="271"/>
      <c r="AL13" s="271"/>
      <c r="AM13" s="271"/>
      <c r="AN13" s="271"/>
      <c r="AO13" s="271"/>
      <c r="AP13" s="271"/>
      <c r="AQ13" s="271"/>
    </row>
    <row r="14" spans="1:43" ht="18" customHeight="1">
      <c r="A14" s="271"/>
      <c r="B14" s="325" t="s">
        <v>468</v>
      </c>
      <c r="C14" s="323" t="s">
        <v>845</v>
      </c>
      <c r="D14" s="324">
        <v>458.7301811337</v>
      </c>
      <c r="E14" s="324">
        <v>-4.3895745800000004E-2</v>
      </c>
      <c r="F14" s="324" t="s">
        <v>414</v>
      </c>
      <c r="G14" s="324" t="s">
        <v>414</v>
      </c>
      <c r="H14" s="324" t="s">
        <v>414</v>
      </c>
      <c r="I14" s="324" t="s">
        <v>414</v>
      </c>
      <c r="J14" s="324" t="s">
        <v>414</v>
      </c>
      <c r="K14" s="324" t="s">
        <v>414</v>
      </c>
      <c r="L14" s="324">
        <v>0</v>
      </c>
      <c r="M14" s="324" t="s">
        <v>414</v>
      </c>
      <c r="N14" s="324">
        <v>0</v>
      </c>
      <c r="O14" s="324">
        <v>458.6862853879</v>
      </c>
      <c r="P14" s="324" t="s">
        <v>414</v>
      </c>
      <c r="Q14" s="324" t="s">
        <v>414</v>
      </c>
      <c r="R14" s="324" t="s">
        <v>414</v>
      </c>
      <c r="S14" s="324" t="s">
        <v>414</v>
      </c>
      <c r="T14" s="324" t="s">
        <v>414</v>
      </c>
      <c r="U14" s="324" t="s">
        <v>414</v>
      </c>
      <c r="V14" s="324" t="s">
        <v>414</v>
      </c>
      <c r="W14" s="324" t="s">
        <v>414</v>
      </c>
      <c r="X14" s="324" t="s">
        <v>414</v>
      </c>
      <c r="Y14" s="324" t="s">
        <v>414</v>
      </c>
      <c r="Z14" s="324" t="s">
        <v>414</v>
      </c>
      <c r="AA14" s="324">
        <v>0</v>
      </c>
      <c r="AB14" s="324">
        <v>458.6862853879</v>
      </c>
      <c r="AC14" s="271"/>
      <c r="AD14" s="271"/>
      <c r="AE14" s="271"/>
      <c r="AF14" s="271"/>
      <c r="AG14" s="271"/>
      <c r="AH14" s="271"/>
      <c r="AI14" s="271"/>
      <c r="AJ14" s="271"/>
      <c r="AK14" s="271"/>
      <c r="AL14" s="271"/>
      <c r="AM14" s="271"/>
      <c r="AN14" s="271"/>
      <c r="AO14" s="271"/>
      <c r="AP14" s="271"/>
      <c r="AQ14" s="271"/>
    </row>
    <row r="15" spans="1:43" ht="18" customHeight="1">
      <c r="A15" s="271"/>
      <c r="B15" s="325" t="s">
        <v>469</v>
      </c>
      <c r="C15" s="323" t="s">
        <v>846</v>
      </c>
      <c r="D15" s="324">
        <v>6.2519879808000001</v>
      </c>
      <c r="E15" s="324">
        <v>0</v>
      </c>
      <c r="F15" s="324" t="s">
        <v>414</v>
      </c>
      <c r="G15" s="324" t="s">
        <v>414</v>
      </c>
      <c r="H15" s="324" t="s">
        <v>414</v>
      </c>
      <c r="I15" s="324" t="s">
        <v>414</v>
      </c>
      <c r="J15" s="324" t="s">
        <v>414</v>
      </c>
      <c r="K15" s="324" t="s">
        <v>414</v>
      </c>
      <c r="L15" s="324">
        <v>0</v>
      </c>
      <c r="M15" s="324" t="s">
        <v>414</v>
      </c>
      <c r="N15" s="324">
        <v>0</v>
      </c>
      <c r="O15" s="324">
        <v>6.2519879808000001</v>
      </c>
      <c r="P15" s="324" t="s">
        <v>414</v>
      </c>
      <c r="Q15" s="324" t="s">
        <v>414</v>
      </c>
      <c r="R15" s="324" t="s">
        <v>414</v>
      </c>
      <c r="S15" s="324" t="s">
        <v>414</v>
      </c>
      <c r="T15" s="324" t="s">
        <v>414</v>
      </c>
      <c r="U15" s="324" t="s">
        <v>414</v>
      </c>
      <c r="V15" s="324" t="s">
        <v>414</v>
      </c>
      <c r="W15" s="324" t="s">
        <v>414</v>
      </c>
      <c r="X15" s="324" t="s">
        <v>414</v>
      </c>
      <c r="Y15" s="324" t="s">
        <v>414</v>
      </c>
      <c r="Z15" s="324" t="s">
        <v>414</v>
      </c>
      <c r="AA15" s="324">
        <v>0</v>
      </c>
      <c r="AB15" s="324">
        <v>6.2519879808000001</v>
      </c>
      <c r="AC15" s="271"/>
      <c r="AD15" s="271"/>
      <c r="AE15" s="271"/>
      <c r="AF15" s="271"/>
      <c r="AG15" s="271"/>
      <c r="AH15" s="271"/>
      <c r="AI15" s="271"/>
      <c r="AJ15" s="271"/>
      <c r="AK15" s="271"/>
      <c r="AL15" s="271"/>
      <c r="AM15" s="271"/>
      <c r="AN15" s="271"/>
      <c r="AO15" s="271"/>
      <c r="AP15" s="271"/>
      <c r="AQ15" s="271"/>
    </row>
    <row r="16" spans="1:43" ht="18" customHeight="1">
      <c r="A16" s="271"/>
      <c r="B16" s="325" t="s">
        <v>470</v>
      </c>
      <c r="C16" s="323" t="s">
        <v>847</v>
      </c>
      <c r="D16" s="324">
        <v>233.39953429209999</v>
      </c>
      <c r="E16" s="324">
        <v>0</v>
      </c>
      <c r="F16" s="324" t="s">
        <v>414</v>
      </c>
      <c r="G16" s="324" t="s">
        <v>414</v>
      </c>
      <c r="H16" s="324" t="s">
        <v>414</v>
      </c>
      <c r="I16" s="324" t="s">
        <v>414</v>
      </c>
      <c r="J16" s="324" t="s">
        <v>414</v>
      </c>
      <c r="K16" s="324" t="s">
        <v>414</v>
      </c>
      <c r="L16" s="324">
        <v>0</v>
      </c>
      <c r="M16" s="324" t="s">
        <v>414</v>
      </c>
      <c r="N16" s="324">
        <v>0</v>
      </c>
      <c r="O16" s="324">
        <v>233.39953429209999</v>
      </c>
      <c r="P16" s="324" t="s">
        <v>414</v>
      </c>
      <c r="Q16" s="324" t="s">
        <v>414</v>
      </c>
      <c r="R16" s="324" t="s">
        <v>414</v>
      </c>
      <c r="S16" s="324" t="s">
        <v>414</v>
      </c>
      <c r="T16" s="324" t="s">
        <v>414</v>
      </c>
      <c r="U16" s="324" t="s">
        <v>414</v>
      </c>
      <c r="V16" s="324" t="s">
        <v>414</v>
      </c>
      <c r="W16" s="324" t="s">
        <v>414</v>
      </c>
      <c r="X16" s="324" t="s">
        <v>414</v>
      </c>
      <c r="Y16" s="324" t="s">
        <v>414</v>
      </c>
      <c r="Z16" s="324" t="s">
        <v>414</v>
      </c>
      <c r="AA16" s="324">
        <v>0</v>
      </c>
      <c r="AB16" s="324">
        <v>233.39953429209999</v>
      </c>
      <c r="AC16" s="271"/>
      <c r="AD16" s="271"/>
      <c r="AE16" s="271"/>
      <c r="AF16" s="271"/>
      <c r="AG16" s="271"/>
      <c r="AH16" s="271"/>
      <c r="AI16" s="271"/>
      <c r="AJ16" s="271"/>
      <c r="AK16" s="271"/>
      <c r="AL16" s="271"/>
      <c r="AM16" s="271"/>
      <c r="AN16" s="271"/>
      <c r="AO16" s="271"/>
      <c r="AP16" s="271"/>
      <c r="AQ16" s="271"/>
    </row>
    <row r="17" spans="1:43" ht="18" customHeight="1">
      <c r="A17" s="271"/>
      <c r="B17" s="325" t="s">
        <v>471</v>
      </c>
      <c r="C17" s="323" t="s">
        <v>848</v>
      </c>
      <c r="D17" s="324">
        <v>0.57453689190000001</v>
      </c>
      <c r="E17" s="324">
        <v>0</v>
      </c>
      <c r="F17" s="324" t="s">
        <v>414</v>
      </c>
      <c r="G17" s="324" t="s">
        <v>414</v>
      </c>
      <c r="H17" s="324" t="s">
        <v>414</v>
      </c>
      <c r="I17" s="324" t="s">
        <v>414</v>
      </c>
      <c r="J17" s="324" t="s">
        <v>414</v>
      </c>
      <c r="K17" s="324" t="s">
        <v>414</v>
      </c>
      <c r="L17" s="324">
        <v>0</v>
      </c>
      <c r="M17" s="324" t="s">
        <v>414</v>
      </c>
      <c r="N17" s="324">
        <v>0</v>
      </c>
      <c r="O17" s="324">
        <v>0.57453689190000001</v>
      </c>
      <c r="P17" s="324" t="s">
        <v>414</v>
      </c>
      <c r="Q17" s="324" t="s">
        <v>414</v>
      </c>
      <c r="R17" s="324" t="s">
        <v>414</v>
      </c>
      <c r="S17" s="324" t="s">
        <v>414</v>
      </c>
      <c r="T17" s="324" t="s">
        <v>414</v>
      </c>
      <c r="U17" s="324" t="s">
        <v>414</v>
      </c>
      <c r="V17" s="324" t="s">
        <v>414</v>
      </c>
      <c r="W17" s="324" t="s">
        <v>414</v>
      </c>
      <c r="X17" s="324" t="s">
        <v>414</v>
      </c>
      <c r="Y17" s="324" t="s">
        <v>414</v>
      </c>
      <c r="Z17" s="324" t="s">
        <v>414</v>
      </c>
      <c r="AA17" s="324">
        <v>0</v>
      </c>
      <c r="AB17" s="324">
        <v>0.57453689190000001</v>
      </c>
      <c r="AC17" s="271"/>
      <c r="AD17" s="271"/>
      <c r="AE17" s="271"/>
      <c r="AF17" s="271"/>
      <c r="AG17" s="271"/>
      <c r="AH17" s="271"/>
      <c r="AI17" s="271"/>
      <c r="AJ17" s="271"/>
      <c r="AK17" s="271"/>
      <c r="AL17" s="271"/>
      <c r="AM17" s="271"/>
      <c r="AN17" s="271"/>
      <c r="AO17" s="271"/>
      <c r="AP17" s="271"/>
      <c r="AQ17" s="271"/>
    </row>
    <row r="18" spans="1:43" ht="18" customHeight="1">
      <c r="A18" s="271"/>
      <c r="B18" s="325" t="s">
        <v>472</v>
      </c>
      <c r="C18" s="323" t="s">
        <v>849</v>
      </c>
      <c r="D18" s="324">
        <v>25472.385237154998</v>
      </c>
      <c r="E18" s="324">
        <v>-5450.8590428628995</v>
      </c>
      <c r="F18" s="324">
        <v>467.9975981568</v>
      </c>
      <c r="G18" s="324">
        <v>24.775266975300003</v>
      </c>
      <c r="H18" s="324">
        <v>35.775160208199999</v>
      </c>
      <c r="I18" s="324">
        <v>22.3149740548</v>
      </c>
      <c r="J18" s="324">
        <v>83.665941972599995</v>
      </c>
      <c r="K18" s="324">
        <v>-0.94589958750000003</v>
      </c>
      <c r="L18" s="324">
        <v>44.528038150200004</v>
      </c>
      <c r="M18" s="324">
        <v>1.3224564552</v>
      </c>
      <c r="N18" s="324">
        <v>-584.66442419639998</v>
      </c>
      <c r="O18" s="324">
        <v>20116.295306481297</v>
      </c>
      <c r="P18" s="324">
        <v>3.4549031514999999</v>
      </c>
      <c r="Q18" s="324">
        <v>122.92434597270001</v>
      </c>
      <c r="R18" s="324">
        <v>694.41227048719998</v>
      </c>
      <c r="S18" s="324">
        <v>185.76781388480001</v>
      </c>
      <c r="T18" s="324">
        <v>150.34720905629999</v>
      </c>
      <c r="U18" s="324">
        <v>131.6829236543</v>
      </c>
      <c r="V18" s="324">
        <v>46.911307771300002</v>
      </c>
      <c r="W18" s="324">
        <v>83.647680025699998</v>
      </c>
      <c r="X18" s="324">
        <v>41.330419546900004</v>
      </c>
      <c r="Y18" s="324">
        <v>-73.562876960799997</v>
      </c>
      <c r="Z18" s="324">
        <v>1383.4610934384</v>
      </c>
      <c r="AA18" s="324">
        <v>-752.80418774020006</v>
      </c>
      <c r="AB18" s="324">
        <v>20750.407115331</v>
      </c>
      <c r="AC18" s="271"/>
      <c r="AD18" s="271"/>
      <c r="AE18" s="271"/>
      <c r="AF18" s="271"/>
      <c r="AG18" s="271"/>
      <c r="AH18" s="271"/>
      <c r="AI18" s="271"/>
      <c r="AJ18" s="271"/>
      <c r="AK18" s="271"/>
      <c r="AL18" s="271"/>
      <c r="AM18" s="271"/>
      <c r="AN18" s="271"/>
      <c r="AO18" s="271"/>
      <c r="AP18" s="271"/>
      <c r="AQ18" s="271"/>
    </row>
    <row r="19" spans="1:43" ht="18" customHeight="1">
      <c r="A19" s="271"/>
      <c r="B19" s="325" t="s">
        <v>473</v>
      </c>
      <c r="C19" s="323" t="s">
        <v>850</v>
      </c>
      <c r="D19" s="324">
        <v>23591.833729652597</v>
      </c>
      <c r="E19" s="324">
        <v>-5066.6294638282998</v>
      </c>
      <c r="F19" s="324" t="s">
        <v>414</v>
      </c>
      <c r="G19" s="324" t="s">
        <v>414</v>
      </c>
      <c r="H19" s="324" t="s">
        <v>414</v>
      </c>
      <c r="I19" s="324" t="s">
        <v>414</v>
      </c>
      <c r="J19" s="324" t="s">
        <v>414</v>
      </c>
      <c r="K19" s="324" t="s">
        <v>414</v>
      </c>
      <c r="L19" s="324">
        <v>43.365747413699999</v>
      </c>
      <c r="M19" s="324" t="s">
        <v>414</v>
      </c>
      <c r="N19" s="324">
        <v>-48.585442671400003</v>
      </c>
      <c r="O19" s="324">
        <v>18519.984570566598</v>
      </c>
      <c r="P19" s="324" t="s">
        <v>414</v>
      </c>
      <c r="Q19" s="324" t="s">
        <v>414</v>
      </c>
      <c r="R19" s="324" t="s">
        <v>414</v>
      </c>
      <c r="S19" s="324">
        <v>184.65870463709999</v>
      </c>
      <c r="T19" s="324" t="s">
        <v>414</v>
      </c>
      <c r="U19" s="324" t="s">
        <v>414</v>
      </c>
      <c r="V19" s="324" t="s">
        <v>414</v>
      </c>
      <c r="W19" s="324" t="s">
        <v>414</v>
      </c>
      <c r="X19" s="324" t="s">
        <v>414</v>
      </c>
      <c r="Y19" s="324" t="s">
        <v>414</v>
      </c>
      <c r="Z19" s="324">
        <v>184.65870463709999</v>
      </c>
      <c r="AA19" s="324">
        <v>-214.0389694404</v>
      </c>
      <c r="AB19" s="324">
        <v>18490.6043057633</v>
      </c>
      <c r="AC19" s="271"/>
      <c r="AD19" s="271"/>
      <c r="AE19" s="271"/>
      <c r="AF19" s="271"/>
      <c r="AG19" s="271"/>
      <c r="AH19" s="271"/>
      <c r="AI19" s="271"/>
      <c r="AJ19" s="271"/>
      <c r="AK19" s="271"/>
      <c r="AL19" s="271"/>
      <c r="AM19" s="271"/>
      <c r="AN19" s="271"/>
      <c r="AO19" s="271"/>
      <c r="AP19" s="271"/>
      <c r="AQ19" s="271"/>
    </row>
    <row r="20" spans="1:43" ht="18" customHeight="1">
      <c r="A20" s="271"/>
      <c r="B20" s="325" t="s">
        <v>474</v>
      </c>
      <c r="C20" s="323" t="s">
        <v>851</v>
      </c>
      <c r="D20" s="324">
        <v>92.5</v>
      </c>
      <c r="E20" s="324">
        <v>0</v>
      </c>
      <c r="F20" s="324" t="s">
        <v>414</v>
      </c>
      <c r="G20" s="324" t="s">
        <v>414</v>
      </c>
      <c r="H20" s="324" t="s">
        <v>414</v>
      </c>
      <c r="I20" s="324" t="s">
        <v>414</v>
      </c>
      <c r="J20" s="324" t="s">
        <v>414</v>
      </c>
      <c r="K20" s="324" t="s">
        <v>414</v>
      </c>
      <c r="L20" s="324">
        <v>0</v>
      </c>
      <c r="M20" s="324" t="s">
        <v>414</v>
      </c>
      <c r="N20" s="324">
        <v>0</v>
      </c>
      <c r="O20" s="324">
        <v>92.5</v>
      </c>
      <c r="P20" s="324" t="s">
        <v>414</v>
      </c>
      <c r="Q20" s="324" t="s">
        <v>414</v>
      </c>
      <c r="R20" s="324" t="s">
        <v>414</v>
      </c>
      <c r="S20" s="324" t="s">
        <v>414</v>
      </c>
      <c r="T20" s="324" t="s">
        <v>414</v>
      </c>
      <c r="U20" s="324" t="s">
        <v>414</v>
      </c>
      <c r="V20" s="324" t="s">
        <v>414</v>
      </c>
      <c r="W20" s="324" t="s">
        <v>414</v>
      </c>
      <c r="X20" s="324" t="s">
        <v>414</v>
      </c>
      <c r="Y20" s="324" t="s">
        <v>414</v>
      </c>
      <c r="Z20" s="324" t="s">
        <v>414</v>
      </c>
      <c r="AA20" s="324">
        <v>0</v>
      </c>
      <c r="AB20" s="324">
        <v>92.5</v>
      </c>
      <c r="AC20" s="271"/>
      <c r="AD20" s="271"/>
      <c r="AE20" s="271"/>
      <c r="AF20" s="271"/>
      <c r="AG20" s="271"/>
      <c r="AH20" s="271"/>
      <c r="AI20" s="271"/>
      <c r="AJ20" s="271"/>
      <c r="AK20" s="271"/>
      <c r="AL20" s="271"/>
      <c r="AM20" s="271"/>
      <c r="AN20" s="271"/>
      <c r="AO20" s="271"/>
      <c r="AP20" s="271"/>
      <c r="AQ20" s="271"/>
    </row>
    <row r="21" spans="1:43" ht="18" customHeight="1">
      <c r="A21" s="271"/>
      <c r="B21" s="326" t="s">
        <v>475</v>
      </c>
      <c r="C21" s="323" t="s">
        <v>852</v>
      </c>
      <c r="D21" s="324">
        <v>618.96178530489999</v>
      </c>
      <c r="E21" s="324">
        <v>0</v>
      </c>
      <c r="F21" s="324" t="s">
        <v>414</v>
      </c>
      <c r="G21" s="324" t="s">
        <v>414</v>
      </c>
      <c r="H21" s="324" t="s">
        <v>414</v>
      </c>
      <c r="I21" s="324" t="s">
        <v>414</v>
      </c>
      <c r="J21" s="324" t="s">
        <v>414</v>
      </c>
      <c r="K21" s="324" t="s">
        <v>414</v>
      </c>
      <c r="L21" s="324">
        <v>0</v>
      </c>
      <c r="M21" s="324" t="s">
        <v>414</v>
      </c>
      <c r="N21" s="324">
        <v>0</v>
      </c>
      <c r="O21" s="324">
        <v>618.96178530489999</v>
      </c>
      <c r="P21" s="324" t="s">
        <v>414</v>
      </c>
      <c r="Q21" s="324" t="s">
        <v>414</v>
      </c>
      <c r="R21" s="324" t="s">
        <v>414</v>
      </c>
      <c r="S21" s="324" t="s">
        <v>414</v>
      </c>
      <c r="T21" s="324" t="s">
        <v>414</v>
      </c>
      <c r="U21" s="324" t="s">
        <v>414</v>
      </c>
      <c r="V21" s="324" t="s">
        <v>414</v>
      </c>
      <c r="W21" s="324" t="s">
        <v>414</v>
      </c>
      <c r="X21" s="324" t="s">
        <v>414</v>
      </c>
      <c r="Y21" s="324" t="s">
        <v>414</v>
      </c>
      <c r="Z21" s="324" t="s">
        <v>414</v>
      </c>
      <c r="AA21" s="324">
        <v>0</v>
      </c>
      <c r="AB21" s="324">
        <v>618.96178530489999</v>
      </c>
      <c r="AC21" s="271"/>
      <c r="AD21" s="271"/>
      <c r="AE21" s="271"/>
      <c r="AF21" s="271"/>
      <c r="AG21" s="271"/>
      <c r="AH21" s="271"/>
      <c r="AI21" s="271"/>
      <c r="AJ21" s="271"/>
      <c r="AK21" s="271"/>
      <c r="AL21" s="271"/>
      <c r="AM21" s="271"/>
      <c r="AN21" s="271"/>
      <c r="AO21" s="271"/>
      <c r="AP21" s="271"/>
      <c r="AQ21" s="271"/>
    </row>
    <row r="22" spans="1:43" ht="18" customHeight="1">
      <c r="A22" s="271"/>
      <c r="B22" s="326" t="s">
        <v>476</v>
      </c>
      <c r="C22" s="323" t="s">
        <v>853</v>
      </c>
      <c r="D22" s="324">
        <v>574.92715973870008</v>
      </c>
      <c r="E22" s="324">
        <v>0</v>
      </c>
      <c r="F22" s="324" t="s">
        <v>414</v>
      </c>
      <c r="G22" s="324" t="s">
        <v>414</v>
      </c>
      <c r="H22" s="324" t="s">
        <v>414</v>
      </c>
      <c r="I22" s="324" t="s">
        <v>414</v>
      </c>
      <c r="J22" s="324" t="s">
        <v>414</v>
      </c>
      <c r="K22" s="324" t="s">
        <v>414</v>
      </c>
      <c r="L22" s="324">
        <v>0.92290072959999991</v>
      </c>
      <c r="M22" s="324" t="s">
        <v>414</v>
      </c>
      <c r="N22" s="324">
        <v>0</v>
      </c>
      <c r="O22" s="310">
        <v>575.85006046830006</v>
      </c>
      <c r="P22" s="324" t="s">
        <v>414</v>
      </c>
      <c r="Q22" s="324" t="s">
        <v>414</v>
      </c>
      <c r="R22" s="324" t="s">
        <v>414</v>
      </c>
      <c r="S22" s="324" t="s">
        <v>414</v>
      </c>
      <c r="T22" s="324" t="s">
        <v>414</v>
      </c>
      <c r="U22" s="324" t="s">
        <v>414</v>
      </c>
      <c r="V22" s="324" t="s">
        <v>414</v>
      </c>
      <c r="W22" s="324" t="s">
        <v>414</v>
      </c>
      <c r="X22" s="324" t="s">
        <v>414</v>
      </c>
      <c r="Y22" s="324" t="s">
        <v>414</v>
      </c>
      <c r="Z22" s="324" t="s">
        <v>414</v>
      </c>
      <c r="AA22" s="324">
        <v>0</v>
      </c>
      <c r="AB22" s="324">
        <v>575.85006046830006</v>
      </c>
      <c r="AC22" s="271"/>
      <c r="AD22" s="271"/>
      <c r="AE22" s="271"/>
      <c r="AF22" s="271"/>
      <c r="AG22" s="271"/>
      <c r="AH22" s="271"/>
      <c r="AI22" s="271"/>
      <c r="AJ22" s="271"/>
      <c r="AK22" s="271"/>
      <c r="AL22" s="271"/>
      <c r="AM22" s="271"/>
      <c r="AN22" s="271"/>
      <c r="AO22" s="271"/>
      <c r="AP22" s="271"/>
      <c r="AQ22" s="271"/>
    </row>
    <row r="23" spans="1:43" ht="17.25" customHeight="1">
      <c r="A23" s="271"/>
      <c r="B23" s="326" t="s">
        <v>477</v>
      </c>
      <c r="C23" s="323" t="s">
        <v>854</v>
      </c>
      <c r="D23" s="324">
        <v>71.886933050899998</v>
      </c>
      <c r="E23" s="324">
        <v>-7.1357279380999996</v>
      </c>
      <c r="F23" s="324">
        <v>9.1489171584999998</v>
      </c>
      <c r="G23" s="324">
        <v>3.4093028500000004E-2</v>
      </c>
      <c r="H23" s="324">
        <v>0.55570401920000001</v>
      </c>
      <c r="I23" s="324">
        <v>0.56411506979999992</v>
      </c>
      <c r="J23" s="324">
        <v>3.9461078568999999</v>
      </c>
      <c r="K23" s="324">
        <v>-0.22901078719999998</v>
      </c>
      <c r="L23" s="324">
        <v>1.2512835372</v>
      </c>
      <c r="M23" s="324">
        <v>0</v>
      </c>
      <c r="N23" s="324">
        <v>-9.833052222200001</v>
      </c>
      <c r="O23" s="324">
        <v>70.189362773500008</v>
      </c>
      <c r="P23" s="324">
        <v>1.2018279158</v>
      </c>
      <c r="Q23" s="324">
        <v>0.2410780968</v>
      </c>
      <c r="R23" s="324">
        <v>6.0766596769000003</v>
      </c>
      <c r="S23" s="324">
        <v>1.0894654163999999</v>
      </c>
      <c r="T23" s="324">
        <v>0.77822573400000006</v>
      </c>
      <c r="U23" s="324">
        <v>0.24563173499999999</v>
      </c>
      <c r="V23" s="324">
        <v>8.699720319299999</v>
      </c>
      <c r="W23" s="324">
        <v>6.5834771900000005E-2</v>
      </c>
      <c r="X23" s="324">
        <v>1.3096474986</v>
      </c>
      <c r="Y23" s="324">
        <v>-2.2408528241000001</v>
      </c>
      <c r="Z23" s="324">
        <v>16.265410424799999</v>
      </c>
      <c r="AA23" s="324">
        <v>-1.3552868386000001</v>
      </c>
      <c r="AB23" s="324">
        <v>86.30131427549999</v>
      </c>
      <c r="AC23" s="271"/>
      <c r="AD23" s="271"/>
      <c r="AE23" s="271"/>
      <c r="AF23" s="271"/>
      <c r="AG23" s="271"/>
      <c r="AH23" s="271"/>
      <c r="AI23" s="271"/>
      <c r="AJ23" s="271"/>
      <c r="AK23" s="271"/>
      <c r="AL23" s="271"/>
      <c r="AM23" s="271"/>
      <c r="AN23" s="271"/>
      <c r="AO23" s="271"/>
      <c r="AP23" s="271"/>
      <c r="AQ23" s="271"/>
    </row>
    <row r="24" spans="1:43" ht="18" customHeight="1">
      <c r="A24" s="271"/>
      <c r="B24" s="326" t="s">
        <v>478</v>
      </c>
      <c r="C24" s="323" t="s">
        <v>855</v>
      </c>
      <c r="D24" s="324">
        <v>0</v>
      </c>
      <c r="E24" s="324">
        <v>0</v>
      </c>
      <c r="F24" s="324">
        <v>0</v>
      </c>
      <c r="G24" s="324">
        <v>0</v>
      </c>
      <c r="H24" s="324">
        <v>0</v>
      </c>
      <c r="I24" s="324">
        <v>0</v>
      </c>
      <c r="J24" s="324">
        <v>0</v>
      </c>
      <c r="K24" s="324">
        <v>0</v>
      </c>
      <c r="L24" s="324">
        <v>0</v>
      </c>
      <c r="M24" s="324">
        <v>0</v>
      </c>
      <c r="N24" s="324">
        <v>0</v>
      </c>
      <c r="O24" s="324">
        <v>0</v>
      </c>
      <c r="P24" s="324">
        <v>69.016849107799999</v>
      </c>
      <c r="Q24" s="324">
        <v>0</v>
      </c>
      <c r="R24" s="324">
        <v>0</v>
      </c>
      <c r="S24" s="324">
        <v>0</v>
      </c>
      <c r="T24" s="324">
        <v>0</v>
      </c>
      <c r="U24" s="324">
        <v>0</v>
      </c>
      <c r="V24" s="324">
        <v>0</v>
      </c>
      <c r="W24" s="324">
        <v>0</v>
      </c>
      <c r="X24" s="324">
        <v>0</v>
      </c>
      <c r="Y24" s="324">
        <v>0</v>
      </c>
      <c r="Z24" s="324">
        <v>0</v>
      </c>
      <c r="AA24" s="324">
        <v>-44.121422023400001</v>
      </c>
      <c r="AB24" s="324">
        <v>24.895427084400001</v>
      </c>
      <c r="AC24" s="271"/>
      <c r="AD24" s="271"/>
      <c r="AE24" s="271"/>
      <c r="AF24" s="271"/>
      <c r="AG24" s="271"/>
      <c r="AH24" s="271"/>
      <c r="AI24" s="271"/>
      <c r="AJ24" s="271"/>
      <c r="AK24" s="271"/>
      <c r="AL24" s="271"/>
      <c r="AM24" s="271"/>
      <c r="AN24" s="271"/>
      <c r="AO24" s="271"/>
      <c r="AP24" s="271"/>
      <c r="AQ24" s="271"/>
    </row>
    <row r="25" spans="1:43" ht="18" customHeight="1">
      <c r="A25" s="271"/>
      <c r="B25" s="326" t="s">
        <v>479</v>
      </c>
      <c r="C25" s="323" t="s">
        <v>856</v>
      </c>
      <c r="D25" s="324">
        <v>0</v>
      </c>
      <c r="E25" s="324">
        <v>0</v>
      </c>
      <c r="F25" s="324">
        <v>0</v>
      </c>
      <c r="G25" s="324">
        <v>0</v>
      </c>
      <c r="H25" s="324">
        <v>0</v>
      </c>
      <c r="I25" s="324">
        <v>0</v>
      </c>
      <c r="J25" s="324">
        <v>0</v>
      </c>
      <c r="K25" s="324">
        <v>0</v>
      </c>
      <c r="L25" s="324">
        <v>0</v>
      </c>
      <c r="M25" s="324">
        <v>0</v>
      </c>
      <c r="N25" s="324">
        <v>0</v>
      </c>
      <c r="O25" s="324">
        <v>0</v>
      </c>
      <c r="P25" s="324">
        <v>89.626389969000002</v>
      </c>
      <c r="Q25" s="324">
        <v>0</v>
      </c>
      <c r="R25" s="324">
        <v>0</v>
      </c>
      <c r="S25" s="324">
        <v>0</v>
      </c>
      <c r="T25" s="324">
        <v>0</v>
      </c>
      <c r="U25" s="324">
        <v>0</v>
      </c>
      <c r="V25" s="324">
        <v>0</v>
      </c>
      <c r="W25" s="324">
        <v>0</v>
      </c>
      <c r="X25" s="324">
        <v>0</v>
      </c>
      <c r="Y25" s="324">
        <v>0</v>
      </c>
      <c r="Z25" s="324">
        <v>0</v>
      </c>
      <c r="AA25" s="324">
        <v>-24.813819296399998</v>
      </c>
      <c r="AB25" s="324">
        <v>64.812570672600003</v>
      </c>
      <c r="AC25" s="271"/>
      <c r="AD25" s="271"/>
      <c r="AE25" s="271"/>
      <c r="AF25" s="271"/>
      <c r="AG25" s="271"/>
      <c r="AH25" s="271"/>
      <c r="AI25" s="271"/>
      <c r="AJ25" s="271"/>
      <c r="AK25" s="271"/>
      <c r="AL25" s="271"/>
      <c r="AM25" s="271"/>
      <c r="AN25" s="271"/>
      <c r="AO25" s="271"/>
      <c r="AP25" s="271"/>
      <c r="AQ25" s="271"/>
    </row>
    <row r="26" spans="1:43" ht="18" customHeight="1">
      <c r="A26" s="271"/>
      <c r="B26" s="326" t="s">
        <v>480</v>
      </c>
      <c r="C26" s="323" t="s">
        <v>857</v>
      </c>
      <c r="D26" s="324">
        <v>0</v>
      </c>
      <c r="E26" s="324">
        <v>0</v>
      </c>
      <c r="F26" s="324">
        <v>0</v>
      </c>
      <c r="G26" s="324">
        <v>0</v>
      </c>
      <c r="H26" s="324">
        <v>0</v>
      </c>
      <c r="I26" s="324">
        <v>0</v>
      </c>
      <c r="J26" s="324">
        <v>0</v>
      </c>
      <c r="K26" s="324">
        <v>0</v>
      </c>
      <c r="L26" s="324">
        <v>0</v>
      </c>
      <c r="M26" s="324">
        <v>0</v>
      </c>
      <c r="N26" s="324">
        <v>0</v>
      </c>
      <c r="O26" s="324">
        <v>0</v>
      </c>
      <c r="P26" s="324">
        <v>18.389651570999998</v>
      </c>
      <c r="Q26" s="324">
        <v>0</v>
      </c>
      <c r="R26" s="324">
        <v>0</v>
      </c>
      <c r="S26" s="324">
        <v>0</v>
      </c>
      <c r="T26" s="324">
        <v>0</v>
      </c>
      <c r="U26" s="324">
        <v>0</v>
      </c>
      <c r="V26" s="324">
        <v>0</v>
      </c>
      <c r="W26" s="324">
        <v>0</v>
      </c>
      <c r="X26" s="324">
        <v>0</v>
      </c>
      <c r="Y26" s="324">
        <v>0</v>
      </c>
      <c r="Z26" s="324">
        <v>0</v>
      </c>
      <c r="AA26" s="324">
        <v>-5.0893039616999998</v>
      </c>
      <c r="AB26" s="324">
        <v>13.300347609300001</v>
      </c>
      <c r="AC26" s="271"/>
      <c r="AD26" s="271"/>
      <c r="AE26" s="271"/>
      <c r="AF26" s="271"/>
      <c r="AG26" s="271"/>
      <c r="AH26" s="271"/>
      <c r="AI26" s="271"/>
      <c r="AJ26" s="271"/>
      <c r="AK26" s="271"/>
      <c r="AL26" s="271"/>
      <c r="AM26" s="271"/>
      <c r="AN26" s="271"/>
      <c r="AO26" s="271"/>
      <c r="AP26" s="271"/>
      <c r="AQ26" s="271"/>
    </row>
    <row r="27" spans="1:43" ht="18" customHeight="1">
      <c r="A27" s="271"/>
      <c r="B27" s="327" t="s">
        <v>44</v>
      </c>
      <c r="C27" s="323" t="s">
        <v>858</v>
      </c>
      <c r="D27" s="324">
        <v>25006.224654620601</v>
      </c>
      <c r="E27" s="324">
        <v>-5501.2902132654008</v>
      </c>
      <c r="F27" s="324">
        <v>470.43870264290001</v>
      </c>
      <c r="G27" s="324">
        <v>20.345188596900002</v>
      </c>
      <c r="H27" s="324">
        <v>27.293381418499997</v>
      </c>
      <c r="I27" s="324">
        <v>11.488657036199999</v>
      </c>
      <c r="J27" s="324">
        <v>103.88228496870001</v>
      </c>
      <c r="K27" s="324">
        <v>-1.3028390481000001</v>
      </c>
      <c r="L27" s="324">
        <v>30.211249295500004</v>
      </c>
      <c r="M27" s="324">
        <v>1.2934274175</v>
      </c>
      <c r="N27" s="324">
        <v>-556.42769954890002</v>
      </c>
      <c r="O27" s="324">
        <v>19612.1567941344</v>
      </c>
      <c r="P27" s="324">
        <v>159.801721224</v>
      </c>
      <c r="Q27" s="324">
        <v>115.89789860329999</v>
      </c>
      <c r="R27" s="324">
        <v>644.63168297089999</v>
      </c>
      <c r="S27" s="324">
        <v>167.29150845549998</v>
      </c>
      <c r="T27" s="324">
        <v>147.29419635350001</v>
      </c>
      <c r="U27" s="324">
        <v>108.8858576439</v>
      </c>
      <c r="V27" s="324">
        <v>49.175830448799999</v>
      </c>
      <c r="W27" s="324">
        <v>70.256020692999996</v>
      </c>
      <c r="X27" s="324">
        <v>51.518064612299995</v>
      </c>
      <c r="Y27" s="324">
        <v>-81.566399745799998</v>
      </c>
      <c r="Z27" s="324">
        <v>1273.3846600354</v>
      </c>
      <c r="AA27" s="324">
        <v>-780.21539928499999</v>
      </c>
      <c r="AB27" s="324">
        <v>20265.127776108799</v>
      </c>
      <c r="AC27" s="271"/>
      <c r="AD27" s="271"/>
      <c r="AE27" s="271"/>
      <c r="AF27" s="271"/>
      <c r="AG27" s="271"/>
      <c r="AH27" s="271"/>
      <c r="AI27" s="271"/>
      <c r="AJ27" s="271"/>
      <c r="AK27" s="271"/>
      <c r="AL27" s="271"/>
      <c r="AM27" s="271"/>
      <c r="AN27" s="271"/>
      <c r="AO27" s="271"/>
      <c r="AP27" s="271"/>
      <c r="AQ27" s="271"/>
    </row>
    <row r="28" spans="1:43" ht="18" customHeight="1">
      <c r="A28" s="271"/>
      <c r="B28" s="328" t="s">
        <v>481</v>
      </c>
      <c r="C28" s="323" t="s">
        <v>859</v>
      </c>
      <c r="D28" s="324">
        <v>24617.755936480298</v>
      </c>
      <c r="E28" s="324">
        <v>-5447.7938872826999</v>
      </c>
      <c r="F28" s="324">
        <v>437.97488304429999</v>
      </c>
      <c r="G28" s="324">
        <v>17.2696845366</v>
      </c>
      <c r="H28" s="324">
        <v>21.9834282566</v>
      </c>
      <c r="I28" s="324">
        <v>6.7370493622000005</v>
      </c>
      <c r="J28" s="324">
        <v>91.600571735700001</v>
      </c>
      <c r="K28" s="324">
        <v>-1.0577934043000001</v>
      </c>
      <c r="L28" s="324">
        <v>25.623584361300001</v>
      </c>
      <c r="M28" s="324">
        <v>1.1939185979</v>
      </c>
      <c r="N28" s="324">
        <v>-551.73597018529995</v>
      </c>
      <c r="O28" s="324">
        <v>19219.5514055026</v>
      </c>
      <c r="P28" s="324">
        <v>2.3330317756999999</v>
      </c>
      <c r="Q28" s="324">
        <v>80.944837761999992</v>
      </c>
      <c r="R28" s="324">
        <v>544.80037746059998</v>
      </c>
      <c r="S28" s="324">
        <v>144.39102586870001</v>
      </c>
      <c r="T28" s="324">
        <v>100.3240681181</v>
      </c>
      <c r="U28" s="324">
        <v>93.698837164400004</v>
      </c>
      <c r="V28" s="324">
        <v>42.958212122299997</v>
      </c>
      <c r="W28" s="324">
        <v>65.641349498699995</v>
      </c>
      <c r="X28" s="324">
        <v>30.877282399299997</v>
      </c>
      <c r="Y28" s="324">
        <v>-71.152828548100004</v>
      </c>
      <c r="Z28" s="324">
        <v>1032.483161846</v>
      </c>
      <c r="AA28" s="324">
        <v>-711.20552716630004</v>
      </c>
      <c r="AB28" s="324">
        <v>19543.162071957999</v>
      </c>
      <c r="AC28" s="271"/>
      <c r="AD28" s="271"/>
      <c r="AE28" s="271"/>
      <c r="AF28" s="271"/>
      <c r="AG28" s="271"/>
      <c r="AH28" s="271"/>
      <c r="AI28" s="271"/>
      <c r="AJ28" s="271"/>
      <c r="AK28" s="271"/>
      <c r="AL28" s="271"/>
      <c r="AM28" s="271"/>
      <c r="AN28" s="271"/>
      <c r="AO28" s="271"/>
      <c r="AP28" s="271"/>
      <c r="AQ28" s="271"/>
    </row>
    <row r="29" spans="1:43" ht="18" customHeight="1">
      <c r="A29" s="271"/>
      <c r="B29" s="326" t="s">
        <v>482</v>
      </c>
      <c r="C29" s="323" t="s">
        <v>860</v>
      </c>
      <c r="D29" s="324">
        <v>24569.380158252901</v>
      </c>
      <c r="E29" s="324">
        <v>-5445.5255253768</v>
      </c>
      <c r="F29" s="324">
        <v>429.14845547809995</v>
      </c>
      <c r="G29" s="324">
        <v>17.255244609200002</v>
      </c>
      <c r="H29" s="324">
        <v>21.7549699293</v>
      </c>
      <c r="I29" s="324">
        <v>6.2289895334000001</v>
      </c>
      <c r="J29" s="324">
        <v>89.293029795099997</v>
      </c>
      <c r="K29" s="324">
        <v>-0.82726629819999997</v>
      </c>
      <c r="L29" s="324">
        <v>25.264683211999998</v>
      </c>
      <c r="M29" s="324">
        <v>1.1939185979</v>
      </c>
      <c r="N29" s="324">
        <v>-547.75953784180001</v>
      </c>
      <c r="O29" s="324">
        <v>19165.407119891101</v>
      </c>
      <c r="P29" s="324">
        <v>1.7601807346</v>
      </c>
      <c r="Q29" s="324">
        <v>80.926524198300001</v>
      </c>
      <c r="R29" s="324">
        <v>541.06789208089992</v>
      </c>
      <c r="S29" s="324">
        <v>144.0663419894</v>
      </c>
      <c r="T29" s="324">
        <v>98.890706050300011</v>
      </c>
      <c r="U29" s="324">
        <v>93.633970224699993</v>
      </c>
      <c r="V29" s="324">
        <v>34.486040316500002</v>
      </c>
      <c r="W29" s="324">
        <v>65.6198738147</v>
      </c>
      <c r="X29" s="324">
        <v>30.172399646900001</v>
      </c>
      <c r="Y29" s="324">
        <v>-71.052672385699992</v>
      </c>
      <c r="Z29" s="324">
        <v>1017.8110759360001</v>
      </c>
      <c r="AA29" s="324">
        <v>-710.40720088390003</v>
      </c>
      <c r="AB29" s="324">
        <v>19474.5711756778</v>
      </c>
      <c r="AC29" s="271"/>
      <c r="AD29" s="271"/>
      <c r="AE29" s="271"/>
      <c r="AF29" s="271"/>
      <c r="AG29" s="271"/>
      <c r="AH29" s="271"/>
      <c r="AI29" s="271"/>
      <c r="AJ29" s="271"/>
      <c r="AK29" s="271"/>
      <c r="AL29" s="271"/>
      <c r="AM29" s="271"/>
      <c r="AN29" s="271"/>
      <c r="AO29" s="271"/>
      <c r="AP29" s="271"/>
      <c r="AQ29" s="271"/>
    </row>
    <row r="30" spans="1:43" ht="18" customHeight="1">
      <c r="A30" s="271"/>
      <c r="B30" s="325" t="s">
        <v>483</v>
      </c>
      <c r="C30" s="323" t="s">
        <v>861</v>
      </c>
      <c r="D30" s="324">
        <v>565.39012498679995</v>
      </c>
      <c r="E30" s="324">
        <v>-0.61873594799999998</v>
      </c>
      <c r="F30" s="324">
        <v>0</v>
      </c>
      <c r="G30" s="324">
        <v>0</v>
      </c>
      <c r="H30" s="324">
        <v>0</v>
      </c>
      <c r="I30" s="324">
        <v>0</v>
      </c>
      <c r="J30" s="324">
        <v>0</v>
      </c>
      <c r="K30" s="324">
        <v>0</v>
      </c>
      <c r="L30" s="324">
        <v>0</v>
      </c>
      <c r="M30" s="324">
        <v>0</v>
      </c>
      <c r="N30" s="324">
        <v>-0.1135229757</v>
      </c>
      <c r="O30" s="324">
        <v>564.65786606309996</v>
      </c>
      <c r="P30" s="324">
        <v>0</v>
      </c>
      <c r="Q30" s="324">
        <v>0</v>
      </c>
      <c r="R30" s="324">
        <v>0</v>
      </c>
      <c r="S30" s="324">
        <v>0</v>
      </c>
      <c r="T30" s="324">
        <v>0</v>
      </c>
      <c r="U30" s="324">
        <v>0</v>
      </c>
      <c r="V30" s="324">
        <v>0</v>
      </c>
      <c r="W30" s="324">
        <v>0</v>
      </c>
      <c r="X30" s="324">
        <v>0</v>
      </c>
      <c r="Y30" s="324">
        <v>0</v>
      </c>
      <c r="Z30" s="324">
        <v>0</v>
      </c>
      <c r="AA30" s="324">
        <v>0</v>
      </c>
      <c r="AB30" s="324">
        <v>564.65786606309996</v>
      </c>
      <c r="AC30" s="271"/>
      <c r="AD30" s="271"/>
      <c r="AE30" s="271"/>
      <c r="AF30" s="271"/>
      <c r="AG30" s="271"/>
      <c r="AH30" s="271"/>
      <c r="AI30" s="271"/>
      <c r="AJ30" s="271"/>
      <c r="AK30" s="271"/>
      <c r="AL30" s="271"/>
      <c r="AM30" s="271"/>
      <c r="AN30" s="271"/>
      <c r="AO30" s="271"/>
      <c r="AP30" s="271"/>
      <c r="AQ30" s="271"/>
    </row>
    <row r="31" spans="1:43" ht="18" customHeight="1">
      <c r="A31" s="271"/>
      <c r="B31" s="326" t="s">
        <v>484</v>
      </c>
      <c r="C31" s="323" t="s">
        <v>862</v>
      </c>
      <c r="D31" s="324">
        <v>48.375778227399998</v>
      </c>
      <c r="E31" s="324">
        <v>-2.2683619059</v>
      </c>
      <c r="F31" s="324">
        <v>8.8264275661999996</v>
      </c>
      <c r="G31" s="324">
        <v>1.44399274E-2</v>
      </c>
      <c r="H31" s="324">
        <v>0.22845832730000001</v>
      </c>
      <c r="I31" s="324">
        <v>0.5080598288</v>
      </c>
      <c r="J31" s="324">
        <v>2.3075419406000002</v>
      </c>
      <c r="K31" s="324">
        <v>-0.23052710609999999</v>
      </c>
      <c r="L31" s="324">
        <v>0.3589011493</v>
      </c>
      <c r="M31" s="324">
        <v>0</v>
      </c>
      <c r="N31" s="324">
        <v>-3.9764323435000004</v>
      </c>
      <c r="O31" s="324">
        <v>54.144285611499996</v>
      </c>
      <c r="P31" s="324">
        <v>0.57285104109999996</v>
      </c>
      <c r="Q31" s="324">
        <v>1.83135637E-2</v>
      </c>
      <c r="R31" s="324">
        <v>3.7324853797000004</v>
      </c>
      <c r="S31" s="324">
        <v>0.32468387929999998</v>
      </c>
      <c r="T31" s="324">
        <v>1.4333620678000001</v>
      </c>
      <c r="U31" s="324">
        <v>6.4866939700000001E-2</v>
      </c>
      <c r="V31" s="324">
        <v>8.4721718058000004</v>
      </c>
      <c r="W31" s="324">
        <v>2.1475683999999998E-2</v>
      </c>
      <c r="X31" s="324">
        <v>0.70488275239999998</v>
      </c>
      <c r="Y31" s="324">
        <v>-0.1001561624</v>
      </c>
      <c r="Z31" s="324">
        <v>14.67208591</v>
      </c>
      <c r="AA31" s="324">
        <v>-0.79832628239999992</v>
      </c>
      <c r="AB31" s="324">
        <v>68.590896280199999</v>
      </c>
      <c r="AC31" s="271"/>
      <c r="AD31" s="271"/>
      <c r="AE31" s="271"/>
      <c r="AF31" s="271"/>
      <c r="AG31" s="271"/>
      <c r="AH31" s="271"/>
      <c r="AI31" s="271"/>
      <c r="AJ31" s="271"/>
      <c r="AK31" s="271"/>
      <c r="AL31" s="271"/>
      <c r="AM31" s="271"/>
      <c r="AN31" s="271"/>
      <c r="AO31" s="271"/>
      <c r="AP31" s="271"/>
      <c r="AQ31" s="271"/>
    </row>
    <row r="32" spans="1:43" ht="18" customHeight="1">
      <c r="A32" s="271"/>
      <c r="B32" s="326" t="s">
        <v>485</v>
      </c>
      <c r="C32" s="323" t="s">
        <v>863</v>
      </c>
      <c r="D32" s="324">
        <v>0</v>
      </c>
      <c r="E32" s="324">
        <v>0</v>
      </c>
      <c r="F32" s="324">
        <v>0</v>
      </c>
      <c r="G32" s="324">
        <v>0</v>
      </c>
      <c r="H32" s="324">
        <v>0</v>
      </c>
      <c r="I32" s="324">
        <v>0</v>
      </c>
      <c r="J32" s="324">
        <v>0</v>
      </c>
      <c r="K32" s="324">
        <v>0</v>
      </c>
      <c r="L32" s="324">
        <v>0</v>
      </c>
      <c r="M32" s="324">
        <v>0</v>
      </c>
      <c r="N32" s="324">
        <v>0</v>
      </c>
      <c r="O32" s="324">
        <v>0</v>
      </c>
      <c r="P32" s="324">
        <v>36.769019030800003</v>
      </c>
      <c r="Q32" s="324">
        <v>0</v>
      </c>
      <c r="R32" s="324">
        <v>0</v>
      </c>
      <c r="S32" s="324">
        <v>0</v>
      </c>
      <c r="T32" s="324">
        <v>0</v>
      </c>
      <c r="U32" s="324">
        <v>0</v>
      </c>
      <c r="V32" s="324">
        <v>0</v>
      </c>
      <c r="W32" s="324">
        <v>0</v>
      </c>
      <c r="X32" s="324">
        <v>0</v>
      </c>
      <c r="Y32" s="324">
        <v>0</v>
      </c>
      <c r="Z32" s="324">
        <v>0</v>
      </c>
      <c r="AA32" s="324">
        <v>-11.8831081471</v>
      </c>
      <c r="AB32" s="324">
        <v>24.885910883699999</v>
      </c>
      <c r="AC32" s="271"/>
      <c r="AD32" s="271"/>
      <c r="AE32" s="271"/>
      <c r="AF32" s="271"/>
      <c r="AG32" s="271"/>
      <c r="AH32" s="271"/>
      <c r="AI32" s="271"/>
      <c r="AJ32" s="271"/>
      <c r="AK32" s="271"/>
      <c r="AL32" s="271"/>
      <c r="AM32" s="271"/>
      <c r="AN32" s="271"/>
      <c r="AO32" s="271"/>
      <c r="AP32" s="271"/>
      <c r="AQ32" s="271"/>
    </row>
    <row r="33" spans="1:43" ht="18" customHeight="1">
      <c r="A33" s="271"/>
      <c r="B33" s="326" t="s">
        <v>486</v>
      </c>
      <c r="C33" s="323" t="s">
        <v>864</v>
      </c>
      <c r="D33" s="324">
        <v>0</v>
      </c>
      <c r="E33" s="324">
        <v>0</v>
      </c>
      <c r="F33" s="324">
        <v>0</v>
      </c>
      <c r="G33" s="324">
        <v>0</v>
      </c>
      <c r="H33" s="324">
        <v>0</v>
      </c>
      <c r="I33" s="324">
        <v>0</v>
      </c>
      <c r="J33" s="324">
        <v>0</v>
      </c>
      <c r="K33" s="324">
        <v>0</v>
      </c>
      <c r="L33" s="324">
        <v>0</v>
      </c>
      <c r="M33" s="324">
        <v>0</v>
      </c>
      <c r="N33" s="324">
        <v>0</v>
      </c>
      <c r="O33" s="324">
        <v>0</v>
      </c>
      <c r="P33" s="324">
        <v>15.450550763800001</v>
      </c>
      <c r="Q33" s="324">
        <v>0</v>
      </c>
      <c r="R33" s="324">
        <v>0</v>
      </c>
      <c r="S33" s="324">
        <v>0</v>
      </c>
      <c r="T33" s="324">
        <v>0</v>
      </c>
      <c r="U33" s="324">
        <v>0</v>
      </c>
      <c r="V33" s="324">
        <v>0</v>
      </c>
      <c r="W33" s="324">
        <v>0</v>
      </c>
      <c r="X33" s="324">
        <v>0</v>
      </c>
      <c r="Y33" s="324">
        <v>0</v>
      </c>
      <c r="Z33" s="324">
        <v>0</v>
      </c>
      <c r="AA33" s="324">
        <v>0</v>
      </c>
      <c r="AB33" s="324">
        <v>15.450550763800001</v>
      </c>
      <c r="AC33" s="271"/>
      <c r="AD33" s="271"/>
      <c r="AE33" s="271"/>
      <c r="AF33" s="271"/>
      <c r="AG33" s="271"/>
      <c r="AH33" s="271"/>
      <c r="AI33" s="271"/>
      <c r="AJ33" s="271"/>
      <c r="AK33" s="271"/>
      <c r="AL33" s="271"/>
      <c r="AM33" s="271"/>
      <c r="AN33" s="271"/>
      <c r="AO33" s="271"/>
      <c r="AP33" s="271"/>
      <c r="AQ33" s="271"/>
    </row>
    <row r="34" spans="1:43" ht="18" customHeight="1">
      <c r="A34" s="271"/>
      <c r="B34" s="326" t="s">
        <v>487</v>
      </c>
      <c r="C34" s="323" t="s">
        <v>865</v>
      </c>
      <c r="D34" s="324">
        <v>0</v>
      </c>
      <c r="E34" s="324">
        <v>0</v>
      </c>
      <c r="F34" s="324">
        <v>0</v>
      </c>
      <c r="G34" s="324">
        <v>0</v>
      </c>
      <c r="H34" s="324">
        <v>0</v>
      </c>
      <c r="I34" s="324">
        <v>0</v>
      </c>
      <c r="J34" s="324">
        <v>0</v>
      </c>
      <c r="K34" s="324">
        <v>0</v>
      </c>
      <c r="L34" s="324">
        <v>0</v>
      </c>
      <c r="M34" s="324">
        <v>0</v>
      </c>
      <c r="N34" s="324">
        <v>0</v>
      </c>
      <c r="O34" s="324">
        <v>0</v>
      </c>
      <c r="P34" s="324">
        <v>7.7250995858000007</v>
      </c>
      <c r="Q34" s="324">
        <v>0</v>
      </c>
      <c r="R34" s="324">
        <v>0</v>
      </c>
      <c r="S34" s="324">
        <v>0</v>
      </c>
      <c r="T34" s="324">
        <v>0</v>
      </c>
      <c r="U34" s="324">
        <v>0</v>
      </c>
      <c r="V34" s="324">
        <v>0</v>
      </c>
      <c r="W34" s="324">
        <v>0</v>
      </c>
      <c r="X34" s="324">
        <v>0</v>
      </c>
      <c r="Y34" s="324">
        <v>0</v>
      </c>
      <c r="Z34" s="324">
        <v>0</v>
      </c>
      <c r="AA34" s="324">
        <v>0</v>
      </c>
      <c r="AB34" s="324">
        <v>7.7250995858000007</v>
      </c>
      <c r="AC34" s="271"/>
      <c r="AD34" s="271"/>
      <c r="AE34" s="271"/>
      <c r="AF34" s="271"/>
      <c r="AG34" s="271"/>
      <c r="AH34" s="271"/>
      <c r="AI34" s="271"/>
      <c r="AJ34" s="271"/>
      <c r="AK34" s="271"/>
      <c r="AL34" s="271"/>
      <c r="AM34" s="271"/>
      <c r="AN34" s="271"/>
      <c r="AO34" s="271"/>
      <c r="AP34" s="271"/>
      <c r="AQ34" s="271"/>
    </row>
    <row r="35" spans="1:43" ht="18" customHeight="1">
      <c r="A35" s="271"/>
      <c r="B35" s="326" t="s">
        <v>488</v>
      </c>
      <c r="C35" s="323" t="s">
        <v>866</v>
      </c>
      <c r="D35" s="324">
        <v>0</v>
      </c>
      <c r="E35" s="324">
        <v>0</v>
      </c>
      <c r="F35" s="324">
        <v>0</v>
      </c>
      <c r="G35" s="324">
        <v>0</v>
      </c>
      <c r="H35" s="324">
        <v>0</v>
      </c>
      <c r="I35" s="324">
        <v>0</v>
      </c>
      <c r="J35" s="324">
        <v>0</v>
      </c>
      <c r="K35" s="324">
        <v>0</v>
      </c>
      <c r="L35" s="324">
        <v>0</v>
      </c>
      <c r="M35" s="324">
        <v>0</v>
      </c>
      <c r="N35" s="324">
        <v>0</v>
      </c>
      <c r="O35" s="324">
        <v>0</v>
      </c>
      <c r="P35" s="324">
        <v>39.751996523300001</v>
      </c>
      <c r="Q35" s="324">
        <v>0</v>
      </c>
      <c r="R35" s="324">
        <v>0</v>
      </c>
      <c r="S35" s="324">
        <v>0</v>
      </c>
      <c r="T35" s="324">
        <v>0</v>
      </c>
      <c r="U35" s="324">
        <v>0</v>
      </c>
      <c r="V35" s="324">
        <v>0</v>
      </c>
      <c r="W35" s="324">
        <v>0</v>
      </c>
      <c r="X35" s="324">
        <v>0</v>
      </c>
      <c r="Y35" s="324">
        <v>0</v>
      </c>
      <c r="Z35" s="324">
        <v>0</v>
      </c>
      <c r="AA35" s="324">
        <v>-11.748831860999999</v>
      </c>
      <c r="AB35" s="324">
        <v>28.003164662300001</v>
      </c>
      <c r="AC35" s="271"/>
      <c r="AD35" s="271"/>
      <c r="AE35" s="271"/>
      <c r="AF35" s="271"/>
      <c r="AG35" s="271"/>
      <c r="AH35" s="271"/>
      <c r="AI35" s="271"/>
      <c r="AJ35" s="271"/>
      <c r="AK35" s="271"/>
      <c r="AL35" s="271"/>
      <c r="AM35" s="271"/>
      <c r="AN35" s="271"/>
      <c r="AO35" s="271"/>
      <c r="AP35" s="271"/>
      <c r="AQ35" s="271"/>
    </row>
    <row r="36" spans="1:43" ht="18" customHeight="1">
      <c r="A36" s="271"/>
      <c r="B36" s="326" t="s">
        <v>489</v>
      </c>
      <c r="C36" s="323" t="s">
        <v>867</v>
      </c>
      <c r="D36" s="324">
        <v>0</v>
      </c>
      <c r="E36" s="324">
        <v>0</v>
      </c>
      <c r="F36" s="324">
        <v>0</v>
      </c>
      <c r="G36" s="324">
        <v>0</v>
      </c>
      <c r="H36" s="324">
        <v>0</v>
      </c>
      <c r="I36" s="324">
        <v>0</v>
      </c>
      <c r="J36" s="324">
        <v>0</v>
      </c>
      <c r="K36" s="324">
        <v>0</v>
      </c>
      <c r="L36" s="324">
        <v>0</v>
      </c>
      <c r="M36" s="324">
        <v>0</v>
      </c>
      <c r="N36" s="324">
        <v>0</v>
      </c>
      <c r="O36" s="324">
        <v>0</v>
      </c>
      <c r="P36" s="324">
        <v>11.3314333551</v>
      </c>
      <c r="Q36" s="324">
        <v>0</v>
      </c>
      <c r="R36" s="324">
        <v>0</v>
      </c>
      <c r="S36" s="324">
        <v>0</v>
      </c>
      <c r="T36" s="324">
        <v>0</v>
      </c>
      <c r="U36" s="324">
        <v>0</v>
      </c>
      <c r="V36" s="324">
        <v>0</v>
      </c>
      <c r="W36" s="324">
        <v>0</v>
      </c>
      <c r="X36" s="324">
        <v>0</v>
      </c>
      <c r="Y36" s="324">
        <v>0</v>
      </c>
      <c r="Z36" s="324">
        <v>0</v>
      </c>
      <c r="AA36" s="324">
        <v>-5.2795059149999997</v>
      </c>
      <c r="AB36" s="324">
        <v>6.0519274401000001</v>
      </c>
      <c r="AC36" s="271"/>
      <c r="AD36" s="271"/>
      <c r="AE36" s="271"/>
      <c r="AF36" s="271"/>
      <c r="AG36" s="271"/>
      <c r="AH36" s="271"/>
      <c r="AI36" s="271"/>
      <c r="AJ36" s="271"/>
      <c r="AK36" s="271"/>
      <c r="AL36" s="271"/>
      <c r="AM36" s="271"/>
      <c r="AN36" s="271"/>
      <c r="AO36" s="271"/>
      <c r="AP36" s="271"/>
      <c r="AQ36" s="271"/>
    </row>
    <row r="37" spans="1:43" ht="18" customHeight="1">
      <c r="A37" s="271"/>
      <c r="B37" s="326" t="s">
        <v>490</v>
      </c>
      <c r="C37" s="323" t="s">
        <v>868</v>
      </c>
      <c r="D37" s="324">
        <v>0</v>
      </c>
      <c r="E37" s="324">
        <v>0</v>
      </c>
      <c r="F37" s="324">
        <v>0</v>
      </c>
      <c r="G37" s="324">
        <v>0</v>
      </c>
      <c r="H37" s="324">
        <v>0</v>
      </c>
      <c r="I37" s="324">
        <v>0</v>
      </c>
      <c r="J37" s="324">
        <v>0</v>
      </c>
      <c r="K37" s="324">
        <v>0</v>
      </c>
      <c r="L37" s="324">
        <v>0</v>
      </c>
      <c r="M37" s="324">
        <v>0</v>
      </c>
      <c r="N37" s="324">
        <v>0</v>
      </c>
      <c r="O37" s="324">
        <v>0</v>
      </c>
      <c r="P37" s="324">
        <v>0.5286323638</v>
      </c>
      <c r="Q37" s="324">
        <v>0</v>
      </c>
      <c r="R37" s="324">
        <v>0</v>
      </c>
      <c r="S37" s="324">
        <v>0</v>
      </c>
      <c r="T37" s="324">
        <v>0</v>
      </c>
      <c r="U37" s="324">
        <v>0</v>
      </c>
      <c r="V37" s="324">
        <v>0</v>
      </c>
      <c r="W37" s="324">
        <v>0</v>
      </c>
      <c r="X37" s="324">
        <v>0</v>
      </c>
      <c r="Y37" s="324">
        <v>0</v>
      </c>
      <c r="Z37" s="324">
        <v>0</v>
      </c>
      <c r="AA37" s="324">
        <v>0</v>
      </c>
      <c r="AB37" s="324">
        <v>0.5286323638</v>
      </c>
      <c r="AC37" s="271"/>
      <c r="AD37" s="271"/>
      <c r="AE37" s="271"/>
      <c r="AF37" s="271"/>
      <c r="AG37" s="271"/>
      <c r="AH37" s="271"/>
      <c r="AI37" s="271"/>
      <c r="AJ37" s="271"/>
      <c r="AK37" s="271"/>
      <c r="AL37" s="271"/>
      <c r="AM37" s="271"/>
      <c r="AN37" s="271"/>
      <c r="AO37" s="271"/>
      <c r="AP37" s="271"/>
      <c r="AQ37" s="271"/>
    </row>
    <row r="38" spans="1:43" ht="18" customHeight="1">
      <c r="A38" s="271"/>
      <c r="B38" s="326" t="s">
        <v>491</v>
      </c>
      <c r="C38" s="323" t="s">
        <v>869</v>
      </c>
      <c r="D38" s="324">
        <v>0</v>
      </c>
      <c r="E38" s="324">
        <v>0</v>
      </c>
      <c r="F38" s="324">
        <v>0</v>
      </c>
      <c r="G38" s="324">
        <v>0</v>
      </c>
      <c r="H38" s="324">
        <v>0</v>
      </c>
      <c r="I38" s="324">
        <v>0</v>
      </c>
      <c r="J38" s="324">
        <v>0</v>
      </c>
      <c r="K38" s="324">
        <v>0</v>
      </c>
      <c r="L38" s="324">
        <v>0</v>
      </c>
      <c r="M38" s="324">
        <v>0</v>
      </c>
      <c r="N38" s="324">
        <v>0</v>
      </c>
      <c r="O38" s="324">
        <v>0</v>
      </c>
      <c r="P38" s="324">
        <v>-5.4257375709</v>
      </c>
      <c r="Q38" s="324">
        <v>0</v>
      </c>
      <c r="R38" s="324">
        <v>0</v>
      </c>
      <c r="S38" s="324">
        <v>0</v>
      </c>
      <c r="T38" s="324">
        <v>0</v>
      </c>
      <c r="U38" s="324">
        <v>0</v>
      </c>
      <c r="V38" s="324">
        <v>0</v>
      </c>
      <c r="W38" s="324">
        <v>0</v>
      </c>
      <c r="X38" s="324">
        <v>0</v>
      </c>
      <c r="Y38" s="324">
        <v>0</v>
      </c>
      <c r="Z38" s="324">
        <v>0</v>
      </c>
      <c r="AA38" s="324">
        <v>0</v>
      </c>
      <c r="AB38" s="324">
        <v>-5.4257375709</v>
      </c>
      <c r="AC38" s="271"/>
      <c r="AD38" s="271"/>
      <c r="AE38" s="271"/>
      <c r="AF38" s="271"/>
      <c r="AG38" s="271"/>
      <c r="AH38" s="271"/>
      <c r="AI38" s="271"/>
      <c r="AJ38" s="271"/>
      <c r="AK38" s="271"/>
      <c r="AL38" s="271"/>
      <c r="AM38" s="271"/>
      <c r="AN38" s="271"/>
      <c r="AO38" s="271"/>
      <c r="AP38" s="271"/>
      <c r="AQ38" s="271"/>
    </row>
    <row r="39" spans="1:43" ht="18" customHeight="1">
      <c r="A39" s="271"/>
      <c r="B39" s="326" t="s">
        <v>492</v>
      </c>
      <c r="C39" s="323" t="s">
        <v>870</v>
      </c>
      <c r="D39" s="324">
        <v>79.285984531599993</v>
      </c>
      <c r="E39" s="324">
        <v>0</v>
      </c>
      <c r="F39" s="324">
        <v>4.6898325088999995</v>
      </c>
      <c r="G39" s="324">
        <v>0.1028871742</v>
      </c>
      <c r="H39" s="324">
        <v>0.41230743700000005</v>
      </c>
      <c r="I39" s="324">
        <v>0.48892883329999998</v>
      </c>
      <c r="J39" s="324">
        <v>0.64306144799999998</v>
      </c>
      <c r="K39" s="324">
        <v>0</v>
      </c>
      <c r="L39" s="324">
        <v>0.65074603139999998</v>
      </c>
      <c r="M39" s="324">
        <v>6.7976302299999999E-2</v>
      </c>
      <c r="N39" s="324">
        <v>0</v>
      </c>
      <c r="O39" s="324">
        <v>86.341724266699998</v>
      </c>
      <c r="P39" s="324">
        <v>5.7348610245000007</v>
      </c>
      <c r="Q39" s="324">
        <v>2.6422106071</v>
      </c>
      <c r="R39" s="324">
        <v>3.7067974594000002</v>
      </c>
      <c r="S39" s="324">
        <v>2.1004344587000001</v>
      </c>
      <c r="T39" s="324">
        <v>12.750137347400001</v>
      </c>
      <c r="U39" s="324">
        <v>0.55571131470000001</v>
      </c>
      <c r="V39" s="324">
        <v>0.19003877280000001</v>
      </c>
      <c r="W39" s="324">
        <v>0.3469948665</v>
      </c>
      <c r="X39" s="324">
        <v>1.0916720941</v>
      </c>
      <c r="Y39" s="324">
        <v>0</v>
      </c>
      <c r="Z39" s="324">
        <v>23.383996920700003</v>
      </c>
      <c r="AA39" s="324">
        <v>0</v>
      </c>
      <c r="AB39" s="324">
        <v>115.4605822119</v>
      </c>
      <c r="AC39" s="271"/>
      <c r="AD39" s="271"/>
      <c r="AE39" s="271"/>
      <c r="AF39" s="271"/>
      <c r="AG39" s="271"/>
      <c r="AH39" s="271"/>
      <c r="AI39" s="271"/>
      <c r="AJ39" s="271"/>
      <c r="AK39" s="271"/>
      <c r="AL39" s="271"/>
      <c r="AM39" s="271"/>
      <c r="AN39" s="271"/>
      <c r="AO39" s="271"/>
      <c r="AP39" s="271"/>
      <c r="AQ39" s="271"/>
    </row>
    <row r="40" spans="1:43" ht="18" customHeight="1">
      <c r="A40" s="271"/>
      <c r="B40" s="326" t="s">
        <v>493</v>
      </c>
      <c r="C40" s="323" t="s">
        <v>871</v>
      </c>
      <c r="D40" s="324">
        <v>76.134966413900003</v>
      </c>
      <c r="E40" s="324">
        <v>0</v>
      </c>
      <c r="F40" s="324">
        <v>4.5137365341000004</v>
      </c>
      <c r="G40" s="324">
        <v>0.1027342458</v>
      </c>
      <c r="H40" s="324">
        <v>0.40650751499999999</v>
      </c>
      <c r="I40" s="324">
        <v>0.48341482029999999</v>
      </c>
      <c r="J40" s="324">
        <v>0.53391396820000003</v>
      </c>
      <c r="K40" s="324">
        <v>0</v>
      </c>
      <c r="L40" s="324">
        <v>0.62558824409999991</v>
      </c>
      <c r="M40" s="324">
        <v>0</v>
      </c>
      <c r="N40" s="324">
        <v>0</v>
      </c>
      <c r="O40" s="324">
        <v>82.800861741399999</v>
      </c>
      <c r="P40" s="324">
        <v>5.6413692413999996</v>
      </c>
      <c r="Q40" s="324">
        <v>2.6338680754000001</v>
      </c>
      <c r="R40" s="324">
        <v>3.6810639723</v>
      </c>
      <c r="S40" s="324">
        <v>1.9420945691999998</v>
      </c>
      <c r="T40" s="324">
        <v>12.1070481671</v>
      </c>
      <c r="U40" s="324">
        <v>0.51577190350000002</v>
      </c>
      <c r="V40" s="324">
        <v>0.1097159494</v>
      </c>
      <c r="W40" s="324">
        <v>0.34652514140000001</v>
      </c>
      <c r="X40" s="324">
        <v>0.62021881759999997</v>
      </c>
      <c r="Y40" s="324">
        <v>0</v>
      </c>
      <c r="Z40" s="324">
        <v>21.956306595900003</v>
      </c>
      <c r="AA40" s="324">
        <v>0</v>
      </c>
      <c r="AB40" s="324">
        <v>110.39853757870002</v>
      </c>
      <c r="AC40" s="271"/>
      <c r="AD40" s="271"/>
      <c r="AE40" s="271"/>
      <c r="AF40" s="271"/>
      <c r="AG40" s="271"/>
      <c r="AH40" s="271"/>
      <c r="AI40" s="271"/>
      <c r="AJ40" s="271"/>
      <c r="AK40" s="271"/>
      <c r="AL40" s="271"/>
      <c r="AM40" s="271"/>
      <c r="AN40" s="271"/>
      <c r="AO40" s="271"/>
      <c r="AP40" s="271"/>
      <c r="AQ40" s="271"/>
    </row>
    <row r="41" spans="1:43" ht="18" customHeight="1">
      <c r="A41" s="271"/>
      <c r="B41" s="326" t="s">
        <v>494</v>
      </c>
      <c r="C41" s="323" t="s">
        <v>872</v>
      </c>
      <c r="D41" s="324">
        <v>0.30753777170000002</v>
      </c>
      <c r="E41" s="324">
        <v>0</v>
      </c>
      <c r="F41" s="324">
        <v>0.47593099179999998</v>
      </c>
      <c r="G41" s="324">
        <v>0.36399547570000002</v>
      </c>
      <c r="H41" s="324">
        <v>0.23657813010000001</v>
      </c>
      <c r="I41" s="324">
        <v>9.5508979999999995E-4</v>
      </c>
      <c r="J41" s="324">
        <v>0.80189411980000003</v>
      </c>
      <c r="K41" s="324">
        <v>-6.0139177500000002E-2</v>
      </c>
      <c r="L41" s="324">
        <v>0</v>
      </c>
      <c r="M41" s="324">
        <v>0</v>
      </c>
      <c r="N41" s="324">
        <v>-1.9626866399999998E-2</v>
      </c>
      <c r="O41" s="324">
        <v>2.1071255350000002</v>
      </c>
      <c r="P41" s="324">
        <v>42.802469197400001</v>
      </c>
      <c r="Q41" s="324">
        <v>0.20588252469999999</v>
      </c>
      <c r="R41" s="324">
        <v>33.722710453799998</v>
      </c>
      <c r="S41" s="324">
        <v>1E-3</v>
      </c>
      <c r="T41" s="324">
        <v>21.070751992799998</v>
      </c>
      <c r="U41" s="324">
        <v>3.5596330260000002</v>
      </c>
      <c r="V41" s="324">
        <v>1.98073572E-2</v>
      </c>
      <c r="W41" s="324">
        <v>2.5013826974</v>
      </c>
      <c r="X41" s="324">
        <v>3.4500035881</v>
      </c>
      <c r="Y41" s="324">
        <v>-3.3591998276999999</v>
      </c>
      <c r="Z41" s="324">
        <v>61.171971812299994</v>
      </c>
      <c r="AA41" s="324">
        <v>-4.5391550475000004</v>
      </c>
      <c r="AB41" s="324">
        <v>101.54241149719999</v>
      </c>
      <c r="AC41" s="271"/>
      <c r="AD41" s="271"/>
      <c r="AE41" s="271"/>
      <c r="AF41" s="271"/>
      <c r="AG41" s="271"/>
      <c r="AH41" s="271"/>
      <c r="AI41" s="271"/>
      <c r="AJ41" s="271"/>
      <c r="AK41" s="271"/>
      <c r="AL41" s="271"/>
      <c r="AM41" s="271"/>
      <c r="AN41" s="271"/>
      <c r="AO41" s="271"/>
      <c r="AP41" s="271"/>
      <c r="AQ41" s="271"/>
    </row>
    <row r="42" spans="1:43" ht="18" customHeight="1">
      <c r="A42" s="271"/>
      <c r="B42" s="326" t="s">
        <v>495</v>
      </c>
      <c r="C42" s="323" t="s">
        <v>873</v>
      </c>
      <c r="D42" s="324">
        <v>3.5726600238999997</v>
      </c>
      <c r="E42" s="324">
        <v>-6.1847352999999999E-3</v>
      </c>
      <c r="F42" s="324">
        <v>26.387517563899998</v>
      </c>
      <c r="G42" s="324">
        <v>2.5367451812000001</v>
      </c>
      <c r="H42" s="324">
        <v>4.6955739625000001</v>
      </c>
      <c r="I42" s="324">
        <v>4.4537239388999996</v>
      </c>
      <c r="J42" s="324">
        <v>9.5441858948</v>
      </c>
      <c r="K42" s="324">
        <v>-5.6977792899999997E-2</v>
      </c>
      <c r="L42" s="324">
        <v>0.216404137</v>
      </c>
      <c r="M42" s="324">
        <v>3.1468915699999996E-2</v>
      </c>
      <c r="N42" s="324">
        <v>-0.34725381479999995</v>
      </c>
      <c r="O42" s="324">
        <v>51.0278632749</v>
      </c>
      <c r="P42" s="324">
        <v>0</v>
      </c>
      <c r="Q42" s="324">
        <v>0.51002687319999995</v>
      </c>
      <c r="R42" s="324">
        <v>50.584014869399994</v>
      </c>
      <c r="S42" s="324">
        <v>0.32179877709999999</v>
      </c>
      <c r="T42" s="324">
        <v>8.5056994473999996</v>
      </c>
      <c r="U42" s="324">
        <v>10.332600165900001</v>
      </c>
      <c r="V42" s="324">
        <v>6.6598347884000004</v>
      </c>
      <c r="W42" s="324">
        <v>2.1400288367</v>
      </c>
      <c r="X42" s="324">
        <v>14.1788297648</v>
      </c>
      <c r="Y42" s="324">
        <v>-2.3630876323000001</v>
      </c>
      <c r="Z42" s="324">
        <v>90.869745890600001</v>
      </c>
      <c r="AA42" s="324">
        <v>-1.5097537416999998</v>
      </c>
      <c r="AB42" s="324">
        <v>140.3878554238</v>
      </c>
      <c r="AC42" s="271"/>
      <c r="AD42" s="271"/>
      <c r="AE42" s="271"/>
      <c r="AF42" s="271"/>
      <c r="AG42" s="271"/>
      <c r="AH42" s="271"/>
      <c r="AI42" s="271"/>
      <c r="AJ42" s="271"/>
      <c r="AK42" s="271"/>
      <c r="AL42" s="271"/>
      <c r="AM42" s="271"/>
      <c r="AN42" s="271"/>
      <c r="AO42" s="271"/>
      <c r="AP42" s="271"/>
      <c r="AQ42" s="271"/>
    </row>
    <row r="43" spans="1:43" ht="18" customHeight="1">
      <c r="A43" s="271"/>
      <c r="B43" s="326" t="s">
        <v>496</v>
      </c>
      <c r="C43" s="323" t="s">
        <v>874</v>
      </c>
      <c r="D43" s="324">
        <v>303.51537853069999</v>
      </c>
      <c r="E43" s="324">
        <v>-53.490141247399997</v>
      </c>
      <c r="F43" s="324">
        <v>0.96873258950000007</v>
      </c>
      <c r="G43" s="324">
        <v>-3.7546718499999999E-2</v>
      </c>
      <c r="H43" s="324">
        <v>-5.3288164900000004E-2</v>
      </c>
      <c r="I43" s="324">
        <v>-0.19850660480000001</v>
      </c>
      <c r="J43" s="324">
        <v>1.0157630303</v>
      </c>
      <c r="K43" s="324">
        <v>-0.1279286734</v>
      </c>
      <c r="L43" s="324">
        <v>3.7138788539999998</v>
      </c>
      <c r="M43" s="324">
        <v>6.3601600000000004E-5</v>
      </c>
      <c r="N43" s="324">
        <v>-3.3871092439999999</v>
      </c>
      <c r="O43" s="324">
        <v>251.9192959531</v>
      </c>
      <c r="P43" s="324">
        <v>0.65137026119999997</v>
      </c>
      <c r="Q43" s="324">
        <v>29.1522581477</v>
      </c>
      <c r="R43" s="324">
        <v>8.3605436352999991</v>
      </c>
      <c r="S43" s="324">
        <v>20.283978978900002</v>
      </c>
      <c r="T43" s="324">
        <v>3.1870654274000003</v>
      </c>
      <c r="U43" s="324">
        <v>0.33336711410000003</v>
      </c>
      <c r="V43" s="324">
        <v>-0.60516225410000002</v>
      </c>
      <c r="W43" s="324">
        <v>-0.37565667049999996</v>
      </c>
      <c r="X43" s="324">
        <v>4.2475673456000003</v>
      </c>
      <c r="Y43" s="324">
        <v>-4.1422903923000005</v>
      </c>
      <c r="Z43" s="324">
        <v>60.4416713321</v>
      </c>
      <c r="AA43" s="324">
        <v>-33.110483902399999</v>
      </c>
      <c r="AB43" s="324">
        <v>279.90185364400003</v>
      </c>
      <c r="AC43" s="271"/>
      <c r="AD43" s="271"/>
      <c r="AE43" s="271"/>
      <c r="AF43" s="271"/>
      <c r="AG43" s="271"/>
      <c r="AH43" s="271"/>
      <c r="AI43" s="271"/>
      <c r="AJ43" s="271"/>
      <c r="AK43" s="271"/>
      <c r="AL43" s="271"/>
      <c r="AM43" s="271"/>
      <c r="AN43" s="271"/>
      <c r="AO43" s="271"/>
      <c r="AP43" s="271"/>
      <c r="AQ43" s="271"/>
    </row>
    <row r="44" spans="1:43" ht="18" customHeight="1">
      <c r="A44" s="271"/>
      <c r="B44" s="326" t="s">
        <v>497</v>
      </c>
      <c r="C44" s="323" t="s">
        <v>875</v>
      </c>
      <c r="D44" s="324">
        <v>303.4476592245</v>
      </c>
      <c r="E44" s="324">
        <v>-53.688207016599996</v>
      </c>
      <c r="F44" s="324">
        <v>1.0332690169000001</v>
      </c>
      <c r="G44" s="324">
        <v>0</v>
      </c>
      <c r="H44" s="324">
        <v>8.4604160000000006E-4</v>
      </c>
      <c r="I44" s="324">
        <v>1.0021528199999999E-2</v>
      </c>
      <c r="J44" s="324">
        <v>1.2731202699999999</v>
      </c>
      <c r="K44" s="324">
        <v>-0.1279286734</v>
      </c>
      <c r="L44" s="324">
        <v>3.9820677494000001</v>
      </c>
      <c r="M44" s="324">
        <v>0</v>
      </c>
      <c r="N44" s="324">
        <v>-3.4631553512999997</v>
      </c>
      <c r="O44" s="324">
        <v>252.4676927893</v>
      </c>
      <c r="P44" s="324">
        <v>0.67441197379999995</v>
      </c>
      <c r="Q44" s="324">
        <v>29.779135177600001</v>
      </c>
      <c r="R44" s="324">
        <v>9.4391029999999994</v>
      </c>
      <c r="S44" s="324">
        <v>17.048665312000001</v>
      </c>
      <c r="T44" s="324">
        <v>3.9357270338000001</v>
      </c>
      <c r="U44" s="324">
        <v>0.38986997380000005</v>
      </c>
      <c r="V44" s="324">
        <v>3.5845E-3</v>
      </c>
      <c r="W44" s="324">
        <v>0.60869802009999996</v>
      </c>
      <c r="X44" s="324">
        <v>4.6397251370000001</v>
      </c>
      <c r="Y44" s="324">
        <v>-4.7483001392000004</v>
      </c>
      <c r="Z44" s="324">
        <v>61.096208015100004</v>
      </c>
      <c r="AA44" s="324">
        <v>-37.6577683505</v>
      </c>
      <c r="AB44" s="324">
        <v>276.58054442769998</v>
      </c>
      <c r="AC44" s="271"/>
      <c r="AD44" s="271"/>
      <c r="AE44" s="271"/>
      <c r="AF44" s="271"/>
      <c r="AG44" s="271"/>
      <c r="AH44" s="271"/>
      <c r="AI44" s="271"/>
      <c r="AJ44" s="271"/>
      <c r="AK44" s="271"/>
      <c r="AL44" s="271"/>
      <c r="AM44" s="271"/>
      <c r="AN44" s="271"/>
      <c r="AO44" s="271"/>
      <c r="AP44" s="271"/>
      <c r="AQ44" s="271"/>
    </row>
    <row r="45" spans="1:43" ht="18" customHeight="1">
      <c r="A45" s="271"/>
      <c r="B45" s="326" t="s">
        <v>498</v>
      </c>
      <c r="C45" s="323" t="s">
        <v>876</v>
      </c>
      <c r="D45" s="324">
        <v>1.7871572824000002</v>
      </c>
      <c r="E45" s="324">
        <v>0</v>
      </c>
      <c r="F45" s="324">
        <v>-5.8194055500000001E-2</v>
      </c>
      <c r="G45" s="324">
        <v>0.1094229477</v>
      </c>
      <c r="H45" s="324">
        <v>1.8781797199999999E-2</v>
      </c>
      <c r="I45" s="324">
        <v>6.5064168000000004E-3</v>
      </c>
      <c r="J45" s="324">
        <v>0.27680874010000001</v>
      </c>
      <c r="K45" s="324">
        <v>0</v>
      </c>
      <c r="L45" s="324">
        <v>6.6359118000000007E-3</v>
      </c>
      <c r="M45" s="324">
        <v>0</v>
      </c>
      <c r="N45" s="324">
        <v>-0.93773943840000007</v>
      </c>
      <c r="O45" s="324">
        <v>1.2093796020999998</v>
      </c>
      <c r="P45" s="324">
        <v>2.1489949135000002</v>
      </c>
      <c r="Q45" s="324">
        <v>2.4426826886000002</v>
      </c>
      <c r="R45" s="324">
        <v>3.4572390924</v>
      </c>
      <c r="S45" s="324">
        <v>0.1932703721</v>
      </c>
      <c r="T45" s="324">
        <v>1.4564740204</v>
      </c>
      <c r="U45" s="324">
        <v>0.40570885880000002</v>
      </c>
      <c r="V45" s="324">
        <v>-4.6900337800000004E-2</v>
      </c>
      <c r="W45" s="324">
        <v>1.9214642000000002E-3</v>
      </c>
      <c r="X45" s="324">
        <v>-2.3272905796000001</v>
      </c>
      <c r="Y45" s="324">
        <v>-0.5489933454</v>
      </c>
      <c r="Z45" s="324">
        <v>5.0341122337000002</v>
      </c>
      <c r="AA45" s="324">
        <v>-0.93903350400000007</v>
      </c>
      <c r="AB45" s="324">
        <v>7.4534532452999995</v>
      </c>
      <c r="AC45" s="271"/>
      <c r="AD45" s="271"/>
      <c r="AE45" s="271"/>
      <c r="AF45" s="271"/>
      <c r="AG45" s="271"/>
      <c r="AH45" s="271"/>
      <c r="AI45" s="271"/>
      <c r="AJ45" s="271"/>
      <c r="AK45" s="271"/>
      <c r="AL45" s="271"/>
      <c r="AM45" s="271"/>
      <c r="AN45" s="271"/>
      <c r="AO45" s="271"/>
      <c r="AP45" s="271"/>
      <c r="AQ45" s="271"/>
    </row>
    <row r="46" spans="1:43" ht="18" customHeight="1">
      <c r="A46" s="271"/>
      <c r="B46" s="326" t="s">
        <v>499</v>
      </c>
      <c r="C46" s="323" t="s">
        <v>877</v>
      </c>
      <c r="D46" s="324">
        <v>0</v>
      </c>
      <c r="E46" s="324">
        <v>0</v>
      </c>
      <c r="F46" s="324">
        <v>0</v>
      </c>
      <c r="G46" s="324">
        <v>0</v>
      </c>
      <c r="H46" s="324">
        <v>0</v>
      </c>
      <c r="I46" s="324">
        <v>0</v>
      </c>
      <c r="J46" s="324">
        <v>0</v>
      </c>
      <c r="K46" s="324">
        <v>0</v>
      </c>
      <c r="L46" s="324">
        <v>0</v>
      </c>
      <c r="M46" s="324">
        <v>0</v>
      </c>
      <c r="N46" s="324">
        <v>0</v>
      </c>
      <c r="O46" s="324">
        <v>0</v>
      </c>
      <c r="P46" s="324">
        <v>0</v>
      </c>
      <c r="Q46" s="324">
        <v>0</v>
      </c>
      <c r="R46" s="324">
        <v>0</v>
      </c>
      <c r="S46" s="324">
        <v>0</v>
      </c>
      <c r="T46" s="324">
        <v>0</v>
      </c>
      <c r="U46" s="324">
        <v>0</v>
      </c>
      <c r="V46" s="324">
        <v>0</v>
      </c>
      <c r="W46" s="324">
        <v>0</v>
      </c>
      <c r="X46" s="324">
        <v>0</v>
      </c>
      <c r="Y46" s="324">
        <v>0</v>
      </c>
      <c r="Z46" s="324">
        <v>0</v>
      </c>
      <c r="AA46" s="324">
        <v>0</v>
      </c>
      <c r="AB46" s="324">
        <v>0</v>
      </c>
      <c r="AC46" s="271"/>
      <c r="AD46" s="271"/>
      <c r="AE46" s="271"/>
      <c r="AF46" s="271"/>
      <c r="AG46" s="271"/>
      <c r="AH46" s="271"/>
      <c r="AI46" s="271"/>
      <c r="AJ46" s="271"/>
      <c r="AK46" s="271"/>
      <c r="AL46" s="271"/>
      <c r="AM46" s="271"/>
      <c r="AN46" s="271"/>
      <c r="AO46" s="271"/>
      <c r="AP46" s="271"/>
      <c r="AQ46" s="271"/>
    </row>
    <row r="47" spans="1:43" ht="18" customHeight="1">
      <c r="A47" s="271"/>
      <c r="B47" s="326" t="s">
        <v>878</v>
      </c>
      <c r="C47" s="323" t="s">
        <v>879</v>
      </c>
      <c r="D47" s="324">
        <v>0</v>
      </c>
      <c r="E47" s="324">
        <v>0</v>
      </c>
      <c r="F47" s="324">
        <v>-1.912262E-2</v>
      </c>
      <c r="G47" s="324">
        <v>0</v>
      </c>
      <c r="H47" s="324">
        <v>0</v>
      </c>
      <c r="I47" s="324">
        <v>0</v>
      </c>
      <c r="J47" s="324">
        <v>0</v>
      </c>
      <c r="K47" s="324">
        <v>0</v>
      </c>
      <c r="L47" s="324">
        <v>0</v>
      </c>
      <c r="M47" s="324">
        <v>0</v>
      </c>
      <c r="N47" s="324">
        <v>0</v>
      </c>
      <c r="O47" s="324">
        <v>-1.912262E-2</v>
      </c>
      <c r="P47" s="324">
        <v>-8.2341038999999994E-3</v>
      </c>
      <c r="Q47" s="324">
        <v>0.66589498940000003</v>
      </c>
      <c r="R47" s="324">
        <v>0</v>
      </c>
      <c r="S47" s="324">
        <v>8.699142130000001E-2</v>
      </c>
      <c r="T47" s="324">
        <v>0</v>
      </c>
      <c r="U47" s="324">
        <v>0</v>
      </c>
      <c r="V47" s="324">
        <v>0</v>
      </c>
      <c r="W47" s="324">
        <v>0</v>
      </c>
      <c r="X47" s="324">
        <v>0.93415097260000002</v>
      </c>
      <c r="Y47" s="324">
        <v>0</v>
      </c>
      <c r="Z47" s="324">
        <v>1.6870373833000001</v>
      </c>
      <c r="AA47" s="324">
        <v>0</v>
      </c>
      <c r="AB47" s="324">
        <v>1.6596806594</v>
      </c>
      <c r="AC47" s="271"/>
      <c r="AD47" s="271"/>
      <c r="AE47" s="271"/>
      <c r="AF47" s="271"/>
      <c r="AG47" s="271"/>
      <c r="AH47" s="271"/>
      <c r="AI47" s="271"/>
      <c r="AJ47" s="271"/>
      <c r="AK47" s="271"/>
      <c r="AL47" s="271"/>
      <c r="AM47" s="271"/>
      <c r="AN47" s="271"/>
      <c r="AO47" s="271"/>
      <c r="AP47" s="271"/>
      <c r="AQ47" s="271"/>
    </row>
    <row r="48" spans="1:43" ht="18" customHeight="1">
      <c r="A48" s="271"/>
      <c r="B48" s="326" t="s">
        <v>880</v>
      </c>
      <c r="C48" s="323" t="s">
        <v>881</v>
      </c>
      <c r="D48" s="324">
        <v>302.47768137509996</v>
      </c>
      <c r="E48" s="324">
        <v>-261.59498564239999</v>
      </c>
      <c r="F48" s="324">
        <v>1.4421427152000001</v>
      </c>
      <c r="G48" s="324">
        <v>0.1462900318</v>
      </c>
      <c r="H48" s="324">
        <v>5.8214664699999995E-2</v>
      </c>
      <c r="I48" s="324">
        <v>0.38390011490000003</v>
      </c>
      <c r="J48" s="324">
        <v>0.31648690070000002</v>
      </c>
      <c r="K48" s="324">
        <v>-0.2784905855</v>
      </c>
      <c r="L48" s="324">
        <v>5.2477594299999999E-2</v>
      </c>
      <c r="M48" s="324">
        <v>0</v>
      </c>
      <c r="N48" s="324">
        <v>-16.679935249300001</v>
      </c>
      <c r="O48" s="324">
        <v>26.323781919499996</v>
      </c>
      <c r="P48" s="324">
        <v>93.331555437399999</v>
      </c>
      <c r="Q48" s="324">
        <v>81.5194430552</v>
      </c>
      <c r="R48" s="324">
        <v>0.66285367360000003</v>
      </c>
      <c r="S48" s="324">
        <v>0.90098648299999995</v>
      </c>
      <c r="T48" s="324">
        <v>0.26876905179999999</v>
      </c>
      <c r="U48" s="324">
        <v>1.28676029E-2</v>
      </c>
      <c r="V48" s="324">
        <v>0.12501060159999999</v>
      </c>
      <c r="W48" s="324">
        <v>1.2464111599999999E-2</v>
      </c>
      <c r="X48" s="324">
        <v>30.669470366199999</v>
      </c>
      <c r="Y48" s="324">
        <v>-51.969479551400006</v>
      </c>
      <c r="Z48" s="324">
        <v>62.202385394499998</v>
      </c>
      <c r="AA48" s="324">
        <v>-22.1827534277</v>
      </c>
      <c r="AB48" s="324">
        <v>159.6749693237</v>
      </c>
      <c r="AC48" s="271"/>
      <c r="AD48" s="271"/>
      <c r="AE48" s="271"/>
      <c r="AF48" s="271"/>
      <c r="AG48" s="271"/>
      <c r="AH48" s="271"/>
      <c r="AI48" s="271"/>
      <c r="AJ48" s="271"/>
      <c r="AK48" s="271"/>
      <c r="AL48" s="271"/>
      <c r="AM48" s="271"/>
      <c r="AN48" s="271"/>
      <c r="AO48" s="271"/>
      <c r="AP48" s="271"/>
      <c r="AQ48" s="271"/>
    </row>
    <row r="49" spans="1:43" ht="18" customHeight="1">
      <c r="A49" s="271"/>
      <c r="B49" s="326" t="s">
        <v>882</v>
      </c>
      <c r="C49" s="323" t="s">
        <v>883</v>
      </c>
      <c r="D49" s="324">
        <v>0</v>
      </c>
      <c r="E49" s="324">
        <v>0</v>
      </c>
      <c r="F49" s="324">
        <v>0</v>
      </c>
      <c r="G49" s="324">
        <v>0</v>
      </c>
      <c r="H49" s="324">
        <v>0</v>
      </c>
      <c r="I49" s="324">
        <v>0</v>
      </c>
      <c r="J49" s="324">
        <v>0</v>
      </c>
      <c r="K49" s="324">
        <v>0</v>
      </c>
      <c r="L49" s="324">
        <v>0</v>
      </c>
      <c r="M49" s="324">
        <v>0</v>
      </c>
      <c r="N49" s="324">
        <v>0</v>
      </c>
      <c r="O49" s="324">
        <v>0</v>
      </c>
      <c r="P49" s="324">
        <v>0.29658985670000004</v>
      </c>
      <c r="Q49" s="324">
        <v>0</v>
      </c>
      <c r="R49" s="324">
        <v>0</v>
      </c>
      <c r="S49" s="324">
        <v>0</v>
      </c>
      <c r="T49" s="324">
        <v>0</v>
      </c>
      <c r="U49" s="324">
        <v>0</v>
      </c>
      <c r="V49" s="324">
        <v>0</v>
      </c>
      <c r="W49" s="324">
        <v>0</v>
      </c>
      <c r="X49" s="324">
        <v>0</v>
      </c>
      <c r="Y49" s="324">
        <v>0</v>
      </c>
      <c r="Z49" s="324">
        <v>0</v>
      </c>
      <c r="AA49" s="324">
        <v>0</v>
      </c>
      <c r="AB49" s="324">
        <v>0.29658985670000004</v>
      </c>
      <c r="AC49" s="271"/>
      <c r="AD49" s="271"/>
      <c r="AE49" s="271"/>
      <c r="AF49" s="271"/>
      <c r="AG49" s="271"/>
      <c r="AH49" s="271"/>
      <c r="AI49" s="271"/>
      <c r="AJ49" s="271"/>
      <c r="AK49" s="271"/>
      <c r="AL49" s="271"/>
      <c r="AM49" s="271"/>
      <c r="AN49" s="271"/>
      <c r="AO49" s="271"/>
      <c r="AP49" s="271"/>
      <c r="AQ49" s="271"/>
    </row>
    <row r="50" spans="1:43" ht="18" customHeight="1">
      <c r="A50" s="271"/>
      <c r="B50" s="327" t="s">
        <v>45</v>
      </c>
      <c r="C50" s="323" t="s">
        <v>884</v>
      </c>
      <c r="D50" s="324">
        <v>840.52519696039997</v>
      </c>
      <c r="E50" s="324">
        <v>-218.29954317799999</v>
      </c>
      <c r="F50" s="324">
        <v>8.1308327675999994</v>
      </c>
      <c r="G50" s="324">
        <v>4.6104614386999998</v>
      </c>
      <c r="H50" s="324">
        <v>9.0956974735999996</v>
      </c>
      <c r="I50" s="324">
        <v>11.774332203299998</v>
      </c>
      <c r="J50" s="324">
        <v>-15.953748238499999</v>
      </c>
      <c r="K50" s="324">
        <v>-0.1505619121</v>
      </c>
      <c r="L50" s="324">
        <v>15.620549986199999</v>
      </c>
      <c r="M50" s="324">
        <v>2.90290377E-2</v>
      </c>
      <c r="N50" s="324">
        <v>-54.749712118999994</v>
      </c>
      <c r="O50" s="324">
        <v>600.63253441990003</v>
      </c>
      <c r="P50" s="324">
        <v>115.5078116813</v>
      </c>
      <c r="Q50" s="324">
        <v>89.4528635108</v>
      </c>
      <c r="R50" s="324">
        <v>56.5201008668</v>
      </c>
      <c r="S50" s="324">
        <v>20.55374875</v>
      </c>
      <c r="T50" s="324">
        <v>4.1000074886000002</v>
      </c>
      <c r="U50" s="324">
        <v>23.0555653483</v>
      </c>
      <c r="V50" s="324">
        <v>6.5602082434</v>
      </c>
      <c r="W50" s="324">
        <v>13.469958216199998</v>
      </c>
      <c r="X50" s="324">
        <v>22.725623771999999</v>
      </c>
      <c r="Y50" s="324">
        <v>-46.206809590500001</v>
      </c>
      <c r="Z50" s="324">
        <v>190.23126660560001</v>
      </c>
      <c r="AA50" s="324">
        <v>-70.151374003000001</v>
      </c>
      <c r="AB50" s="324">
        <v>836.22023870380008</v>
      </c>
      <c r="AC50" s="271"/>
      <c r="AD50" s="271"/>
      <c r="AE50" s="271"/>
      <c r="AF50" s="271"/>
      <c r="AG50" s="271"/>
      <c r="AH50" s="271"/>
      <c r="AI50" s="271"/>
      <c r="AJ50" s="271"/>
      <c r="AK50" s="271"/>
      <c r="AL50" s="271"/>
      <c r="AM50" s="271"/>
      <c r="AN50" s="271"/>
      <c r="AO50" s="271"/>
      <c r="AP50" s="271"/>
      <c r="AQ50" s="271"/>
    </row>
    <row r="51" spans="1:43" ht="18" customHeight="1">
      <c r="A51" s="271"/>
      <c r="B51" s="328" t="s">
        <v>500</v>
      </c>
      <c r="C51" s="323" t="s">
        <v>885</v>
      </c>
      <c r="D51" s="324">
        <v>75.957435675200003</v>
      </c>
      <c r="E51" s="324">
        <v>-18.615183864900001</v>
      </c>
      <c r="F51" s="324">
        <v>1.1588817909</v>
      </c>
      <c r="G51" s="324">
        <v>5.8045847300000002E-2</v>
      </c>
      <c r="H51" s="324">
        <v>6.5251626699999996E-2</v>
      </c>
      <c r="I51" s="324">
        <v>0.149268024</v>
      </c>
      <c r="J51" s="324">
        <v>6.9120868930999997</v>
      </c>
      <c r="K51" s="324">
        <v>0</v>
      </c>
      <c r="L51" s="324">
        <v>1.3715000483000002</v>
      </c>
      <c r="M51" s="324">
        <v>5.0723999999999995E-4</v>
      </c>
      <c r="N51" s="324">
        <v>-4.0417449362999998</v>
      </c>
      <c r="O51" s="324">
        <v>63.016048344300003</v>
      </c>
      <c r="P51" s="324">
        <v>0.49761175639999999</v>
      </c>
      <c r="Q51" s="324">
        <v>3.4806389900000005E-2</v>
      </c>
      <c r="R51" s="324">
        <v>11.6685015266</v>
      </c>
      <c r="S51" s="324">
        <v>16.148531657300001</v>
      </c>
      <c r="T51" s="324">
        <v>0.74113736650000006</v>
      </c>
      <c r="U51" s="324">
        <v>0.50513833909999994</v>
      </c>
      <c r="V51" s="324">
        <v>1.6998820166999999</v>
      </c>
      <c r="W51" s="324">
        <v>0.55144558529999999</v>
      </c>
      <c r="X51" s="324">
        <v>2.5886572231999998</v>
      </c>
      <c r="Y51" s="324">
        <v>-0.72458021620000002</v>
      </c>
      <c r="Z51" s="324">
        <v>33.2135198884</v>
      </c>
      <c r="AA51" s="324">
        <v>-11.748831860999999</v>
      </c>
      <c r="AB51" s="324">
        <v>84.978348128100009</v>
      </c>
      <c r="AC51" s="271"/>
      <c r="AD51" s="271"/>
      <c r="AE51" s="271"/>
      <c r="AF51" s="271"/>
      <c r="AG51" s="271"/>
      <c r="AH51" s="271"/>
      <c r="AI51" s="271"/>
      <c r="AJ51" s="271"/>
      <c r="AK51" s="271"/>
      <c r="AL51" s="271"/>
      <c r="AM51" s="271"/>
      <c r="AN51" s="271"/>
      <c r="AO51" s="271"/>
      <c r="AP51" s="271"/>
      <c r="AQ51" s="271"/>
    </row>
    <row r="52" spans="1:43" ht="18" customHeight="1">
      <c r="A52" s="271"/>
      <c r="B52" s="328" t="s">
        <v>501</v>
      </c>
      <c r="C52" s="323" t="s">
        <v>886</v>
      </c>
      <c r="D52" s="324">
        <v>70.816657176000007</v>
      </c>
      <c r="E52" s="324">
        <v>-18.615183864900001</v>
      </c>
      <c r="F52" s="324">
        <v>0.43465490569999998</v>
      </c>
      <c r="G52" s="324">
        <v>3.02961671E-2</v>
      </c>
      <c r="H52" s="324">
        <v>1.37322248E-2</v>
      </c>
      <c r="I52" s="324">
        <v>1.27555303E-2</v>
      </c>
      <c r="J52" s="324">
        <v>1.0640805412000001</v>
      </c>
      <c r="K52" s="324">
        <v>0</v>
      </c>
      <c r="L52" s="324">
        <v>0.11371591449999999</v>
      </c>
      <c r="M52" s="324">
        <v>2.9424280000000001E-4</v>
      </c>
      <c r="N52" s="324">
        <v>-4.4481900998000006</v>
      </c>
      <c r="O52" s="324">
        <v>49.422812737700006</v>
      </c>
      <c r="P52" s="324">
        <v>0.39070494170000003</v>
      </c>
      <c r="Q52" s="324">
        <v>2.54200647</v>
      </c>
      <c r="R52" s="324">
        <v>1.5823444163999998</v>
      </c>
      <c r="S52" s="324">
        <v>0.58370764799999997</v>
      </c>
      <c r="T52" s="324">
        <v>0.15216812490000001</v>
      </c>
      <c r="U52" s="324">
        <v>8.8147428000000007E-3</v>
      </c>
      <c r="V52" s="324">
        <v>6.9223046100000005E-2</v>
      </c>
      <c r="W52" s="324">
        <v>1.7521790000000001E-4</v>
      </c>
      <c r="X52" s="324">
        <v>0.23819268139999999</v>
      </c>
      <c r="Y52" s="324">
        <v>-9.6224316000000001E-3</v>
      </c>
      <c r="Z52" s="324">
        <v>5.1670099158999996</v>
      </c>
      <c r="AA52" s="324">
        <v>0</v>
      </c>
      <c r="AB52" s="324">
        <v>54.980527595299996</v>
      </c>
      <c r="AC52" s="271"/>
      <c r="AD52" s="271"/>
      <c r="AE52" s="271"/>
      <c r="AF52" s="271"/>
      <c r="AG52" s="271"/>
      <c r="AH52" s="271"/>
      <c r="AI52" s="271"/>
      <c r="AJ52" s="271"/>
      <c r="AK52" s="271"/>
      <c r="AL52" s="271"/>
      <c r="AM52" s="271"/>
      <c r="AN52" s="271"/>
      <c r="AO52" s="271"/>
      <c r="AP52" s="271"/>
      <c r="AQ52" s="271"/>
    </row>
    <row r="53" spans="1:43" ht="18" customHeight="1">
      <c r="A53" s="271"/>
      <c r="B53" s="327" t="s">
        <v>46</v>
      </c>
      <c r="C53" s="323" t="s">
        <v>887</v>
      </c>
      <c r="D53" s="324">
        <v>845.66597545960008</v>
      </c>
      <c r="E53" s="324">
        <v>-218.29954317799999</v>
      </c>
      <c r="F53" s="324">
        <v>8.8550596527999996</v>
      </c>
      <c r="G53" s="324">
        <v>4.6382111189000002</v>
      </c>
      <c r="H53" s="324">
        <v>9.1472168754999998</v>
      </c>
      <c r="I53" s="324">
        <v>11.910844697</v>
      </c>
      <c r="J53" s="324">
        <v>-10.105741886599999</v>
      </c>
      <c r="K53" s="324">
        <v>-0.1505619121</v>
      </c>
      <c r="L53" s="324">
        <v>16.878334120000002</v>
      </c>
      <c r="M53" s="324">
        <v>2.9242034900000002E-2</v>
      </c>
      <c r="N53" s="324">
        <v>-54.343266955499999</v>
      </c>
      <c r="O53" s="324">
        <v>614.22577002649996</v>
      </c>
      <c r="P53" s="324">
        <v>115.61471849600001</v>
      </c>
      <c r="Q53" s="324">
        <v>86.945663430699994</v>
      </c>
      <c r="R53" s="324">
        <v>66.606257976999999</v>
      </c>
      <c r="S53" s="324">
        <v>36.118572759300001</v>
      </c>
      <c r="T53" s="324">
        <v>4.6889767301999994</v>
      </c>
      <c r="U53" s="324">
        <v>23.551888944600002</v>
      </c>
      <c r="V53" s="324">
        <v>8.190867213999999</v>
      </c>
      <c r="W53" s="324">
        <v>14.021228583599999</v>
      </c>
      <c r="X53" s="324">
        <v>25.0760883138</v>
      </c>
      <c r="Y53" s="324">
        <v>-46.921767375100004</v>
      </c>
      <c r="Z53" s="324">
        <v>218.2777765781</v>
      </c>
      <c r="AA53" s="324">
        <v>-81.900205864</v>
      </c>
      <c r="AB53" s="324">
        <v>866.21805923660008</v>
      </c>
      <c r="AC53" s="271"/>
      <c r="AD53" s="271"/>
      <c r="AE53" s="271"/>
      <c r="AF53" s="271"/>
      <c r="AG53" s="271"/>
      <c r="AH53" s="271"/>
      <c r="AI53" s="271"/>
      <c r="AJ53" s="271"/>
      <c r="AK53" s="271"/>
      <c r="AL53" s="271"/>
      <c r="AM53" s="271"/>
      <c r="AN53" s="271"/>
      <c r="AO53" s="271"/>
      <c r="AP53" s="271"/>
      <c r="AQ53" s="271"/>
    </row>
    <row r="54" spans="1:43" ht="18" customHeight="1">
      <c r="A54" s="271"/>
      <c r="B54" s="326" t="s">
        <v>502</v>
      </c>
      <c r="C54" s="323" t="s">
        <v>888</v>
      </c>
      <c r="D54" s="324">
        <v>154.3490330381</v>
      </c>
      <c r="E54" s="324">
        <v>-0.83659182170000002</v>
      </c>
      <c r="F54" s="324">
        <v>2.5963583698999999</v>
      </c>
      <c r="G54" s="324">
        <v>1.115519924</v>
      </c>
      <c r="H54" s="324">
        <v>2.2182792987000002</v>
      </c>
      <c r="I54" s="324">
        <v>2.9451680056999998</v>
      </c>
      <c r="J54" s="324">
        <v>0.69225223170000005</v>
      </c>
      <c r="K54" s="324">
        <v>-3.7797140399999998E-2</v>
      </c>
      <c r="L54" s="324">
        <v>4.6829751947</v>
      </c>
      <c r="M54" s="324">
        <v>3.9613453000000003E-3</v>
      </c>
      <c r="N54" s="324">
        <v>-6.736259489</v>
      </c>
      <c r="O54" s="324">
        <v>160.99289895699999</v>
      </c>
      <c r="P54" s="324">
        <v>13.164884585299999</v>
      </c>
      <c r="Q54" s="324">
        <v>13.102417688800001</v>
      </c>
      <c r="R54" s="324">
        <v>11.863907879500001</v>
      </c>
      <c r="S54" s="324">
        <v>9.1317165858999996</v>
      </c>
      <c r="T54" s="324">
        <v>1.9858855016999999</v>
      </c>
      <c r="U54" s="324">
        <v>3.1349293169000001</v>
      </c>
      <c r="V54" s="324">
        <v>1.5631606221000001</v>
      </c>
      <c r="W54" s="324">
        <v>3.5684325695999997</v>
      </c>
      <c r="X54" s="324">
        <v>4.3483347500000002</v>
      </c>
      <c r="Y54" s="324">
        <v>-3.5773160701999998</v>
      </c>
      <c r="Z54" s="324">
        <v>45.121468844300004</v>
      </c>
      <c r="AA54" s="324">
        <v>-13.1112434903</v>
      </c>
      <c r="AB54" s="324">
        <v>206.16800889630002</v>
      </c>
      <c r="AC54" s="271"/>
      <c r="AD54" s="271"/>
      <c r="AE54" s="271"/>
      <c r="AF54" s="271"/>
      <c r="AG54" s="271"/>
      <c r="AH54" s="271"/>
      <c r="AI54" s="271"/>
      <c r="AJ54" s="271"/>
      <c r="AK54" s="271"/>
      <c r="AL54" s="271"/>
      <c r="AM54" s="271"/>
      <c r="AN54" s="271"/>
      <c r="AO54" s="271"/>
      <c r="AP54" s="271"/>
      <c r="AQ54" s="271"/>
    </row>
    <row r="55" spans="1:43" ht="18" customHeight="1">
      <c r="A55" s="271"/>
      <c r="B55" s="327" t="s">
        <v>47</v>
      </c>
      <c r="C55" s="323" t="s">
        <v>889</v>
      </c>
      <c r="D55" s="324">
        <v>691.3169424214999</v>
      </c>
      <c r="E55" s="324">
        <v>-217.46295135630001</v>
      </c>
      <c r="F55" s="324">
        <v>6.2587012828999997</v>
      </c>
      <c r="G55" s="324">
        <v>3.5226911949000002</v>
      </c>
      <c r="H55" s="324">
        <v>6.9289375767999992</v>
      </c>
      <c r="I55" s="324">
        <v>8.9656766913000006</v>
      </c>
      <c r="J55" s="324">
        <v>-10.7979941183</v>
      </c>
      <c r="K55" s="324">
        <v>-0.1127647717</v>
      </c>
      <c r="L55" s="324">
        <v>12.195358925299999</v>
      </c>
      <c r="M55" s="324">
        <v>2.52806896E-2</v>
      </c>
      <c r="N55" s="324">
        <v>-47.607007466499994</v>
      </c>
      <c r="O55" s="324">
        <v>453.23287106949999</v>
      </c>
      <c r="P55" s="324">
        <v>102.44983391069999</v>
      </c>
      <c r="Q55" s="324">
        <v>73.843245741899992</v>
      </c>
      <c r="R55" s="324">
        <v>54.742350097500001</v>
      </c>
      <c r="S55" s="324">
        <v>26.986856173400003</v>
      </c>
      <c r="T55" s="324">
        <v>2.7030912285000004</v>
      </c>
      <c r="U55" s="324">
        <v>20.416959627699999</v>
      </c>
      <c r="V55" s="324">
        <v>6.6277065919000009</v>
      </c>
      <c r="W55" s="324">
        <v>10.452796014</v>
      </c>
      <c r="X55" s="324">
        <v>20.7277535638</v>
      </c>
      <c r="Y55" s="324">
        <v>-43.344451304899998</v>
      </c>
      <c r="Z55" s="324">
        <v>173.15630773380002</v>
      </c>
      <c r="AA55" s="324">
        <v>-68.788962373700002</v>
      </c>
      <c r="AB55" s="324">
        <v>660.0500503403</v>
      </c>
      <c r="AC55" s="271"/>
      <c r="AD55" s="271"/>
      <c r="AE55" s="271"/>
      <c r="AF55" s="271"/>
      <c r="AG55" s="271"/>
      <c r="AH55" s="271"/>
      <c r="AI55" s="271"/>
      <c r="AJ55" s="271"/>
      <c r="AK55" s="271"/>
      <c r="AL55" s="271"/>
      <c r="AM55" s="271"/>
      <c r="AN55" s="271"/>
      <c r="AO55" s="271"/>
      <c r="AP55" s="271"/>
      <c r="AQ55" s="271"/>
    </row>
    <row r="56" spans="1:43" ht="18" customHeight="1">
      <c r="A56" s="271"/>
      <c r="B56" s="326" t="s">
        <v>503</v>
      </c>
      <c r="C56" s="323" t="s">
        <v>890</v>
      </c>
      <c r="D56" s="324">
        <v>690.50481707250003</v>
      </c>
      <c r="E56" s="324">
        <v>-212.72371313349998</v>
      </c>
      <c r="F56" s="324">
        <v>6.2587012828999997</v>
      </c>
      <c r="G56" s="324">
        <v>3.5226911949000002</v>
      </c>
      <c r="H56" s="324">
        <v>6.9289375767999992</v>
      </c>
      <c r="I56" s="324">
        <v>8.9656766913000006</v>
      </c>
      <c r="J56" s="324">
        <v>-10.7261755448</v>
      </c>
      <c r="K56" s="324">
        <v>-0.1127647717</v>
      </c>
      <c r="L56" s="324">
        <v>12.193710343699999</v>
      </c>
      <c r="M56" s="324">
        <v>2.52806896E-2</v>
      </c>
      <c r="N56" s="324">
        <v>-51.948137275900002</v>
      </c>
      <c r="O56" s="324">
        <v>452.88902412580001</v>
      </c>
      <c r="P56" s="324">
        <v>83.1350936961</v>
      </c>
      <c r="Q56" s="324">
        <v>68.815249195100009</v>
      </c>
      <c r="R56" s="324">
        <v>28.089226301100002</v>
      </c>
      <c r="S56" s="324">
        <v>20.7374617135</v>
      </c>
      <c r="T56" s="324">
        <v>0.78289700870000001</v>
      </c>
      <c r="U56" s="324">
        <v>19.043514700199999</v>
      </c>
      <c r="V56" s="324">
        <v>6.6277065919000009</v>
      </c>
      <c r="W56" s="324">
        <v>10.452796014</v>
      </c>
      <c r="X56" s="324">
        <v>20.7277535638</v>
      </c>
      <c r="Y56" s="324">
        <v>-42.937057552299997</v>
      </c>
      <c r="Z56" s="324">
        <v>132.339547536</v>
      </c>
      <c r="AA56" s="324">
        <v>-32.507630787300002</v>
      </c>
      <c r="AB56" s="324">
        <v>635.85603457059995</v>
      </c>
      <c r="AC56" s="271"/>
      <c r="AD56" s="271"/>
      <c r="AE56" s="271"/>
      <c r="AF56" s="271"/>
      <c r="AG56" s="271"/>
      <c r="AH56" s="271"/>
      <c r="AI56" s="271"/>
      <c r="AJ56" s="271"/>
      <c r="AK56" s="271"/>
      <c r="AL56" s="271"/>
      <c r="AM56" s="271"/>
      <c r="AN56" s="271"/>
      <c r="AO56" s="271"/>
      <c r="AP56" s="271"/>
      <c r="AQ56" s="271"/>
    </row>
    <row r="57" spans="1:43" ht="18" customHeight="1">
      <c r="A57" s="271"/>
      <c r="B57" s="326" t="s">
        <v>504</v>
      </c>
      <c r="C57" s="323" t="s">
        <v>891</v>
      </c>
      <c r="D57" s="324">
        <v>0.81212534900000011</v>
      </c>
      <c r="E57" s="324">
        <v>-4.7392382228000001</v>
      </c>
      <c r="F57" s="324">
        <v>0</v>
      </c>
      <c r="G57" s="324">
        <v>0</v>
      </c>
      <c r="H57" s="324">
        <v>0</v>
      </c>
      <c r="I57" s="324">
        <v>0</v>
      </c>
      <c r="J57" s="324">
        <v>-7.1818573499999996E-2</v>
      </c>
      <c r="K57" s="324">
        <v>0</v>
      </c>
      <c r="L57" s="324">
        <v>1.6485816000000001E-3</v>
      </c>
      <c r="M57" s="324">
        <v>0</v>
      </c>
      <c r="N57" s="324">
        <v>4.3411298093999999</v>
      </c>
      <c r="O57" s="324">
        <v>0.34384694369999996</v>
      </c>
      <c r="P57" s="324">
        <v>19.3147402146</v>
      </c>
      <c r="Q57" s="324">
        <v>5.0279965467999999</v>
      </c>
      <c r="R57" s="324">
        <v>26.653123796399999</v>
      </c>
      <c r="S57" s="324">
        <v>6.2493944599000004</v>
      </c>
      <c r="T57" s="324">
        <v>1.9201942197999999</v>
      </c>
      <c r="U57" s="324">
        <v>1.3734449275</v>
      </c>
      <c r="V57" s="324">
        <v>0</v>
      </c>
      <c r="W57" s="324">
        <v>0</v>
      </c>
      <c r="X57" s="324">
        <v>0</v>
      </c>
      <c r="Y57" s="324">
        <v>-0.40739375259999999</v>
      </c>
      <c r="Z57" s="324">
        <v>40.816760197800001</v>
      </c>
      <c r="AA57" s="324">
        <v>-36.2813315864</v>
      </c>
      <c r="AB57" s="324">
        <v>24.194015769699998</v>
      </c>
      <c r="AC57" s="271"/>
      <c r="AD57" s="271"/>
      <c r="AE57" s="271"/>
      <c r="AF57" s="271"/>
      <c r="AG57" s="271"/>
      <c r="AH57" s="271"/>
      <c r="AI57" s="271"/>
      <c r="AJ57" s="271"/>
      <c r="AK57" s="271"/>
      <c r="AL57" s="271"/>
      <c r="AM57" s="271"/>
      <c r="AN57" s="271"/>
      <c r="AO57" s="271"/>
      <c r="AP57" s="271"/>
      <c r="AQ57" s="271"/>
    </row>
    <row r="58" spans="1:43" ht="18" customHeight="1">
      <c r="A58" s="271"/>
      <c r="B58" s="327" t="s">
        <v>48</v>
      </c>
      <c r="C58" s="323" t="s">
        <v>892</v>
      </c>
      <c r="D58" s="324">
        <v>-3.8976380901999996</v>
      </c>
      <c r="E58" s="324">
        <v>0</v>
      </c>
      <c r="F58" s="324">
        <v>-3.7864653900000003E-2</v>
      </c>
      <c r="G58" s="324">
        <v>0</v>
      </c>
      <c r="H58" s="324">
        <v>0</v>
      </c>
      <c r="I58" s="324">
        <v>0</v>
      </c>
      <c r="J58" s="324">
        <v>-3.5386321000000004E-3</v>
      </c>
      <c r="K58" s="324">
        <v>0</v>
      </c>
      <c r="L58" s="324">
        <v>0</v>
      </c>
      <c r="M58" s="324">
        <v>-2.51018244E-2</v>
      </c>
      <c r="N58" s="324">
        <v>0</v>
      </c>
      <c r="O58" s="324">
        <v>-3.9641432006000001</v>
      </c>
      <c r="P58" s="324">
        <v>-15.7746515486</v>
      </c>
      <c r="Q58" s="324">
        <v>75.085071933899997</v>
      </c>
      <c r="R58" s="324">
        <v>-1.8348370100000001E-2</v>
      </c>
      <c r="S58" s="324">
        <v>0.29384045409999998</v>
      </c>
      <c r="T58" s="324">
        <v>0</v>
      </c>
      <c r="U58" s="324">
        <v>0</v>
      </c>
      <c r="V58" s="324">
        <v>0</v>
      </c>
      <c r="W58" s="324">
        <v>0</v>
      </c>
      <c r="X58" s="324">
        <v>-0.57524369279999998</v>
      </c>
      <c r="Y58" s="324">
        <v>-25.666421679999999</v>
      </c>
      <c r="Z58" s="324">
        <v>49.118898645100003</v>
      </c>
      <c r="AA58" s="324">
        <v>-0.68826597940000001</v>
      </c>
      <c r="AB58" s="324">
        <v>28.691837916500003</v>
      </c>
      <c r="AC58" s="271"/>
      <c r="AD58" s="271"/>
      <c r="AE58" s="271"/>
      <c r="AF58" s="271"/>
      <c r="AG58" s="271"/>
      <c r="AH58" s="271"/>
      <c r="AI58" s="271"/>
      <c r="AJ58" s="271"/>
      <c r="AK58" s="271"/>
      <c r="AL58" s="271"/>
      <c r="AM58" s="271"/>
      <c r="AN58" s="271"/>
      <c r="AO58" s="271"/>
      <c r="AP58" s="271"/>
      <c r="AQ58" s="271"/>
    </row>
    <row r="59" spans="1:43" ht="18" customHeight="1">
      <c r="A59" s="271"/>
      <c r="B59" s="327" t="s">
        <v>49</v>
      </c>
      <c r="C59" s="323" t="s">
        <v>893</v>
      </c>
      <c r="D59" s="324">
        <v>687.41930433130005</v>
      </c>
      <c r="E59" s="324">
        <v>-217.46295135630001</v>
      </c>
      <c r="F59" s="324">
        <v>6.2208366289999999</v>
      </c>
      <c r="G59" s="324">
        <v>3.5226911949000002</v>
      </c>
      <c r="H59" s="324">
        <v>6.9289375767999992</v>
      </c>
      <c r="I59" s="324">
        <v>8.9656766913000006</v>
      </c>
      <c r="J59" s="324">
        <v>-10.8015327504</v>
      </c>
      <c r="K59" s="324">
        <v>-0.1127647717</v>
      </c>
      <c r="L59" s="324">
        <v>12.195358925299999</v>
      </c>
      <c r="M59" s="324">
        <v>1.7886520000000002E-4</v>
      </c>
      <c r="N59" s="324">
        <v>-47.607007466499994</v>
      </c>
      <c r="O59" s="324">
        <v>449.26872786889999</v>
      </c>
      <c r="P59" s="324">
        <v>86.675182362099989</v>
      </c>
      <c r="Q59" s="324">
        <v>148.9283176758</v>
      </c>
      <c r="R59" s="324">
        <v>54.724001727400001</v>
      </c>
      <c r="S59" s="324">
        <v>27.280696627499999</v>
      </c>
      <c r="T59" s="324">
        <v>2.7030912285000004</v>
      </c>
      <c r="U59" s="324">
        <v>20.416959627699999</v>
      </c>
      <c r="V59" s="324">
        <v>6.6277065919000009</v>
      </c>
      <c r="W59" s="324">
        <v>10.452796014</v>
      </c>
      <c r="X59" s="324">
        <v>20.152509870999999</v>
      </c>
      <c r="Y59" s="324">
        <v>-69.010872984900004</v>
      </c>
      <c r="Z59" s="324">
        <v>222.27520637889998</v>
      </c>
      <c r="AA59" s="324">
        <v>-69.477228353100003</v>
      </c>
      <c r="AB59" s="324">
        <v>688.74188825679994</v>
      </c>
      <c r="AC59" s="271"/>
      <c r="AD59" s="271"/>
      <c r="AE59" s="271"/>
      <c r="AF59" s="271"/>
      <c r="AG59" s="271"/>
      <c r="AH59" s="271"/>
      <c r="AI59" s="271"/>
      <c r="AJ59" s="271"/>
      <c r="AK59" s="271"/>
      <c r="AL59" s="271"/>
      <c r="AM59" s="271"/>
      <c r="AN59" s="271"/>
      <c r="AO59" s="271"/>
      <c r="AP59" s="271"/>
      <c r="AQ59" s="271"/>
    </row>
    <row r="60" spans="1:43" ht="18" customHeight="1">
      <c r="A60" s="271"/>
      <c r="B60" s="327" t="s">
        <v>505</v>
      </c>
      <c r="C60" s="323" t="s">
        <v>894</v>
      </c>
      <c r="D60" s="324">
        <v>686.60717898230007</v>
      </c>
      <c r="E60" s="324">
        <v>-212.72371313349998</v>
      </c>
      <c r="F60" s="324">
        <v>6.2208366289999999</v>
      </c>
      <c r="G60" s="324">
        <v>3.5226911949000002</v>
      </c>
      <c r="H60" s="324">
        <v>6.9289375767999992</v>
      </c>
      <c r="I60" s="324">
        <v>8.9656766913000006</v>
      </c>
      <c r="J60" s="324">
        <v>-10.7297141769</v>
      </c>
      <c r="K60" s="324">
        <v>-0.1127647717</v>
      </c>
      <c r="L60" s="324">
        <v>12.193710343699999</v>
      </c>
      <c r="M60" s="324">
        <v>1.7886520000000002E-4</v>
      </c>
      <c r="N60" s="324">
        <v>-51.946716585299995</v>
      </c>
      <c r="O60" s="324">
        <v>448.92630161580001</v>
      </c>
      <c r="P60" s="324">
        <v>74.977342360699993</v>
      </c>
      <c r="Q60" s="324">
        <v>139.8751872723</v>
      </c>
      <c r="R60" s="324">
        <v>28.0756722954</v>
      </c>
      <c r="S60" s="324">
        <v>21.0313021676</v>
      </c>
      <c r="T60" s="324">
        <v>0.78289700870000001</v>
      </c>
      <c r="U60" s="324">
        <v>19.043514700199999</v>
      </c>
      <c r="V60" s="324">
        <v>6.6277065919000009</v>
      </c>
      <c r="W60" s="324">
        <v>10.452796014</v>
      </c>
      <c r="X60" s="324">
        <v>20.152509870999999</v>
      </c>
      <c r="Y60" s="324">
        <v>-68.605769144700005</v>
      </c>
      <c r="Z60" s="324">
        <v>177.4358167764</v>
      </c>
      <c r="AA60" s="324">
        <v>-40.256338422399999</v>
      </c>
      <c r="AB60" s="324">
        <v>661.08312233050003</v>
      </c>
      <c r="AC60" s="271"/>
      <c r="AD60" s="271"/>
      <c r="AE60" s="271"/>
      <c r="AF60" s="271"/>
      <c r="AG60" s="271"/>
      <c r="AH60" s="271"/>
      <c r="AI60" s="271"/>
      <c r="AJ60" s="271"/>
      <c r="AK60" s="271"/>
      <c r="AL60" s="271"/>
      <c r="AM60" s="271"/>
      <c r="AN60" s="271"/>
      <c r="AO60" s="271"/>
      <c r="AP60" s="271"/>
      <c r="AQ60" s="271"/>
    </row>
    <row r="61" spans="1:43" ht="18" customHeight="1">
      <c r="A61" s="271"/>
      <c r="B61" s="327" t="s">
        <v>506</v>
      </c>
      <c r="C61" s="323" t="s">
        <v>895</v>
      </c>
      <c r="D61" s="324">
        <v>0.81212534900000011</v>
      </c>
      <c r="E61" s="324">
        <v>-4.7392382228000001</v>
      </c>
      <c r="F61" s="324">
        <v>0</v>
      </c>
      <c r="G61" s="324">
        <v>0</v>
      </c>
      <c r="H61" s="324">
        <v>0</v>
      </c>
      <c r="I61" s="324">
        <v>0</v>
      </c>
      <c r="J61" s="324">
        <v>-7.1818573499999996E-2</v>
      </c>
      <c r="K61" s="324">
        <v>0</v>
      </c>
      <c r="L61" s="324">
        <v>1.6485816000000001E-3</v>
      </c>
      <c r="M61" s="324">
        <v>0</v>
      </c>
      <c r="N61" s="324">
        <v>4.3397091188000001</v>
      </c>
      <c r="O61" s="324">
        <v>0.34242625310000002</v>
      </c>
      <c r="P61" s="324">
        <v>11.697840001400001</v>
      </c>
      <c r="Q61" s="324">
        <v>9.0531304035000009</v>
      </c>
      <c r="R61" s="324">
        <v>26.648329431999997</v>
      </c>
      <c r="S61" s="324">
        <v>6.2493944599000004</v>
      </c>
      <c r="T61" s="324">
        <v>1.9201942197999999</v>
      </c>
      <c r="U61" s="324">
        <v>1.3734449275</v>
      </c>
      <c r="V61" s="324">
        <v>0</v>
      </c>
      <c r="W61" s="324">
        <v>0</v>
      </c>
      <c r="X61" s="324">
        <v>0</v>
      </c>
      <c r="Y61" s="324">
        <v>-0.40510384020000001</v>
      </c>
      <c r="Z61" s="324">
        <v>44.839389602499999</v>
      </c>
      <c r="AA61" s="324">
        <v>-29.2208899307</v>
      </c>
      <c r="AB61" s="324">
        <v>27.658765926300003</v>
      </c>
      <c r="AC61" s="271"/>
      <c r="AD61" s="271"/>
      <c r="AE61" s="271"/>
      <c r="AF61" s="271"/>
      <c r="AG61" s="271"/>
      <c r="AH61" s="271"/>
      <c r="AI61" s="271"/>
      <c r="AJ61" s="271"/>
      <c r="AK61" s="271"/>
      <c r="AL61" s="271"/>
      <c r="AM61" s="271"/>
      <c r="AN61" s="271"/>
      <c r="AO61" s="271"/>
      <c r="AP61" s="271"/>
      <c r="AQ61" s="271"/>
    </row>
    <row r="62" spans="1:43" ht="18" customHeight="1">
      <c r="A62" s="271"/>
      <c r="B62" s="327" t="s">
        <v>507</v>
      </c>
      <c r="C62" s="323" t="s">
        <v>896</v>
      </c>
      <c r="D62" s="324" t="s">
        <v>414</v>
      </c>
      <c r="E62" s="324" t="s">
        <v>414</v>
      </c>
      <c r="F62" s="324" t="s">
        <v>414</v>
      </c>
      <c r="G62" s="324" t="s">
        <v>414</v>
      </c>
      <c r="H62" s="324" t="s">
        <v>414</v>
      </c>
      <c r="I62" s="324" t="s">
        <v>414</v>
      </c>
      <c r="J62" s="324" t="s">
        <v>414</v>
      </c>
      <c r="K62" s="324" t="s">
        <v>414</v>
      </c>
      <c r="L62" s="324" t="s">
        <v>414</v>
      </c>
      <c r="M62" s="324" t="s">
        <v>414</v>
      </c>
      <c r="N62" s="324" t="s">
        <v>414</v>
      </c>
      <c r="O62" s="324" t="s">
        <v>414</v>
      </c>
      <c r="P62" s="324" t="s">
        <v>414</v>
      </c>
      <c r="Q62" s="324" t="s">
        <v>414</v>
      </c>
      <c r="R62" s="324" t="s">
        <v>414</v>
      </c>
      <c r="S62" s="324" t="s">
        <v>414</v>
      </c>
      <c r="T62" s="324" t="s">
        <v>414</v>
      </c>
      <c r="U62" s="324" t="s">
        <v>414</v>
      </c>
      <c r="V62" s="324" t="s">
        <v>414</v>
      </c>
      <c r="W62" s="324" t="s">
        <v>414</v>
      </c>
      <c r="X62" s="324" t="s">
        <v>414</v>
      </c>
      <c r="Y62" s="324" t="s">
        <v>414</v>
      </c>
      <c r="Z62" s="324" t="s">
        <v>414</v>
      </c>
      <c r="AA62" s="324" t="s">
        <v>414</v>
      </c>
      <c r="AB62" s="324" t="s">
        <v>414</v>
      </c>
      <c r="AC62" s="271"/>
      <c r="AD62" s="271"/>
      <c r="AE62" s="271"/>
      <c r="AF62" s="271"/>
      <c r="AG62" s="271"/>
      <c r="AH62" s="271"/>
      <c r="AI62" s="271"/>
      <c r="AJ62" s="271"/>
      <c r="AK62" s="271"/>
      <c r="AL62" s="271"/>
      <c r="AM62" s="271"/>
      <c r="AN62" s="271"/>
      <c r="AO62" s="271"/>
      <c r="AP62" s="271"/>
      <c r="AQ62" s="271"/>
    </row>
    <row r="63" spans="1:43" ht="18" customHeight="1">
      <c r="A63" s="271"/>
      <c r="B63" s="326" t="s">
        <v>508</v>
      </c>
      <c r="C63" s="323" t="s">
        <v>897</v>
      </c>
      <c r="D63" s="324">
        <v>28280.341307582701</v>
      </c>
      <c r="E63" s="324">
        <v>-5740.2392452523</v>
      </c>
      <c r="F63" s="324">
        <v>482.81619781220002</v>
      </c>
      <c r="G63" s="324">
        <v>26.933938577199999</v>
      </c>
      <c r="H63" s="324">
        <v>34.339340890999999</v>
      </c>
      <c r="I63" s="324">
        <v>21.654902026599999</v>
      </c>
      <c r="J63" s="324">
        <v>87.907161049300001</v>
      </c>
      <c r="K63" s="324">
        <v>-6.5450912060000004</v>
      </c>
      <c r="L63" s="324">
        <v>51.926984598800004</v>
      </c>
      <c r="M63" s="324">
        <v>1.4586798000999999</v>
      </c>
      <c r="N63" s="324">
        <v>-390.53697275230002</v>
      </c>
      <c r="O63" s="324">
        <v>22850.0572031273</v>
      </c>
      <c r="P63" s="324">
        <v>22.8554440636</v>
      </c>
      <c r="Q63" s="324">
        <v>119.4218457979</v>
      </c>
      <c r="R63" s="324">
        <v>718.16453853450002</v>
      </c>
      <c r="S63" s="324">
        <v>189.20267440400002</v>
      </c>
      <c r="T63" s="324">
        <v>466.87159091300003</v>
      </c>
      <c r="U63" s="324">
        <v>123.52139081750001</v>
      </c>
      <c r="V63" s="324">
        <v>61.1146739884</v>
      </c>
      <c r="W63" s="324">
        <v>53.097813417899999</v>
      </c>
      <c r="X63" s="324">
        <v>46.271575395799999</v>
      </c>
      <c r="Y63" s="324">
        <v>-61.622402878199999</v>
      </c>
      <c r="Z63" s="324">
        <v>1716.0437003907998</v>
      </c>
      <c r="AA63" s="324">
        <v>-1027.2229577810001</v>
      </c>
      <c r="AB63" s="324">
        <v>23561.733389800698</v>
      </c>
      <c r="AC63" s="271"/>
      <c r="AD63" s="271"/>
      <c r="AE63" s="271"/>
      <c r="AF63" s="271"/>
      <c r="AG63" s="271"/>
      <c r="AH63" s="271"/>
      <c r="AI63" s="271"/>
      <c r="AJ63" s="271"/>
      <c r="AK63" s="271"/>
      <c r="AL63" s="271"/>
      <c r="AM63" s="271"/>
      <c r="AN63" s="271"/>
      <c r="AO63" s="271"/>
      <c r="AP63" s="271"/>
      <c r="AQ63" s="271"/>
    </row>
    <row r="64" spans="1:43" ht="18" customHeight="1">
      <c r="A64" s="271"/>
      <c r="B64" s="326" t="s">
        <v>509</v>
      </c>
      <c r="C64" s="323" t="s">
        <v>898</v>
      </c>
      <c r="D64" s="324">
        <v>21121.7104022678</v>
      </c>
      <c r="E64" s="324">
        <v>-5935.1499292715007</v>
      </c>
      <c r="F64" s="324">
        <v>382.02626581830003</v>
      </c>
      <c r="G64" s="324">
        <v>12.144032492599999</v>
      </c>
      <c r="H64" s="324">
        <v>12.1006414747</v>
      </c>
      <c r="I64" s="324">
        <v>4.1579331396999999</v>
      </c>
      <c r="J64" s="324">
        <v>60.300070029099999</v>
      </c>
      <c r="K64" s="324">
        <v>-3.3849256275999999</v>
      </c>
      <c r="L64" s="324">
        <v>6.7444586847000005</v>
      </c>
      <c r="M64" s="324">
        <v>1.4802474225</v>
      </c>
      <c r="N64" s="324">
        <v>-108.6188927526</v>
      </c>
      <c r="O64" s="324">
        <v>15553.5103036777</v>
      </c>
      <c r="P64" s="324">
        <v>29.506227669800001</v>
      </c>
      <c r="Q64" s="324">
        <v>45.581645195699998</v>
      </c>
      <c r="R64" s="324">
        <v>497.36924711660004</v>
      </c>
      <c r="S64" s="324">
        <v>53.6821572391</v>
      </c>
      <c r="T64" s="324">
        <v>455.72010147430001</v>
      </c>
      <c r="U64" s="324">
        <v>101.06748967750001</v>
      </c>
      <c r="V64" s="324">
        <v>23.449875519599999</v>
      </c>
      <c r="W64" s="324">
        <v>32.223087500700004</v>
      </c>
      <c r="X64" s="324">
        <v>26.5305611597</v>
      </c>
      <c r="Y64" s="324">
        <v>-18.679205094100002</v>
      </c>
      <c r="Z64" s="324">
        <v>1216.9449597891</v>
      </c>
      <c r="AA64" s="324">
        <v>-573.20160115750002</v>
      </c>
      <c r="AB64" s="324">
        <v>16226.759889979099</v>
      </c>
      <c r="AC64" s="271"/>
      <c r="AD64" s="271"/>
      <c r="AE64" s="271"/>
      <c r="AF64" s="271"/>
      <c r="AG64" s="271"/>
      <c r="AH64" s="271"/>
      <c r="AI64" s="271"/>
      <c r="AJ64" s="271"/>
      <c r="AK64" s="271"/>
      <c r="AL64" s="271"/>
      <c r="AM64" s="271"/>
      <c r="AN64" s="271"/>
      <c r="AO64" s="271"/>
      <c r="AP64" s="271"/>
      <c r="AQ64" s="271"/>
    </row>
    <row r="65" spans="1:43" ht="18" customHeight="1">
      <c r="A65" s="271"/>
      <c r="B65" s="329" t="s">
        <v>510</v>
      </c>
      <c r="C65" s="323" t="s">
        <v>899</v>
      </c>
      <c r="D65" s="324" t="s">
        <v>414</v>
      </c>
      <c r="E65" s="324" t="s">
        <v>414</v>
      </c>
      <c r="F65" s="324" t="s">
        <v>414</v>
      </c>
      <c r="G65" s="324" t="s">
        <v>414</v>
      </c>
      <c r="H65" s="324" t="s">
        <v>414</v>
      </c>
      <c r="I65" s="324" t="s">
        <v>414</v>
      </c>
      <c r="J65" s="324" t="s">
        <v>414</v>
      </c>
      <c r="K65" s="324" t="s">
        <v>414</v>
      </c>
      <c r="L65" s="324" t="s">
        <v>414</v>
      </c>
      <c r="M65" s="324" t="s">
        <v>414</v>
      </c>
      <c r="N65" s="324" t="s">
        <v>414</v>
      </c>
      <c r="O65" s="324" t="s">
        <v>414</v>
      </c>
      <c r="P65" s="324" t="s">
        <v>414</v>
      </c>
      <c r="Q65" s="324" t="s">
        <v>414</v>
      </c>
      <c r="R65" s="324" t="s">
        <v>414</v>
      </c>
      <c r="S65" s="324" t="s">
        <v>414</v>
      </c>
      <c r="T65" s="324" t="s">
        <v>414</v>
      </c>
      <c r="U65" s="324" t="s">
        <v>414</v>
      </c>
      <c r="V65" s="324" t="s">
        <v>414</v>
      </c>
      <c r="W65" s="324" t="s">
        <v>414</v>
      </c>
      <c r="X65" s="324" t="s">
        <v>414</v>
      </c>
      <c r="Y65" s="324" t="s">
        <v>414</v>
      </c>
      <c r="Z65" s="324" t="s">
        <v>414</v>
      </c>
      <c r="AA65" s="324" t="s">
        <v>414</v>
      </c>
      <c r="AB65" s="324" t="s">
        <v>414</v>
      </c>
      <c r="AC65" s="271"/>
      <c r="AD65" s="271"/>
      <c r="AE65" s="271"/>
      <c r="AF65" s="271"/>
      <c r="AG65" s="271"/>
      <c r="AH65" s="271"/>
      <c r="AI65" s="271"/>
      <c r="AJ65" s="271"/>
      <c r="AK65" s="271"/>
      <c r="AL65" s="271"/>
      <c r="AM65" s="271"/>
      <c r="AN65" s="271"/>
      <c r="AO65" s="271"/>
      <c r="AP65" s="271"/>
      <c r="AQ65" s="271"/>
    </row>
    <row r="66" spans="1:43" ht="18" customHeight="1">
      <c r="A66" s="271"/>
      <c r="B66" s="326" t="s">
        <v>511</v>
      </c>
      <c r="C66" s="323" t="s">
        <v>900</v>
      </c>
      <c r="D66" s="324">
        <v>2581.9712277414001</v>
      </c>
      <c r="E66" s="324">
        <v>-1.006959293</v>
      </c>
      <c r="F66" s="324">
        <v>5.6159102575999995</v>
      </c>
      <c r="G66" s="324">
        <v>0.41574881320000001</v>
      </c>
      <c r="H66" s="324">
        <v>0.42321306740000003</v>
      </c>
      <c r="I66" s="324">
        <v>0.44541864219999999</v>
      </c>
      <c r="J66" s="324">
        <v>10.8589179489</v>
      </c>
      <c r="K66" s="324">
        <v>11.2837444701</v>
      </c>
      <c r="L66" s="324">
        <v>10.6696366408</v>
      </c>
      <c r="M66" s="324">
        <v>0.18209386289999999</v>
      </c>
      <c r="N66" s="324">
        <v>-12.645885267200001</v>
      </c>
      <c r="O66" s="324">
        <v>2608.2130668843001</v>
      </c>
      <c r="P66" s="324">
        <v>2.4155401138999997</v>
      </c>
      <c r="Q66" s="324">
        <v>10.185663224500001</v>
      </c>
      <c r="R66" s="324">
        <v>14.931369785499999</v>
      </c>
      <c r="S66" s="324">
        <v>36.306505131100003</v>
      </c>
      <c r="T66" s="324">
        <v>3.1694207892000001</v>
      </c>
      <c r="U66" s="324">
        <v>0.87534731379999997</v>
      </c>
      <c r="V66" s="324">
        <v>7.5455456579999991</v>
      </c>
      <c r="W66" s="324">
        <v>0.26923743920000004</v>
      </c>
      <c r="X66" s="324">
        <v>4.5244658541999998</v>
      </c>
      <c r="Y66" s="324">
        <v>0.29076740709999999</v>
      </c>
      <c r="Z66" s="324">
        <v>78.098322602600007</v>
      </c>
      <c r="AA66" s="324">
        <v>-12.6387358719</v>
      </c>
      <c r="AB66" s="324">
        <v>2676.0881937289</v>
      </c>
      <c r="AC66" s="271"/>
      <c r="AD66" s="271"/>
      <c r="AE66" s="271"/>
      <c r="AF66" s="271"/>
      <c r="AG66" s="271"/>
      <c r="AH66" s="271"/>
      <c r="AI66" s="271"/>
      <c r="AJ66" s="271"/>
      <c r="AK66" s="271"/>
      <c r="AL66" s="271"/>
      <c r="AM66" s="271"/>
      <c r="AN66" s="271"/>
      <c r="AO66" s="271"/>
      <c r="AP66" s="271"/>
      <c r="AQ66" s="271"/>
    </row>
    <row r="67" spans="1:43" ht="18" customHeight="1">
      <c r="A67" s="271"/>
      <c r="B67" s="325" t="s">
        <v>512</v>
      </c>
      <c r="C67" s="323" t="s">
        <v>901</v>
      </c>
      <c r="D67" s="324">
        <v>24.5660033142</v>
      </c>
      <c r="E67" s="324">
        <v>-4.2573711100000002E-2</v>
      </c>
      <c r="F67" s="324">
        <v>0.40869941369999996</v>
      </c>
      <c r="G67" s="324">
        <v>0.27080163509999999</v>
      </c>
      <c r="H67" s="324">
        <v>4.8783268499999997E-2</v>
      </c>
      <c r="I67" s="324">
        <v>0.29773136579999998</v>
      </c>
      <c r="J67" s="324">
        <v>1.4064374271000002</v>
      </c>
      <c r="K67" s="324">
        <v>4.7040641940999999</v>
      </c>
      <c r="L67" s="324">
        <v>6.0375668E-2</v>
      </c>
      <c r="M67" s="324">
        <v>1.8855823999999999E-3</v>
      </c>
      <c r="N67" s="324">
        <v>-0.34549236840000003</v>
      </c>
      <c r="O67" s="324">
        <v>31.376715789400002</v>
      </c>
      <c r="P67" s="324">
        <v>0.84612553099999999</v>
      </c>
      <c r="Q67" s="324">
        <v>2.9330646636000002</v>
      </c>
      <c r="R67" s="324">
        <v>3.4459469954999999</v>
      </c>
      <c r="S67" s="324">
        <v>0.87171859150000008</v>
      </c>
      <c r="T67" s="324">
        <v>0.5235201827</v>
      </c>
      <c r="U67" s="324">
        <v>0.54416582229999999</v>
      </c>
      <c r="V67" s="324">
        <v>0.76189644370000009</v>
      </c>
      <c r="W67" s="324">
        <v>0.2696683802</v>
      </c>
      <c r="X67" s="324">
        <v>0.3247949799</v>
      </c>
      <c r="Y67" s="324">
        <v>8.0389424000000001E-2</v>
      </c>
      <c r="Z67" s="324">
        <v>9.7551654834000008</v>
      </c>
      <c r="AA67" s="324">
        <v>-0.34344354729999998</v>
      </c>
      <c r="AB67" s="324">
        <v>41.634563256500002</v>
      </c>
      <c r="AC67" s="271"/>
      <c r="AD67" s="271"/>
      <c r="AE67" s="271"/>
      <c r="AF67" s="271"/>
      <c r="AG67" s="271"/>
      <c r="AH67" s="271"/>
      <c r="AI67" s="271"/>
      <c r="AJ67" s="271"/>
      <c r="AK67" s="271"/>
      <c r="AL67" s="271"/>
      <c r="AM67" s="271"/>
      <c r="AN67" s="271"/>
      <c r="AO67" s="271"/>
      <c r="AP67" s="271"/>
      <c r="AQ67" s="271"/>
    </row>
    <row r="68" spans="1:43" ht="14.25" customHeight="1">
      <c r="A68" s="271"/>
      <c r="B68" s="280"/>
      <c r="C68" s="280"/>
      <c r="D68" s="271"/>
      <c r="E68" s="271"/>
      <c r="F68" s="271"/>
      <c r="G68" s="271"/>
      <c r="H68" s="271"/>
      <c r="I68" s="271"/>
      <c r="J68" s="271"/>
      <c r="K68" s="271"/>
      <c r="L68" s="271"/>
      <c r="M68" s="271"/>
      <c r="N68" s="271"/>
      <c r="O68" s="271"/>
      <c r="P68" s="271"/>
      <c r="Q68" s="271"/>
      <c r="R68" s="271"/>
      <c r="S68" s="271"/>
      <c r="T68" s="271"/>
      <c r="U68" s="271"/>
      <c r="V68" s="271"/>
      <c r="W68" s="271"/>
      <c r="X68" s="271"/>
      <c r="Y68" s="271"/>
      <c r="Z68" s="271"/>
      <c r="AA68" s="271"/>
      <c r="AB68" s="271"/>
      <c r="AC68" s="271"/>
      <c r="AD68" s="271"/>
      <c r="AE68" s="271"/>
      <c r="AF68" s="271"/>
      <c r="AG68" s="271"/>
      <c r="AH68" s="271"/>
      <c r="AI68" s="271"/>
      <c r="AJ68" s="271"/>
      <c r="AK68" s="271"/>
      <c r="AL68" s="271"/>
      <c r="AM68" s="271"/>
      <c r="AN68" s="271"/>
      <c r="AO68" s="271"/>
      <c r="AP68" s="271"/>
      <c r="AQ68" s="271"/>
    </row>
    <row r="69" spans="1:43" ht="14.25" customHeight="1">
      <c r="A69" s="271"/>
      <c r="B69" s="281"/>
      <c r="C69" s="281"/>
      <c r="D69" s="271"/>
      <c r="E69" s="271"/>
      <c r="F69" s="271"/>
      <c r="G69" s="271"/>
      <c r="H69" s="271"/>
      <c r="I69" s="271"/>
      <c r="J69" s="271"/>
      <c r="K69" s="271"/>
      <c r="L69" s="271"/>
      <c r="M69" s="271"/>
      <c r="N69" s="271"/>
      <c r="O69" s="271"/>
      <c r="P69" s="271"/>
      <c r="Q69" s="271"/>
      <c r="R69" s="271"/>
      <c r="S69" s="271"/>
      <c r="T69" s="271"/>
      <c r="U69" s="271"/>
      <c r="V69" s="271"/>
      <c r="W69" s="271"/>
      <c r="X69" s="271"/>
      <c r="Y69" s="271"/>
      <c r="Z69" s="271"/>
      <c r="AA69" s="271"/>
      <c r="AB69" s="271"/>
      <c r="AC69" s="271"/>
      <c r="AD69" s="271"/>
      <c r="AE69" s="271"/>
      <c r="AF69" s="271"/>
      <c r="AG69" s="271"/>
      <c r="AH69" s="271"/>
      <c r="AI69" s="271"/>
      <c r="AJ69" s="271"/>
      <c r="AK69" s="271"/>
      <c r="AL69" s="271"/>
      <c r="AM69" s="271"/>
      <c r="AN69" s="271"/>
      <c r="AO69" s="271"/>
      <c r="AP69" s="271"/>
      <c r="AQ69" s="271"/>
    </row>
    <row r="70" spans="1:43" ht="14.25" customHeight="1">
      <c r="A70" s="271"/>
      <c r="B70" s="281"/>
      <c r="C70" s="281"/>
      <c r="D70" s="271"/>
      <c r="E70" s="271"/>
      <c r="F70" s="271"/>
      <c r="G70" s="271"/>
      <c r="H70" s="271"/>
      <c r="I70" s="271"/>
      <c r="J70" s="271"/>
      <c r="K70" s="271"/>
      <c r="L70" s="271"/>
      <c r="M70" s="271"/>
      <c r="N70" s="271"/>
      <c r="O70" s="271"/>
      <c r="P70" s="271"/>
      <c r="Q70" s="271"/>
      <c r="R70" s="271"/>
      <c r="S70" s="271"/>
      <c r="T70" s="271"/>
      <c r="U70" s="271"/>
      <c r="V70" s="271"/>
      <c r="W70" s="271"/>
      <c r="X70" s="271"/>
      <c r="Y70" s="271"/>
      <c r="Z70" s="271"/>
      <c r="AA70" s="271"/>
      <c r="AB70" s="271"/>
      <c r="AC70" s="271"/>
      <c r="AD70" s="271"/>
      <c r="AE70" s="271"/>
      <c r="AF70" s="271"/>
      <c r="AG70" s="271"/>
      <c r="AH70" s="271"/>
      <c r="AI70" s="271"/>
      <c r="AJ70" s="271"/>
      <c r="AK70" s="271"/>
      <c r="AL70" s="271"/>
      <c r="AM70" s="271"/>
      <c r="AN70" s="271"/>
      <c r="AO70" s="271"/>
      <c r="AP70" s="271"/>
      <c r="AQ70" s="271"/>
    </row>
    <row r="71" spans="1:43" ht="14.25" customHeight="1">
      <c r="A71" s="271"/>
      <c r="B71" s="306" t="s">
        <v>1004</v>
      </c>
      <c r="C71" s="307"/>
      <c r="D71" s="308" t="s">
        <v>1006</v>
      </c>
      <c r="E71" s="308" t="s">
        <v>1005</v>
      </c>
      <c r="F71" s="271"/>
      <c r="G71" s="271"/>
      <c r="H71" s="271"/>
      <c r="I71" s="271"/>
      <c r="J71" s="271"/>
      <c r="K71" s="271"/>
      <c r="L71" s="271"/>
      <c r="M71" s="271"/>
      <c r="N71" s="271"/>
      <c r="O71" s="271"/>
      <c r="P71" s="271"/>
      <c r="Q71" s="271"/>
      <c r="R71" s="271"/>
      <c r="S71" s="271"/>
      <c r="T71" s="271"/>
      <c r="U71" s="271"/>
      <c r="V71" s="271"/>
      <c r="W71" s="271"/>
      <c r="X71" s="271"/>
      <c r="Y71" s="271"/>
      <c r="Z71" s="271"/>
      <c r="AA71" s="271"/>
      <c r="AB71" s="271"/>
      <c r="AC71" s="271"/>
      <c r="AD71" s="271"/>
      <c r="AE71" s="271"/>
      <c r="AF71" s="271"/>
      <c r="AG71" s="271"/>
      <c r="AH71" s="271"/>
      <c r="AI71" s="271"/>
      <c r="AJ71" s="271"/>
      <c r="AK71" s="271"/>
      <c r="AL71" s="271"/>
      <c r="AM71" s="271"/>
      <c r="AN71" s="271"/>
      <c r="AO71" s="271"/>
      <c r="AP71" s="271"/>
      <c r="AQ71" s="271"/>
    </row>
    <row r="72" spans="1:43" ht="14.25" customHeight="1">
      <c r="A72" s="271"/>
      <c r="B72" s="270" t="s">
        <v>1002</v>
      </c>
      <c r="C72" s="311"/>
      <c r="D72" s="312"/>
      <c r="E72" s="305"/>
      <c r="F72" s="271"/>
      <c r="G72" s="271"/>
      <c r="H72" s="271"/>
      <c r="I72" s="271"/>
      <c r="J72" s="271"/>
      <c r="K72" s="271"/>
      <c r="L72" s="271"/>
      <c r="M72" s="271"/>
      <c r="N72" s="271"/>
      <c r="O72" s="271"/>
      <c r="P72" s="271"/>
      <c r="Q72" s="271"/>
      <c r="R72" s="271"/>
      <c r="S72" s="271"/>
      <c r="T72" s="271"/>
      <c r="U72" s="271"/>
      <c r="V72" s="271"/>
      <c r="W72" s="271"/>
      <c r="X72" s="271"/>
      <c r="Y72" s="271"/>
      <c r="Z72" s="271"/>
      <c r="AA72" s="271"/>
      <c r="AB72" s="271"/>
      <c r="AC72" s="271"/>
      <c r="AD72" s="271"/>
      <c r="AE72" s="271"/>
      <c r="AF72" s="271"/>
      <c r="AG72" s="271"/>
      <c r="AH72" s="271"/>
      <c r="AI72" s="271"/>
      <c r="AJ72" s="271"/>
      <c r="AK72" s="271"/>
      <c r="AL72" s="271"/>
      <c r="AM72" s="271"/>
      <c r="AN72" s="271"/>
      <c r="AO72" s="271"/>
      <c r="AP72" s="271"/>
      <c r="AQ72" s="271"/>
    </row>
    <row r="73" spans="1:43" ht="14.25" customHeight="1">
      <c r="B73" s="287" t="s">
        <v>996</v>
      </c>
      <c r="C73" s="304"/>
      <c r="D73" s="286">
        <f>SUM(D8:E8,L8:M8)</f>
        <v>20133.3791775475</v>
      </c>
      <c r="E73" s="305" t="s">
        <v>1020</v>
      </c>
      <c r="F73" s="271"/>
      <c r="G73" s="271"/>
      <c r="H73" s="271"/>
      <c r="I73" s="271"/>
      <c r="J73" s="271"/>
      <c r="K73" s="271"/>
      <c r="L73" s="271"/>
      <c r="M73" s="271"/>
      <c r="N73" s="271"/>
      <c r="O73" s="271"/>
      <c r="P73" s="271"/>
      <c r="Q73" s="271"/>
      <c r="R73" s="271"/>
      <c r="S73" s="271"/>
      <c r="T73" s="271"/>
      <c r="U73" s="271"/>
      <c r="V73" s="271"/>
      <c r="W73" s="271"/>
      <c r="X73" s="271"/>
      <c r="Y73" s="271"/>
      <c r="Z73" s="271"/>
      <c r="AA73" s="271"/>
      <c r="AB73" s="271"/>
    </row>
    <row r="74" spans="1:43" ht="14.25" customHeight="1">
      <c r="B74" s="313" t="s">
        <v>997</v>
      </c>
      <c r="C74" s="304"/>
      <c r="D74" s="286">
        <f>D18+E18+L18-O22</f>
        <v>19490.204171974001</v>
      </c>
      <c r="E74" s="305" t="s">
        <v>1019</v>
      </c>
      <c r="F74" s="271"/>
      <c r="G74" s="271"/>
      <c r="H74" s="271"/>
      <c r="I74" s="271"/>
      <c r="J74" s="271"/>
      <c r="K74" s="271"/>
      <c r="L74" s="271"/>
      <c r="M74" s="271"/>
      <c r="N74" s="271"/>
      <c r="O74" s="271"/>
      <c r="P74" s="271"/>
      <c r="Q74" s="271"/>
      <c r="R74" s="271"/>
      <c r="S74" s="271"/>
      <c r="T74" s="271"/>
      <c r="U74" s="271"/>
      <c r="V74" s="271"/>
      <c r="W74" s="271"/>
      <c r="X74" s="271"/>
      <c r="Y74" s="271"/>
      <c r="Z74" s="271"/>
      <c r="AA74" s="271"/>
      <c r="AB74" s="271"/>
    </row>
    <row r="75" spans="1:43" ht="14.25" customHeight="1">
      <c r="B75" s="313" t="s">
        <v>84</v>
      </c>
      <c r="C75" s="304"/>
      <c r="D75" s="286">
        <f>O22</f>
        <v>575.85006046830006</v>
      </c>
      <c r="E75" s="305" t="s">
        <v>1026</v>
      </c>
      <c r="F75" s="271"/>
      <c r="G75" s="271"/>
      <c r="H75" s="271"/>
      <c r="I75" s="271"/>
      <c r="J75" s="271"/>
      <c r="K75" s="271"/>
      <c r="L75" s="271"/>
      <c r="M75" s="271"/>
      <c r="N75" s="271"/>
      <c r="O75" s="271"/>
      <c r="P75" s="271"/>
      <c r="Q75" s="271"/>
      <c r="R75" s="271"/>
      <c r="S75" s="271"/>
      <c r="T75" s="271"/>
      <c r="U75" s="271"/>
      <c r="V75" s="271"/>
      <c r="W75" s="271"/>
      <c r="X75" s="271"/>
      <c r="Y75" s="271"/>
      <c r="Z75" s="271"/>
      <c r="AA75" s="271"/>
      <c r="AB75" s="271"/>
    </row>
    <row r="76" spans="1:43" ht="14.25" customHeight="1">
      <c r="B76" s="313" t="s">
        <v>53</v>
      </c>
      <c r="C76" s="304"/>
      <c r="D76" s="286">
        <f>D73-D74-D75</f>
        <v>67.324945105199163</v>
      </c>
      <c r="E76" s="305" t="s">
        <v>1021</v>
      </c>
      <c r="F76" s="271"/>
      <c r="G76" s="271"/>
      <c r="H76" s="271"/>
      <c r="I76" s="271"/>
      <c r="J76" s="271"/>
      <c r="K76" s="271"/>
      <c r="L76" s="271"/>
      <c r="M76" s="271"/>
      <c r="N76" s="271"/>
      <c r="O76" s="271"/>
      <c r="P76" s="271"/>
      <c r="Q76" s="271"/>
      <c r="R76" s="271"/>
      <c r="S76" s="271"/>
      <c r="T76" s="271"/>
      <c r="U76" s="271"/>
      <c r="V76" s="271"/>
      <c r="W76" s="271"/>
      <c r="X76" s="271"/>
      <c r="Y76" s="271"/>
      <c r="Z76" s="271"/>
      <c r="AA76" s="271"/>
      <c r="AB76" s="271"/>
    </row>
    <row r="77" spans="1:43" ht="14.25" customHeight="1">
      <c r="B77" s="287" t="s">
        <v>998</v>
      </c>
      <c r="C77" s="304"/>
      <c r="D77" s="305"/>
      <c r="E77" s="305"/>
      <c r="F77" s="271"/>
      <c r="G77" s="271"/>
      <c r="H77" s="271"/>
      <c r="I77" s="271"/>
      <c r="J77" s="271"/>
      <c r="K77" s="271"/>
      <c r="L77" s="271"/>
      <c r="M77" s="271"/>
      <c r="N77" s="271"/>
      <c r="O77" s="271"/>
      <c r="P77" s="271"/>
      <c r="Q77" s="271"/>
      <c r="R77" s="271"/>
      <c r="S77" s="271"/>
      <c r="T77" s="271"/>
      <c r="U77" s="271"/>
      <c r="V77" s="271"/>
      <c r="W77" s="271"/>
      <c r="X77" s="271"/>
      <c r="Y77" s="271"/>
      <c r="Z77" s="271"/>
      <c r="AA77" s="271"/>
      <c r="AB77" s="271"/>
    </row>
    <row r="78" spans="1:43" ht="14.25" customHeight="1">
      <c r="B78" s="313" t="s">
        <v>999</v>
      </c>
      <c r="C78" s="304"/>
      <c r="D78" s="286">
        <f>Z8</f>
        <v>1399.7265038632002</v>
      </c>
      <c r="E78" s="305" t="s">
        <v>1022</v>
      </c>
      <c r="F78" s="271"/>
      <c r="G78" s="271"/>
      <c r="H78" s="271"/>
      <c r="I78" s="271"/>
      <c r="J78" s="271"/>
      <c r="K78" s="271"/>
      <c r="L78" s="271"/>
      <c r="M78" s="271"/>
      <c r="N78" s="271"/>
      <c r="O78" s="271"/>
      <c r="P78" s="271"/>
      <c r="Q78" s="271"/>
      <c r="R78" s="271"/>
      <c r="S78" s="271"/>
      <c r="T78" s="271"/>
      <c r="U78" s="271"/>
      <c r="V78" s="271"/>
      <c r="W78" s="271"/>
      <c r="X78" s="271"/>
      <c r="Y78" s="271"/>
      <c r="Z78" s="271"/>
      <c r="AA78" s="271"/>
      <c r="AB78" s="271"/>
    </row>
    <row r="79" spans="1:43" ht="14.25" customHeight="1">
      <c r="B79" s="313" t="s">
        <v>154</v>
      </c>
      <c r="C79" s="304"/>
      <c r="D79" s="286">
        <f>SUM(F8:K8)</f>
        <v>647.60296812590013</v>
      </c>
      <c r="E79" s="305" t="s">
        <v>1025</v>
      </c>
      <c r="F79" s="271"/>
      <c r="G79" s="271"/>
      <c r="H79" s="271"/>
      <c r="I79" s="271"/>
      <c r="J79" s="271"/>
      <c r="K79" s="271"/>
      <c r="L79" s="271"/>
      <c r="M79" s="271"/>
      <c r="N79" s="271"/>
      <c r="O79" s="271"/>
      <c r="P79" s="271"/>
      <c r="Q79" s="271"/>
      <c r="R79" s="271"/>
      <c r="S79" s="271"/>
      <c r="T79" s="271"/>
      <c r="U79" s="271"/>
      <c r="V79" s="271"/>
      <c r="W79" s="271"/>
      <c r="X79" s="271"/>
      <c r="Y79" s="271"/>
      <c r="Z79" s="271"/>
      <c r="AA79" s="271"/>
      <c r="AB79" s="271"/>
    </row>
    <row r="80" spans="1:43" ht="14.25" customHeight="1">
      <c r="B80" s="287" t="s">
        <v>1000</v>
      </c>
      <c r="C80" s="304"/>
      <c r="D80" s="286">
        <f>P8</f>
        <v>181.68962171509997</v>
      </c>
      <c r="E80" s="305" t="s">
        <v>1023</v>
      </c>
      <c r="F80" s="271"/>
      <c r="G80" s="271"/>
      <c r="H80" s="271"/>
      <c r="I80" s="271"/>
      <c r="J80" s="271"/>
      <c r="K80" s="271"/>
      <c r="L80" s="271"/>
      <c r="M80" s="271"/>
      <c r="N80" s="271"/>
      <c r="O80" s="271"/>
      <c r="P80" s="271"/>
      <c r="Q80" s="271"/>
      <c r="R80" s="271"/>
      <c r="S80" s="271"/>
      <c r="T80" s="271"/>
      <c r="U80" s="271"/>
      <c r="V80" s="271"/>
      <c r="W80" s="271"/>
      <c r="X80" s="271"/>
      <c r="Y80" s="271"/>
      <c r="Z80" s="271"/>
      <c r="AA80" s="271"/>
      <c r="AB80" s="271"/>
    </row>
    <row r="81" spans="2:28" ht="14.25" customHeight="1">
      <c r="B81" s="287" t="s">
        <v>1001</v>
      </c>
      <c r="C81" s="304"/>
      <c r="D81" s="286">
        <f>N8+AA8</f>
        <v>-1422.6814962788999</v>
      </c>
      <c r="E81" s="305" t="s">
        <v>1024</v>
      </c>
      <c r="F81" s="271"/>
      <c r="G81" s="271"/>
      <c r="H81" s="271"/>
      <c r="I81" s="271"/>
      <c r="J81" s="271"/>
      <c r="K81" s="271"/>
      <c r="L81" s="271"/>
      <c r="M81" s="271"/>
      <c r="N81" s="271"/>
      <c r="O81" s="271"/>
      <c r="P81" s="271"/>
      <c r="Q81" s="271"/>
      <c r="R81" s="271"/>
      <c r="S81" s="271"/>
      <c r="T81" s="271"/>
      <c r="U81" s="271"/>
      <c r="V81" s="271"/>
      <c r="W81" s="271"/>
      <c r="X81" s="271"/>
      <c r="Y81" s="271"/>
      <c r="Z81" s="271"/>
      <c r="AA81" s="271"/>
      <c r="AB81" s="271"/>
    </row>
    <row r="82" spans="2:28" ht="14.25" customHeight="1">
      <c r="B82" s="239"/>
      <c r="C82" s="304"/>
      <c r="D82" s="305"/>
      <c r="E82" s="305"/>
      <c r="F82" s="271"/>
      <c r="G82" s="271"/>
      <c r="H82" s="271"/>
      <c r="I82" s="271"/>
      <c r="J82" s="271"/>
      <c r="K82" s="271"/>
      <c r="L82" s="271"/>
      <c r="M82" s="271"/>
      <c r="N82" s="271"/>
      <c r="O82" s="271"/>
      <c r="P82" s="271"/>
      <c r="Q82" s="271"/>
      <c r="R82" s="271"/>
      <c r="S82" s="271"/>
      <c r="T82" s="271"/>
      <c r="U82" s="271"/>
      <c r="V82" s="271"/>
      <c r="W82" s="271"/>
      <c r="X82" s="271"/>
      <c r="Y82" s="271"/>
      <c r="Z82" s="271"/>
      <c r="AA82" s="271"/>
      <c r="AB82" s="271"/>
    </row>
    <row r="83" spans="2:28" ht="14.25" customHeight="1">
      <c r="B83" s="270" t="s">
        <v>1003</v>
      </c>
      <c r="C83" s="304"/>
      <c r="D83" s="286"/>
      <c r="E83" s="305"/>
      <c r="F83" s="271"/>
      <c r="G83" s="271"/>
      <c r="H83" s="271"/>
      <c r="I83" s="271"/>
      <c r="J83" s="271"/>
      <c r="K83" s="271"/>
      <c r="L83" s="271"/>
      <c r="M83" s="271"/>
      <c r="N83" s="271"/>
      <c r="O83" s="271"/>
      <c r="P83" s="271"/>
      <c r="Q83" s="271"/>
      <c r="R83" s="271"/>
      <c r="S83" s="271"/>
      <c r="T83" s="271"/>
      <c r="U83" s="271"/>
      <c r="V83" s="271"/>
      <c r="W83" s="271"/>
      <c r="X83" s="271"/>
      <c r="Y83" s="271"/>
      <c r="Z83" s="271"/>
      <c r="AA83" s="271"/>
      <c r="AB83" s="271"/>
    </row>
    <row r="84" spans="2:28" ht="14.25" customHeight="1">
      <c r="B84" s="287" t="s">
        <v>1042</v>
      </c>
      <c r="C84" s="304"/>
      <c r="D84" s="286">
        <f>AB27-AB39-AB41-AB42-AB43-AB45</f>
        <v>19620.381620086595</v>
      </c>
      <c r="E84" s="305" t="s">
        <v>1044</v>
      </c>
      <c r="F84" s="271"/>
      <c r="G84" s="271"/>
      <c r="H84" s="271"/>
      <c r="I84" s="271"/>
      <c r="J84" s="271"/>
      <c r="K84" s="271"/>
      <c r="L84" s="271"/>
      <c r="M84" s="271"/>
      <c r="N84" s="271"/>
      <c r="O84" s="271"/>
      <c r="P84" s="271"/>
      <c r="Q84" s="271"/>
      <c r="R84" s="271"/>
      <c r="S84" s="271"/>
      <c r="T84" s="271"/>
      <c r="U84" s="271"/>
      <c r="V84" s="271"/>
      <c r="W84" s="271"/>
      <c r="X84" s="271"/>
      <c r="Y84" s="271"/>
      <c r="Z84" s="271"/>
      <c r="AA84" s="271"/>
      <c r="AB84" s="271"/>
    </row>
    <row r="85" spans="2:28" ht="14.25" customHeight="1">
      <c r="B85" s="287" t="s">
        <v>1038</v>
      </c>
      <c r="C85" s="304"/>
      <c r="D85" s="286">
        <f>SUM(D28:E28,L28:M28)</f>
        <v>19196.779552156797</v>
      </c>
      <c r="E85" s="305" t="s">
        <v>1041</v>
      </c>
      <c r="F85" s="271"/>
      <c r="G85" s="271"/>
      <c r="H85" s="271"/>
      <c r="I85" s="271"/>
      <c r="J85" s="271"/>
      <c r="K85" s="271"/>
      <c r="L85" s="271"/>
      <c r="M85" s="271"/>
      <c r="N85" s="271"/>
      <c r="O85" s="271"/>
      <c r="P85" s="271"/>
      <c r="Q85" s="271"/>
      <c r="R85" s="271"/>
      <c r="S85" s="271"/>
      <c r="T85" s="271"/>
      <c r="U85" s="271"/>
      <c r="V85" s="271"/>
      <c r="W85" s="271"/>
      <c r="X85" s="271"/>
      <c r="Y85" s="271"/>
      <c r="Z85" s="271"/>
      <c r="AA85" s="271"/>
      <c r="AB85" s="271"/>
    </row>
    <row r="86" spans="2:28" ht="14.25" customHeight="1">
      <c r="B86" s="287" t="s">
        <v>993</v>
      </c>
      <c r="C86" s="304"/>
      <c r="D86" s="286">
        <f>Z28</f>
        <v>1032.483161846</v>
      </c>
      <c r="E86" s="305" t="s">
        <v>1040</v>
      </c>
      <c r="F86" s="271"/>
      <c r="G86" s="271"/>
      <c r="H86" s="271"/>
      <c r="I86" s="271"/>
      <c r="J86" s="271"/>
      <c r="K86" s="271"/>
      <c r="L86" s="271"/>
      <c r="M86" s="271"/>
      <c r="N86" s="271"/>
      <c r="O86" s="271"/>
      <c r="P86" s="271"/>
      <c r="Q86" s="271"/>
      <c r="R86" s="271"/>
      <c r="S86" s="271"/>
      <c r="T86" s="271"/>
      <c r="U86" s="271"/>
      <c r="V86" s="271"/>
      <c r="W86" s="271"/>
      <c r="X86" s="271"/>
      <c r="Y86" s="271"/>
      <c r="Z86" s="271"/>
      <c r="AA86" s="271"/>
      <c r="AB86" s="271"/>
    </row>
    <row r="87" spans="2:28" ht="14.25" customHeight="1">
      <c r="B87" s="287" t="s">
        <v>994</v>
      </c>
      <c r="C87" s="304"/>
      <c r="D87" s="286">
        <f>SUM(F28:K28)</f>
        <v>574.50782353110003</v>
      </c>
      <c r="E87" s="305" t="s">
        <v>1039</v>
      </c>
      <c r="F87" s="271"/>
      <c r="G87" s="271"/>
      <c r="H87" s="271"/>
      <c r="I87" s="271"/>
      <c r="J87" s="271"/>
      <c r="K87" s="271"/>
      <c r="L87" s="271"/>
      <c r="M87" s="271"/>
      <c r="N87" s="271"/>
      <c r="O87" s="271"/>
      <c r="P87" s="271"/>
      <c r="Q87" s="271"/>
      <c r="R87" s="271"/>
      <c r="S87" s="271"/>
      <c r="T87" s="271"/>
      <c r="U87" s="271"/>
      <c r="V87" s="271"/>
      <c r="W87" s="271"/>
      <c r="X87" s="271"/>
      <c r="Y87" s="271"/>
      <c r="Z87" s="271"/>
      <c r="AA87" s="271"/>
      <c r="AB87" s="271"/>
    </row>
    <row r="88" spans="2:28" ht="14.25" customHeight="1">
      <c r="B88" s="309" t="s">
        <v>995</v>
      </c>
      <c r="C88" s="304"/>
      <c r="D88" s="286">
        <f>P27-SUM(P39,P41:P43,P45)</f>
        <v>108.46402582740001</v>
      </c>
      <c r="E88" s="305"/>
      <c r="F88" s="271"/>
      <c r="G88" s="271"/>
      <c r="H88" s="271"/>
      <c r="I88" s="271"/>
      <c r="J88" s="271"/>
      <c r="K88" s="271"/>
      <c r="L88" s="271"/>
      <c r="M88" s="271"/>
      <c r="N88" s="271"/>
      <c r="O88" s="271"/>
      <c r="P88" s="271"/>
      <c r="Q88" s="271"/>
      <c r="R88" s="271"/>
      <c r="S88" s="271"/>
      <c r="T88" s="271"/>
      <c r="U88" s="271"/>
      <c r="V88" s="271"/>
      <c r="W88" s="271"/>
      <c r="X88" s="271"/>
      <c r="Y88" s="271"/>
      <c r="Z88" s="271"/>
      <c r="AA88" s="271"/>
      <c r="AB88" s="271"/>
    </row>
    <row r="89" spans="2:28" ht="14.25" customHeight="1">
      <c r="B89" s="309" t="s">
        <v>633</v>
      </c>
      <c r="C89" s="304"/>
      <c r="D89" s="286">
        <f>N28+AA28+SUM(AA32:AA38)</f>
        <v>-1291.8529432747</v>
      </c>
      <c r="E89" s="305" t="s">
        <v>1043</v>
      </c>
      <c r="F89" s="271"/>
      <c r="G89" s="271"/>
      <c r="H89" s="271"/>
      <c r="I89" s="271"/>
      <c r="J89" s="271"/>
      <c r="K89" s="271"/>
      <c r="L89" s="271"/>
      <c r="M89" s="271"/>
      <c r="N89" s="271"/>
      <c r="O89" s="271"/>
      <c r="P89" s="271"/>
      <c r="Q89" s="271"/>
      <c r="R89" s="271"/>
      <c r="S89" s="271"/>
      <c r="T89" s="271"/>
      <c r="U89" s="271"/>
      <c r="V89" s="271"/>
      <c r="W89" s="271"/>
      <c r="X89" s="271"/>
      <c r="Y89" s="271"/>
      <c r="Z89" s="271"/>
      <c r="AA89" s="271"/>
      <c r="AB89" s="271"/>
    </row>
    <row r="90" spans="2:28" ht="14.25" customHeight="1">
      <c r="B90" s="218"/>
      <c r="C90" s="218"/>
      <c r="D90" s="331">
        <f>SUM(D85:D89)</f>
        <v>19620.381620086599</v>
      </c>
      <c r="E90" s="271"/>
      <c r="F90" s="271"/>
      <c r="G90" s="271"/>
      <c r="H90" s="271"/>
      <c r="I90" s="271"/>
      <c r="J90" s="271"/>
      <c r="K90" s="271"/>
      <c r="L90" s="271"/>
      <c r="M90" s="271"/>
      <c r="N90" s="271"/>
      <c r="O90" s="271"/>
      <c r="P90" s="271"/>
      <c r="Q90" s="271"/>
      <c r="R90" s="271"/>
      <c r="S90" s="271"/>
      <c r="T90" s="271"/>
      <c r="U90" s="271"/>
      <c r="V90" s="271"/>
      <c r="W90" s="271"/>
      <c r="X90" s="271"/>
      <c r="Y90" s="271"/>
      <c r="Z90" s="271"/>
      <c r="AA90" s="271"/>
      <c r="AB90" s="271"/>
    </row>
    <row r="91" spans="2:28" ht="14.25" customHeight="1">
      <c r="B91" s="218"/>
      <c r="C91" s="218"/>
      <c r="D91" s="271"/>
      <c r="E91" s="271"/>
      <c r="F91" s="271"/>
      <c r="G91" s="271"/>
      <c r="H91" s="271"/>
      <c r="I91" s="271"/>
      <c r="J91" s="271"/>
      <c r="K91" s="271"/>
      <c r="L91" s="271"/>
      <c r="M91" s="271"/>
      <c r="N91" s="271"/>
      <c r="O91" s="271"/>
      <c r="P91" s="271"/>
      <c r="Q91" s="271"/>
      <c r="R91" s="271"/>
      <c r="S91" s="271"/>
      <c r="T91" s="271"/>
      <c r="U91" s="271"/>
      <c r="V91" s="271"/>
      <c r="W91" s="271"/>
      <c r="X91" s="271"/>
      <c r="Y91" s="271"/>
      <c r="Z91" s="271"/>
      <c r="AA91" s="271"/>
      <c r="AB91" s="271"/>
    </row>
    <row r="92" spans="2:28" ht="14.25" customHeight="1">
      <c r="B92" s="218"/>
      <c r="C92" s="218"/>
      <c r="D92" s="271"/>
      <c r="E92" s="271"/>
      <c r="F92" s="271"/>
      <c r="G92" s="271"/>
      <c r="H92" s="271"/>
      <c r="I92" s="271"/>
      <c r="J92" s="271"/>
      <c r="K92" s="271"/>
      <c r="L92" s="271"/>
      <c r="M92" s="271"/>
      <c r="N92" s="271"/>
      <c r="O92" s="271"/>
      <c r="P92" s="271"/>
      <c r="Q92" s="271"/>
      <c r="R92" s="271"/>
      <c r="S92" s="271"/>
      <c r="T92" s="271"/>
      <c r="U92" s="271"/>
      <c r="V92" s="271"/>
      <c r="W92" s="271"/>
      <c r="X92" s="271"/>
      <c r="Y92" s="271"/>
      <c r="Z92" s="271"/>
      <c r="AA92" s="271"/>
      <c r="AB92" s="271"/>
    </row>
    <row r="93" spans="2:28" ht="14.25" customHeight="1">
      <c r="B93" s="218"/>
      <c r="C93" s="218"/>
      <c r="D93" s="271"/>
      <c r="E93" s="271"/>
      <c r="F93" s="271"/>
      <c r="G93" s="271"/>
      <c r="H93" s="271"/>
      <c r="I93" s="271"/>
      <c r="J93" s="271"/>
      <c r="K93" s="271"/>
      <c r="L93" s="271"/>
      <c r="M93" s="271"/>
      <c r="N93" s="271"/>
      <c r="O93" s="271"/>
      <c r="P93" s="271"/>
      <c r="Q93" s="271"/>
      <c r="R93" s="271"/>
      <c r="S93" s="271"/>
      <c r="T93" s="271"/>
      <c r="U93" s="271"/>
      <c r="V93" s="271"/>
      <c r="W93" s="271"/>
      <c r="X93" s="271"/>
      <c r="Y93" s="271"/>
      <c r="Z93" s="271"/>
      <c r="AA93" s="271"/>
      <c r="AB93" s="271"/>
    </row>
    <row r="94" spans="2:28" ht="14.25" customHeight="1">
      <c r="B94" s="218"/>
      <c r="C94" s="218"/>
      <c r="D94" s="271"/>
      <c r="E94" s="271"/>
      <c r="F94" s="271"/>
      <c r="G94" s="271"/>
      <c r="H94" s="271"/>
      <c r="I94" s="271"/>
      <c r="J94" s="271"/>
      <c r="K94" s="271"/>
      <c r="L94" s="271"/>
      <c r="M94" s="271"/>
      <c r="N94" s="271"/>
      <c r="O94" s="271"/>
      <c r="P94" s="271"/>
      <c r="Q94" s="271"/>
      <c r="R94" s="271"/>
      <c r="S94" s="271"/>
      <c r="T94" s="271"/>
      <c r="U94" s="271"/>
      <c r="V94" s="271"/>
      <c r="W94" s="271"/>
      <c r="X94" s="271"/>
      <c r="Y94" s="271"/>
      <c r="Z94" s="271"/>
      <c r="AA94" s="271"/>
      <c r="AB94" s="271"/>
    </row>
    <row r="95" spans="2:28" ht="14.25" customHeight="1">
      <c r="B95" s="218"/>
      <c r="C95" s="218"/>
      <c r="D95" s="271"/>
      <c r="E95" s="271"/>
      <c r="F95" s="271"/>
      <c r="G95" s="271"/>
      <c r="H95" s="271"/>
      <c r="I95" s="271"/>
      <c r="J95" s="271"/>
      <c r="K95" s="271"/>
      <c r="L95" s="271"/>
      <c r="M95" s="271"/>
      <c r="N95" s="271"/>
      <c r="O95" s="271"/>
      <c r="P95" s="271"/>
      <c r="Q95" s="271"/>
      <c r="R95" s="271"/>
      <c r="S95" s="271"/>
      <c r="T95" s="271"/>
      <c r="U95" s="271"/>
      <c r="V95" s="271"/>
      <c r="W95" s="271"/>
      <c r="X95" s="271"/>
      <c r="Y95" s="271"/>
      <c r="Z95" s="271"/>
      <c r="AA95" s="271"/>
      <c r="AB95" s="271"/>
    </row>
    <row r="96" spans="2:28" ht="14.25" customHeight="1">
      <c r="B96" s="218"/>
      <c r="C96" s="218"/>
      <c r="D96" s="271"/>
      <c r="E96" s="271"/>
      <c r="F96" s="271"/>
      <c r="G96" s="271"/>
      <c r="H96" s="271"/>
      <c r="I96" s="271"/>
      <c r="J96" s="271"/>
      <c r="K96" s="271"/>
      <c r="L96" s="271"/>
      <c r="M96" s="271"/>
      <c r="N96" s="271"/>
      <c r="O96" s="271"/>
      <c r="P96" s="271"/>
      <c r="Q96" s="271"/>
      <c r="R96" s="271"/>
      <c r="S96" s="271"/>
      <c r="T96" s="271"/>
      <c r="U96" s="271"/>
      <c r="V96" s="271"/>
      <c r="W96" s="271"/>
      <c r="X96" s="271"/>
      <c r="Y96" s="271"/>
      <c r="Z96" s="271"/>
      <c r="AA96" s="271"/>
      <c r="AB96" s="271"/>
    </row>
    <row r="97" spans="2:28" ht="14.25" customHeight="1">
      <c r="B97" s="218"/>
      <c r="C97" s="218"/>
      <c r="D97" s="271"/>
      <c r="E97" s="271"/>
      <c r="F97" s="271"/>
      <c r="G97" s="271"/>
      <c r="H97" s="271"/>
      <c r="I97" s="271"/>
      <c r="J97" s="271"/>
      <c r="K97" s="271"/>
      <c r="L97" s="271"/>
      <c r="M97" s="271"/>
      <c r="N97" s="271"/>
      <c r="O97" s="271"/>
      <c r="P97" s="271"/>
      <c r="Q97" s="271"/>
      <c r="R97" s="271"/>
      <c r="S97" s="271"/>
      <c r="T97" s="271"/>
      <c r="U97" s="271"/>
      <c r="V97" s="271"/>
      <c r="W97" s="271"/>
      <c r="X97" s="271"/>
      <c r="Y97" s="271"/>
      <c r="Z97" s="271"/>
      <c r="AA97" s="271"/>
      <c r="AB97" s="271"/>
    </row>
    <row r="98" spans="2:28" ht="14.25" customHeight="1">
      <c r="B98" s="218"/>
      <c r="C98" s="218"/>
      <c r="D98" s="271"/>
      <c r="E98" s="271"/>
      <c r="F98" s="271"/>
      <c r="G98" s="271"/>
      <c r="H98" s="271"/>
      <c r="I98" s="271"/>
      <c r="J98" s="271"/>
      <c r="K98" s="271"/>
      <c r="L98" s="271"/>
      <c r="M98" s="271"/>
      <c r="N98" s="271"/>
      <c r="O98" s="271"/>
      <c r="P98" s="271"/>
      <c r="Q98" s="271"/>
      <c r="R98" s="271"/>
      <c r="S98" s="271"/>
      <c r="T98" s="271"/>
      <c r="U98" s="271"/>
      <c r="V98" s="271"/>
      <c r="W98" s="271"/>
      <c r="X98" s="271"/>
      <c r="Y98" s="271"/>
      <c r="Z98" s="271"/>
      <c r="AA98" s="271"/>
      <c r="AB98" s="271"/>
    </row>
    <row r="99" spans="2:28" ht="14.25" customHeight="1">
      <c r="B99" s="218"/>
      <c r="C99" s="218"/>
      <c r="D99" s="271"/>
      <c r="E99" s="271"/>
      <c r="F99" s="271"/>
      <c r="G99" s="271"/>
      <c r="H99" s="271"/>
      <c r="I99" s="271"/>
      <c r="J99" s="271"/>
      <c r="K99" s="271"/>
      <c r="L99" s="271"/>
      <c r="M99" s="271"/>
      <c r="N99" s="271"/>
      <c r="O99" s="271"/>
      <c r="P99" s="271"/>
      <c r="Q99" s="271"/>
      <c r="R99" s="271"/>
      <c r="S99" s="271"/>
      <c r="T99" s="271"/>
      <c r="U99" s="271"/>
      <c r="V99" s="271"/>
      <c r="W99" s="271"/>
      <c r="X99" s="271"/>
      <c r="Y99" s="271"/>
      <c r="Z99" s="271"/>
      <c r="AA99" s="271"/>
      <c r="AB99" s="271"/>
    </row>
    <row r="100" spans="2:28" ht="14.25" customHeight="1">
      <c r="B100" s="218"/>
      <c r="C100" s="218"/>
      <c r="D100" s="271"/>
      <c r="E100" s="271"/>
      <c r="F100" s="271"/>
      <c r="G100" s="271"/>
      <c r="H100" s="271"/>
      <c r="I100" s="271"/>
      <c r="J100" s="271"/>
      <c r="K100" s="271"/>
      <c r="L100" s="271"/>
      <c r="M100" s="271"/>
      <c r="N100" s="271"/>
      <c r="O100" s="271"/>
      <c r="P100" s="271"/>
      <c r="Q100" s="271"/>
      <c r="R100" s="271"/>
      <c r="S100" s="271"/>
      <c r="T100" s="271"/>
      <c r="U100" s="271"/>
      <c r="V100" s="271"/>
      <c r="W100" s="271"/>
      <c r="X100" s="271"/>
      <c r="Y100" s="271"/>
      <c r="Z100" s="271"/>
      <c r="AA100" s="271"/>
      <c r="AB100" s="271"/>
    </row>
    <row r="101" spans="2:28" ht="14.25" customHeight="1">
      <c r="B101" s="218"/>
      <c r="C101" s="218"/>
      <c r="D101" s="271"/>
      <c r="E101" s="271"/>
      <c r="F101" s="271"/>
      <c r="G101" s="271"/>
      <c r="H101" s="271"/>
      <c r="I101" s="271"/>
      <c r="J101" s="271"/>
      <c r="K101" s="271"/>
      <c r="L101" s="271"/>
      <c r="M101" s="271"/>
      <c r="N101" s="271"/>
      <c r="O101" s="271"/>
      <c r="P101" s="271"/>
      <c r="Q101" s="271"/>
      <c r="R101" s="271"/>
      <c r="S101" s="271"/>
      <c r="T101" s="271"/>
      <c r="U101" s="271"/>
      <c r="V101" s="271"/>
      <c r="W101" s="271"/>
      <c r="X101" s="271"/>
      <c r="Y101" s="271"/>
      <c r="Z101" s="271"/>
      <c r="AA101" s="271"/>
      <c r="AB101" s="271"/>
    </row>
    <row r="102" spans="2:28" ht="14.25" customHeight="1">
      <c r="B102" s="218"/>
      <c r="C102" s="218"/>
      <c r="D102" s="271"/>
      <c r="E102" s="271"/>
      <c r="F102" s="271"/>
      <c r="G102" s="271"/>
      <c r="H102" s="271"/>
      <c r="I102" s="271"/>
      <c r="J102" s="271"/>
      <c r="K102" s="271"/>
      <c r="L102" s="271"/>
      <c r="M102" s="271"/>
      <c r="N102" s="271"/>
      <c r="O102" s="271"/>
      <c r="P102" s="271"/>
      <c r="Q102" s="271"/>
      <c r="R102" s="271"/>
      <c r="S102" s="271"/>
      <c r="T102" s="271"/>
      <c r="U102" s="271"/>
      <c r="V102" s="271"/>
      <c r="W102" s="271"/>
      <c r="X102" s="271"/>
      <c r="Y102" s="271"/>
      <c r="Z102" s="271"/>
      <c r="AA102" s="271"/>
      <c r="AB102" s="271"/>
    </row>
    <row r="103" spans="2:28" ht="14.25" customHeight="1">
      <c r="B103" s="218"/>
      <c r="C103" s="218"/>
      <c r="D103" s="271"/>
      <c r="E103" s="271"/>
      <c r="F103" s="271"/>
      <c r="G103" s="271"/>
      <c r="H103" s="271"/>
      <c r="I103" s="271"/>
      <c r="J103" s="271"/>
      <c r="K103" s="271"/>
      <c r="L103" s="271"/>
      <c r="M103" s="271"/>
      <c r="N103" s="271"/>
      <c r="O103" s="271"/>
      <c r="P103" s="271"/>
      <c r="Q103" s="271"/>
      <c r="R103" s="271"/>
      <c r="S103" s="271"/>
      <c r="T103" s="271"/>
      <c r="U103" s="271"/>
      <c r="V103" s="271"/>
      <c r="W103" s="271"/>
      <c r="X103" s="271"/>
      <c r="Y103" s="271"/>
      <c r="Z103" s="271"/>
      <c r="AA103" s="271"/>
      <c r="AB103" s="271"/>
    </row>
    <row r="104" spans="2:28" ht="14.25" customHeight="1">
      <c r="B104" s="218"/>
      <c r="C104" s="218"/>
      <c r="D104" s="271"/>
      <c r="E104" s="271"/>
      <c r="F104" s="271"/>
      <c r="G104" s="271"/>
      <c r="H104" s="271"/>
      <c r="I104" s="271"/>
      <c r="J104" s="271"/>
      <c r="K104" s="271"/>
      <c r="L104" s="271"/>
      <c r="M104" s="271"/>
      <c r="N104" s="271"/>
      <c r="O104" s="271"/>
      <c r="P104" s="271"/>
      <c r="Q104" s="271"/>
      <c r="R104" s="271"/>
      <c r="S104" s="271"/>
      <c r="T104" s="271"/>
      <c r="U104" s="271"/>
      <c r="V104" s="271"/>
      <c r="W104" s="271"/>
      <c r="X104" s="271"/>
      <c r="Y104" s="271"/>
      <c r="Z104" s="271"/>
      <c r="AA104" s="271"/>
      <c r="AB104" s="271"/>
    </row>
    <row r="105" spans="2:28" ht="14.25" customHeight="1">
      <c r="B105" s="218"/>
      <c r="C105" s="282"/>
      <c r="D105" s="271"/>
      <c r="E105" s="271"/>
      <c r="F105" s="271"/>
      <c r="G105" s="271"/>
      <c r="H105" s="271"/>
      <c r="I105" s="271"/>
      <c r="J105" s="271"/>
      <c r="K105" s="271"/>
      <c r="L105" s="271"/>
      <c r="M105" s="271"/>
      <c r="N105" s="271"/>
      <c r="O105" s="271"/>
      <c r="P105" s="271"/>
      <c r="Q105" s="271"/>
      <c r="R105" s="271"/>
      <c r="S105" s="271"/>
      <c r="T105" s="271"/>
      <c r="U105" s="271"/>
      <c r="V105" s="271"/>
      <c r="W105" s="271"/>
      <c r="X105" s="271"/>
      <c r="Y105" s="271"/>
      <c r="Z105" s="271"/>
      <c r="AA105" s="271"/>
      <c r="AB105" s="271"/>
    </row>
    <row r="106" spans="2:28" ht="14.25" customHeight="1">
      <c r="B106" s="282"/>
      <c r="C106" s="282"/>
      <c r="D106" s="271"/>
      <c r="E106" s="271"/>
      <c r="F106" s="271"/>
      <c r="G106" s="271"/>
      <c r="H106" s="271"/>
      <c r="I106" s="271"/>
      <c r="J106" s="271"/>
      <c r="K106" s="271"/>
      <c r="L106" s="271"/>
      <c r="M106" s="271"/>
      <c r="N106" s="271"/>
      <c r="O106" s="271"/>
      <c r="P106" s="271"/>
      <c r="Q106" s="271"/>
      <c r="R106" s="271"/>
      <c r="S106" s="271"/>
      <c r="T106" s="271"/>
      <c r="U106" s="271"/>
      <c r="V106" s="271"/>
      <c r="W106" s="271"/>
      <c r="X106" s="271"/>
      <c r="Y106" s="271"/>
      <c r="Z106" s="271"/>
      <c r="AA106" s="271"/>
      <c r="AB106" s="271"/>
    </row>
    <row r="107" spans="2:28" ht="14.25" customHeight="1">
      <c r="B107" s="282"/>
      <c r="C107" s="282"/>
      <c r="D107" s="271"/>
      <c r="E107" s="271"/>
      <c r="F107" s="271"/>
      <c r="G107" s="271"/>
      <c r="H107" s="271"/>
      <c r="I107" s="271"/>
      <c r="J107" s="271"/>
      <c r="K107" s="271"/>
      <c r="L107" s="271"/>
      <c r="M107" s="271"/>
      <c r="N107" s="271"/>
      <c r="O107" s="271"/>
      <c r="P107" s="271"/>
      <c r="Q107" s="271"/>
      <c r="R107" s="271"/>
      <c r="S107" s="271"/>
      <c r="T107" s="271"/>
      <c r="U107" s="271"/>
      <c r="V107" s="271"/>
      <c r="W107" s="271"/>
      <c r="X107" s="271"/>
      <c r="Y107" s="271"/>
      <c r="Z107" s="271"/>
      <c r="AA107" s="271"/>
      <c r="AB107" s="271"/>
    </row>
    <row r="108" spans="2:28" ht="14.25" customHeight="1">
      <c r="B108" s="282"/>
      <c r="C108" s="282"/>
      <c r="D108" s="271"/>
      <c r="E108" s="271"/>
      <c r="F108" s="271"/>
      <c r="G108" s="271"/>
      <c r="H108" s="271"/>
      <c r="I108" s="271"/>
      <c r="J108" s="271"/>
      <c r="K108" s="271"/>
      <c r="L108" s="271"/>
      <c r="M108" s="271"/>
      <c r="N108" s="271"/>
      <c r="O108" s="271"/>
      <c r="P108" s="271"/>
      <c r="Q108" s="271"/>
      <c r="R108" s="271"/>
      <c r="S108" s="271"/>
      <c r="T108" s="271"/>
      <c r="U108" s="271"/>
      <c r="V108" s="271"/>
      <c r="W108" s="271"/>
      <c r="X108" s="271"/>
      <c r="Y108" s="271"/>
      <c r="Z108" s="271"/>
      <c r="AA108" s="271"/>
      <c r="AB108" s="271"/>
    </row>
    <row r="109" spans="2:28" ht="14.25" customHeight="1">
      <c r="B109" s="282"/>
      <c r="C109" s="282"/>
      <c r="D109" s="271"/>
      <c r="E109" s="271"/>
      <c r="F109" s="271"/>
      <c r="G109" s="271"/>
      <c r="H109" s="271"/>
      <c r="I109" s="271"/>
      <c r="J109" s="271"/>
      <c r="K109" s="271"/>
      <c r="L109" s="271"/>
      <c r="M109" s="271"/>
      <c r="N109" s="271"/>
      <c r="O109" s="271"/>
      <c r="P109" s="271"/>
      <c r="Q109" s="271"/>
      <c r="R109" s="271"/>
      <c r="S109" s="271"/>
      <c r="T109" s="271"/>
      <c r="U109" s="271"/>
      <c r="V109" s="271"/>
      <c r="W109" s="271"/>
      <c r="X109" s="271"/>
      <c r="Y109" s="271"/>
      <c r="Z109" s="271"/>
      <c r="AA109" s="271"/>
      <c r="AB109" s="271"/>
    </row>
    <row r="110" spans="2:28" ht="14.25" customHeight="1">
      <c r="B110" s="282"/>
      <c r="C110" s="282"/>
      <c r="D110" s="271"/>
      <c r="E110" s="271"/>
      <c r="F110" s="271"/>
      <c r="G110" s="271"/>
      <c r="H110" s="271"/>
      <c r="I110" s="271"/>
      <c r="J110" s="271"/>
      <c r="K110" s="271"/>
      <c r="L110" s="271"/>
      <c r="M110" s="271"/>
      <c r="N110" s="271"/>
      <c r="O110" s="271"/>
      <c r="P110" s="271"/>
      <c r="Q110" s="271"/>
      <c r="R110" s="271"/>
      <c r="S110" s="271"/>
      <c r="T110" s="271"/>
      <c r="U110" s="271"/>
      <c r="V110" s="271"/>
      <c r="W110" s="271"/>
      <c r="X110" s="271"/>
      <c r="Y110" s="271"/>
      <c r="Z110" s="271"/>
      <c r="AA110" s="271"/>
      <c r="AB110" s="271"/>
    </row>
    <row r="111" spans="2:28" ht="14.25" customHeight="1">
      <c r="B111" s="282"/>
      <c r="C111" s="282"/>
      <c r="D111" s="271"/>
      <c r="E111" s="271"/>
      <c r="F111" s="271"/>
      <c r="G111" s="271"/>
      <c r="H111" s="271"/>
      <c r="I111" s="271"/>
      <c r="J111" s="271"/>
      <c r="K111" s="271"/>
      <c r="L111" s="271"/>
      <c r="M111" s="271"/>
      <c r="N111" s="271"/>
      <c r="O111" s="271"/>
      <c r="P111" s="271"/>
      <c r="Q111" s="271"/>
      <c r="R111" s="271"/>
      <c r="S111" s="271"/>
      <c r="T111" s="271"/>
      <c r="U111" s="271"/>
      <c r="V111" s="271"/>
      <c r="W111" s="271"/>
      <c r="X111" s="271"/>
      <c r="Y111" s="271"/>
      <c r="Z111" s="271"/>
      <c r="AA111" s="271"/>
      <c r="AB111" s="271"/>
    </row>
    <row r="112" spans="2:28" ht="14.25" customHeight="1">
      <c r="B112" s="282"/>
      <c r="C112" s="282"/>
      <c r="D112" s="271"/>
      <c r="E112" s="271"/>
      <c r="F112" s="271"/>
      <c r="G112" s="271"/>
      <c r="H112" s="271"/>
      <c r="I112" s="271"/>
      <c r="J112" s="271"/>
      <c r="K112" s="271"/>
      <c r="L112" s="271"/>
      <c r="M112" s="271"/>
      <c r="N112" s="271"/>
      <c r="O112" s="271"/>
      <c r="P112" s="271"/>
      <c r="Q112" s="271"/>
      <c r="R112" s="271"/>
      <c r="S112" s="271"/>
      <c r="T112" s="271"/>
      <c r="U112" s="271"/>
      <c r="V112" s="271"/>
      <c r="W112" s="271"/>
      <c r="X112" s="271"/>
      <c r="Y112" s="271"/>
      <c r="Z112" s="271"/>
      <c r="AA112" s="271"/>
      <c r="AB112" s="271"/>
    </row>
    <row r="113" spans="2:28" ht="14.25" customHeight="1">
      <c r="B113" s="282"/>
      <c r="C113" s="282"/>
      <c r="D113" s="271"/>
      <c r="E113" s="271"/>
      <c r="F113" s="271"/>
      <c r="G113" s="271"/>
      <c r="H113" s="271"/>
      <c r="I113" s="271"/>
      <c r="J113" s="271"/>
      <c r="K113" s="271"/>
      <c r="L113" s="271"/>
      <c r="M113" s="271"/>
      <c r="N113" s="271"/>
      <c r="O113" s="271"/>
      <c r="P113" s="271"/>
      <c r="Q113" s="271"/>
      <c r="R113" s="271"/>
      <c r="S113" s="271"/>
      <c r="T113" s="271"/>
      <c r="U113" s="271"/>
      <c r="V113" s="271"/>
      <c r="W113" s="271"/>
      <c r="X113" s="271"/>
      <c r="Y113" s="271"/>
      <c r="Z113" s="271"/>
      <c r="AA113" s="271"/>
      <c r="AB113" s="271"/>
    </row>
    <row r="114" spans="2:28" ht="14.25" customHeight="1">
      <c r="B114" s="282"/>
      <c r="C114" s="282"/>
      <c r="D114" s="271"/>
      <c r="E114" s="271"/>
      <c r="F114" s="271"/>
      <c r="G114" s="271"/>
      <c r="H114" s="271"/>
      <c r="I114" s="271"/>
      <c r="J114" s="271"/>
      <c r="K114" s="271"/>
      <c r="L114" s="271"/>
      <c r="M114" s="271"/>
      <c r="N114" s="271"/>
      <c r="O114" s="271"/>
      <c r="P114" s="271"/>
      <c r="Q114" s="271"/>
      <c r="R114" s="271"/>
      <c r="S114" s="271"/>
      <c r="T114" s="271"/>
      <c r="U114" s="271"/>
      <c r="V114" s="271"/>
      <c r="W114" s="271"/>
      <c r="X114" s="271"/>
      <c r="Y114" s="271"/>
      <c r="Z114" s="271"/>
      <c r="AA114" s="271"/>
      <c r="AB114" s="271"/>
    </row>
    <row r="115" spans="2:28" ht="14.25" customHeight="1">
      <c r="B115" s="282"/>
      <c r="C115" s="282"/>
      <c r="D115" s="271"/>
      <c r="E115" s="271"/>
      <c r="F115" s="271"/>
      <c r="G115" s="271"/>
      <c r="H115" s="271"/>
      <c r="I115" s="271"/>
      <c r="J115" s="271"/>
      <c r="K115" s="271"/>
      <c r="L115" s="271"/>
      <c r="M115" s="271"/>
      <c r="N115" s="271"/>
      <c r="O115" s="271"/>
      <c r="P115" s="271"/>
      <c r="Q115" s="271"/>
      <c r="R115" s="271"/>
      <c r="S115" s="271"/>
      <c r="T115" s="271"/>
      <c r="U115" s="271"/>
      <c r="V115" s="271"/>
      <c r="W115" s="271"/>
      <c r="X115" s="271"/>
      <c r="Y115" s="271"/>
      <c r="Z115" s="271"/>
      <c r="AA115" s="271"/>
      <c r="AB115" s="271"/>
    </row>
    <row r="116" spans="2:28" ht="14.25" customHeight="1">
      <c r="B116" s="282"/>
      <c r="C116" s="282"/>
      <c r="D116" s="271"/>
      <c r="E116" s="271"/>
      <c r="F116" s="271"/>
      <c r="G116" s="271"/>
      <c r="H116" s="271"/>
      <c r="I116" s="271"/>
      <c r="J116" s="271"/>
      <c r="K116" s="271"/>
      <c r="L116" s="271"/>
      <c r="M116" s="271"/>
      <c r="N116" s="271"/>
      <c r="O116" s="271"/>
      <c r="P116" s="271"/>
      <c r="Q116" s="271"/>
      <c r="R116" s="271"/>
      <c r="S116" s="271"/>
      <c r="T116" s="271"/>
      <c r="U116" s="271"/>
      <c r="V116" s="271"/>
      <c r="W116" s="271"/>
      <c r="X116" s="271"/>
      <c r="Y116" s="271"/>
      <c r="Z116" s="271"/>
      <c r="AA116" s="271"/>
      <c r="AB116" s="271"/>
    </row>
    <row r="117" spans="2:28" ht="14.25" customHeight="1">
      <c r="B117" s="282"/>
      <c r="C117" s="282"/>
      <c r="D117" s="271"/>
      <c r="E117" s="271"/>
      <c r="F117" s="271"/>
      <c r="G117" s="271"/>
      <c r="H117" s="271"/>
      <c r="I117" s="271"/>
      <c r="J117" s="271"/>
      <c r="K117" s="271"/>
      <c r="L117" s="271"/>
      <c r="M117" s="271"/>
      <c r="N117" s="271"/>
      <c r="O117" s="271"/>
      <c r="P117" s="271"/>
      <c r="Q117" s="271"/>
      <c r="R117" s="271"/>
      <c r="S117" s="271"/>
      <c r="T117" s="271"/>
      <c r="U117" s="271"/>
      <c r="V117" s="271"/>
      <c r="W117" s="271"/>
      <c r="X117" s="271"/>
      <c r="Y117" s="271"/>
      <c r="Z117" s="271"/>
      <c r="AA117" s="271"/>
      <c r="AB117" s="271"/>
    </row>
    <row r="118" spans="2:28" ht="14.25" customHeight="1">
      <c r="B118" s="282"/>
      <c r="C118" s="282"/>
      <c r="D118" s="271"/>
      <c r="E118" s="271"/>
      <c r="F118" s="271"/>
      <c r="G118" s="271"/>
      <c r="H118" s="271"/>
      <c r="I118" s="271"/>
      <c r="J118" s="271"/>
      <c r="K118" s="271"/>
      <c r="L118" s="271"/>
      <c r="M118" s="271"/>
      <c r="N118" s="271"/>
      <c r="O118" s="271"/>
      <c r="P118" s="271"/>
      <c r="Q118" s="271"/>
      <c r="R118" s="271"/>
      <c r="S118" s="271"/>
      <c r="T118" s="271"/>
      <c r="U118" s="271"/>
      <c r="V118" s="271"/>
      <c r="W118" s="271"/>
      <c r="X118" s="271"/>
      <c r="Y118" s="271"/>
      <c r="Z118" s="271"/>
      <c r="AA118" s="271"/>
      <c r="AB118" s="271"/>
    </row>
    <row r="119" spans="2:28" ht="14.25" customHeight="1">
      <c r="B119" s="282"/>
      <c r="C119" s="282"/>
      <c r="D119" s="271"/>
      <c r="E119" s="271"/>
      <c r="F119" s="271"/>
      <c r="G119" s="271"/>
      <c r="H119" s="271"/>
      <c r="I119" s="271"/>
      <c r="J119" s="271"/>
      <c r="K119" s="271"/>
      <c r="L119" s="271"/>
      <c r="M119" s="271"/>
      <c r="N119" s="271"/>
      <c r="O119" s="271"/>
      <c r="P119" s="271"/>
      <c r="Q119" s="271"/>
      <c r="R119" s="271"/>
      <c r="S119" s="271"/>
      <c r="T119" s="271"/>
      <c r="U119" s="271"/>
      <c r="V119" s="271"/>
      <c r="W119" s="271"/>
      <c r="X119" s="271"/>
      <c r="Y119" s="271"/>
      <c r="Z119" s="271"/>
      <c r="AA119" s="271"/>
      <c r="AB119" s="271"/>
    </row>
    <row r="120" spans="2:28" ht="14.25" customHeight="1">
      <c r="B120" s="282"/>
      <c r="C120" s="282"/>
      <c r="D120" s="271"/>
      <c r="E120" s="271"/>
      <c r="F120" s="271"/>
      <c r="G120" s="271"/>
      <c r="H120" s="271"/>
      <c r="I120" s="271"/>
      <c r="J120" s="271"/>
      <c r="K120" s="271"/>
      <c r="L120" s="271"/>
      <c r="M120" s="271"/>
      <c r="N120" s="271"/>
      <c r="O120" s="271"/>
      <c r="P120" s="271"/>
      <c r="Q120" s="271"/>
      <c r="R120" s="271"/>
      <c r="S120" s="271"/>
      <c r="T120" s="271"/>
      <c r="U120" s="271"/>
      <c r="V120" s="271"/>
      <c r="W120" s="271"/>
      <c r="X120" s="271"/>
      <c r="Y120" s="271"/>
      <c r="Z120" s="271"/>
      <c r="AA120" s="271"/>
      <c r="AB120" s="271"/>
    </row>
    <row r="121" spans="2:28" ht="14.25" customHeight="1">
      <c r="B121" s="282"/>
      <c r="C121" s="282"/>
      <c r="D121" s="271"/>
      <c r="E121" s="271"/>
      <c r="F121" s="271"/>
      <c r="G121" s="271"/>
      <c r="H121" s="271"/>
      <c r="I121" s="271"/>
      <c r="J121" s="271"/>
      <c r="K121" s="271"/>
      <c r="L121" s="271"/>
      <c r="M121" s="271"/>
      <c r="N121" s="271"/>
      <c r="O121" s="271"/>
      <c r="P121" s="271"/>
      <c r="Q121" s="271"/>
      <c r="R121" s="271"/>
      <c r="S121" s="271"/>
      <c r="T121" s="271"/>
      <c r="U121" s="271"/>
      <c r="V121" s="271"/>
      <c r="W121" s="271"/>
      <c r="X121" s="271"/>
      <c r="Y121" s="271"/>
      <c r="Z121" s="271"/>
      <c r="AA121" s="271"/>
      <c r="AB121" s="271"/>
    </row>
    <row r="122" spans="2:28" ht="14.25" customHeight="1">
      <c r="B122" s="282"/>
      <c r="C122" s="282"/>
      <c r="D122" s="271"/>
      <c r="E122" s="271"/>
      <c r="F122" s="271"/>
      <c r="G122" s="271"/>
      <c r="H122" s="271"/>
      <c r="I122" s="271"/>
      <c r="J122" s="271"/>
      <c r="K122" s="271"/>
      <c r="L122" s="271"/>
      <c r="M122" s="271"/>
      <c r="N122" s="271"/>
      <c r="O122" s="271"/>
      <c r="P122" s="271"/>
      <c r="Q122" s="271"/>
      <c r="R122" s="271"/>
      <c r="S122" s="271"/>
      <c r="T122" s="271"/>
      <c r="U122" s="271"/>
      <c r="V122" s="271"/>
      <c r="W122" s="271"/>
      <c r="X122" s="271"/>
      <c r="Y122" s="271"/>
      <c r="Z122" s="271"/>
      <c r="AA122" s="271"/>
      <c r="AB122" s="271"/>
    </row>
    <row r="123" spans="2:28" ht="14.25" customHeight="1">
      <c r="B123" s="282"/>
      <c r="C123" s="282"/>
      <c r="D123" s="271"/>
      <c r="E123" s="271"/>
      <c r="F123" s="271"/>
      <c r="G123" s="271"/>
      <c r="H123" s="271"/>
      <c r="I123" s="271"/>
      <c r="J123" s="271"/>
      <c r="K123" s="271"/>
      <c r="L123" s="271"/>
      <c r="M123" s="271"/>
      <c r="N123" s="271"/>
      <c r="O123" s="271"/>
      <c r="P123" s="271"/>
      <c r="Q123" s="271"/>
      <c r="R123" s="271"/>
      <c r="S123" s="271"/>
      <c r="T123" s="271"/>
      <c r="U123" s="271"/>
      <c r="V123" s="271"/>
      <c r="W123" s="271"/>
      <c r="X123" s="271"/>
      <c r="Y123" s="271"/>
      <c r="Z123" s="271"/>
      <c r="AA123" s="271"/>
      <c r="AB123" s="271"/>
    </row>
    <row r="124" spans="2:28" ht="14.25" customHeight="1">
      <c r="C124" s="282"/>
      <c r="D124" s="271"/>
      <c r="E124" s="271"/>
      <c r="F124" s="271"/>
      <c r="G124" s="271"/>
      <c r="H124" s="271"/>
      <c r="I124" s="271"/>
      <c r="J124" s="271"/>
      <c r="K124" s="271"/>
      <c r="L124" s="271"/>
      <c r="M124" s="271"/>
      <c r="N124" s="271"/>
      <c r="O124" s="271"/>
      <c r="P124" s="271"/>
      <c r="Q124" s="271"/>
      <c r="R124" s="271"/>
      <c r="S124" s="271"/>
      <c r="T124" s="271"/>
      <c r="U124" s="271"/>
      <c r="V124" s="271"/>
      <c r="W124" s="271"/>
      <c r="X124" s="271"/>
      <c r="Y124" s="271"/>
      <c r="Z124" s="271"/>
      <c r="AA124" s="271"/>
      <c r="AB124" s="271"/>
    </row>
    <row r="125" spans="2:28" ht="14.25" customHeight="1">
      <c r="C125" s="282"/>
      <c r="D125" s="271"/>
      <c r="E125" s="271"/>
      <c r="F125" s="271"/>
      <c r="G125" s="271"/>
      <c r="H125" s="271"/>
      <c r="I125" s="271"/>
      <c r="J125" s="271"/>
      <c r="K125" s="271"/>
      <c r="L125" s="271"/>
      <c r="M125" s="271"/>
      <c r="N125" s="271"/>
      <c r="O125" s="271"/>
      <c r="P125" s="271"/>
      <c r="Q125" s="271"/>
      <c r="R125" s="271"/>
      <c r="S125" s="271"/>
      <c r="T125" s="271"/>
      <c r="U125" s="271"/>
      <c r="V125" s="271"/>
      <c r="W125" s="271"/>
      <c r="X125" s="271"/>
      <c r="Y125" s="271"/>
      <c r="Z125" s="271"/>
      <c r="AA125" s="271"/>
      <c r="AB125" s="271"/>
    </row>
    <row r="126" spans="2:28" ht="14.25" customHeight="1">
      <c r="D126" s="271"/>
      <c r="E126" s="271"/>
      <c r="F126" s="271"/>
      <c r="G126" s="271"/>
      <c r="H126" s="271"/>
      <c r="I126" s="271"/>
      <c r="J126" s="271"/>
      <c r="K126" s="271"/>
      <c r="L126" s="271"/>
      <c r="M126" s="271"/>
      <c r="N126" s="271"/>
      <c r="O126" s="271"/>
      <c r="P126" s="271"/>
      <c r="Q126" s="271"/>
      <c r="R126" s="271"/>
      <c r="S126" s="271"/>
      <c r="T126" s="271"/>
      <c r="U126" s="271"/>
      <c r="V126" s="271"/>
      <c r="W126" s="271"/>
      <c r="X126" s="271"/>
      <c r="Y126" s="271"/>
      <c r="Z126" s="271"/>
      <c r="AA126" s="271"/>
      <c r="AB126" s="271"/>
    </row>
    <row r="127" spans="2:28" ht="14.25" customHeight="1">
      <c r="D127" s="271"/>
      <c r="E127" s="271"/>
      <c r="F127" s="271"/>
      <c r="G127" s="271"/>
      <c r="H127" s="271"/>
      <c r="I127" s="271"/>
      <c r="J127" s="271"/>
      <c r="K127" s="271"/>
      <c r="L127" s="271"/>
      <c r="M127" s="271"/>
      <c r="N127" s="271"/>
      <c r="O127" s="271"/>
      <c r="P127" s="271"/>
      <c r="Q127" s="271"/>
      <c r="R127" s="271"/>
      <c r="S127" s="271"/>
      <c r="T127" s="271"/>
      <c r="U127" s="271"/>
      <c r="V127" s="271"/>
      <c r="W127" s="271"/>
      <c r="X127" s="271"/>
      <c r="Y127" s="271"/>
      <c r="Z127" s="271"/>
      <c r="AA127" s="271"/>
      <c r="AB127" s="271"/>
    </row>
    <row r="128" spans="2:28" ht="14.25" customHeight="1">
      <c r="D128" s="271"/>
      <c r="E128" s="271"/>
      <c r="F128" s="271"/>
      <c r="G128" s="271"/>
      <c r="H128" s="271"/>
      <c r="I128" s="271"/>
      <c r="J128" s="271"/>
      <c r="K128" s="271"/>
      <c r="L128" s="271"/>
      <c r="M128" s="271"/>
      <c r="N128" s="271"/>
      <c r="O128" s="271"/>
      <c r="P128" s="271"/>
      <c r="Q128" s="271"/>
      <c r="R128" s="271"/>
      <c r="S128" s="271"/>
      <c r="T128" s="271"/>
      <c r="U128" s="271"/>
      <c r="V128" s="271"/>
      <c r="W128" s="271"/>
      <c r="X128" s="271"/>
      <c r="Y128" s="271"/>
      <c r="Z128" s="271"/>
      <c r="AA128" s="271"/>
      <c r="AB128" s="271"/>
    </row>
    <row r="129" spans="4:28" ht="14.25" customHeight="1">
      <c r="D129" s="271"/>
      <c r="E129" s="271"/>
      <c r="F129" s="271"/>
      <c r="G129" s="271"/>
      <c r="H129" s="271"/>
      <c r="I129" s="271"/>
      <c r="J129" s="271"/>
      <c r="K129" s="271"/>
      <c r="L129" s="271"/>
      <c r="M129" s="271"/>
      <c r="N129" s="271"/>
      <c r="O129" s="271"/>
      <c r="P129" s="271"/>
      <c r="Q129" s="271"/>
      <c r="R129" s="271"/>
      <c r="S129" s="271"/>
      <c r="T129" s="271"/>
      <c r="U129" s="271"/>
      <c r="V129" s="271"/>
      <c r="W129" s="271"/>
      <c r="X129" s="271"/>
      <c r="Y129" s="271"/>
      <c r="Z129" s="271"/>
      <c r="AA129" s="271"/>
      <c r="AB129" s="271"/>
    </row>
    <row r="130" spans="4:28" ht="14.25" customHeight="1">
      <c r="D130" s="271"/>
      <c r="E130" s="271"/>
      <c r="F130" s="271"/>
      <c r="G130" s="271"/>
      <c r="H130" s="271"/>
      <c r="I130" s="271"/>
      <c r="J130" s="271"/>
      <c r="K130" s="271"/>
      <c r="L130" s="271"/>
      <c r="M130" s="271"/>
      <c r="N130" s="271"/>
      <c r="O130" s="271"/>
      <c r="P130" s="271"/>
      <c r="Q130" s="271"/>
      <c r="R130" s="271"/>
      <c r="S130" s="271"/>
      <c r="T130" s="271"/>
      <c r="U130" s="271"/>
      <c r="V130" s="271"/>
      <c r="W130" s="271"/>
      <c r="X130" s="271"/>
      <c r="Y130" s="271"/>
      <c r="Z130" s="271"/>
      <c r="AA130" s="271"/>
      <c r="AB130" s="271"/>
    </row>
    <row r="131" spans="4:28" ht="14.25" customHeight="1">
      <c r="D131" s="271"/>
      <c r="E131" s="271"/>
      <c r="F131" s="271"/>
      <c r="G131" s="271"/>
      <c r="H131" s="271"/>
      <c r="I131" s="271"/>
      <c r="J131" s="271"/>
      <c r="K131" s="271"/>
      <c r="L131" s="271"/>
      <c r="M131" s="271"/>
      <c r="N131" s="271"/>
      <c r="O131" s="271"/>
      <c r="P131" s="271"/>
      <c r="Q131" s="271"/>
      <c r="R131" s="271"/>
      <c r="S131" s="271"/>
      <c r="T131" s="271"/>
      <c r="U131" s="271"/>
      <c r="V131" s="271"/>
      <c r="W131" s="271"/>
      <c r="X131" s="271"/>
      <c r="Y131" s="271"/>
      <c r="Z131" s="271"/>
      <c r="AA131" s="271"/>
      <c r="AB131" s="271"/>
    </row>
    <row r="132" spans="4:28" ht="14.25" customHeight="1">
      <c r="D132" s="271"/>
      <c r="E132" s="271"/>
      <c r="F132" s="271"/>
      <c r="G132" s="271"/>
      <c r="H132" s="271"/>
      <c r="I132" s="271"/>
      <c r="J132" s="271"/>
      <c r="K132" s="271"/>
      <c r="L132" s="271"/>
      <c r="M132" s="271"/>
      <c r="N132" s="271"/>
      <c r="O132" s="271"/>
      <c r="P132" s="271"/>
      <c r="Q132" s="271"/>
      <c r="R132" s="271"/>
      <c r="S132" s="271"/>
      <c r="T132" s="271"/>
      <c r="U132" s="271"/>
      <c r="V132" s="271"/>
      <c r="W132" s="271"/>
      <c r="X132" s="271"/>
      <c r="Y132" s="271"/>
      <c r="Z132" s="271"/>
      <c r="AA132" s="271"/>
      <c r="AB132" s="271"/>
    </row>
    <row r="133" spans="4:28" ht="14.25" customHeight="1">
      <c r="D133" s="271"/>
      <c r="E133" s="271"/>
      <c r="F133" s="271"/>
      <c r="G133" s="271"/>
      <c r="H133" s="271"/>
      <c r="I133" s="271"/>
      <c r="J133" s="271"/>
      <c r="K133" s="271"/>
      <c r="L133" s="271"/>
      <c r="M133" s="271"/>
      <c r="N133" s="271"/>
      <c r="O133" s="271"/>
      <c r="P133" s="271"/>
      <c r="Q133" s="271"/>
      <c r="R133" s="271"/>
      <c r="S133" s="271"/>
      <c r="T133" s="271"/>
      <c r="U133" s="271"/>
      <c r="V133" s="271"/>
      <c r="W133" s="271"/>
      <c r="X133" s="271"/>
      <c r="Y133" s="271"/>
      <c r="Z133" s="271"/>
      <c r="AA133" s="271"/>
      <c r="AB133" s="271"/>
    </row>
    <row r="134" spans="4:28" ht="14.25" customHeight="1">
      <c r="D134" s="271"/>
      <c r="E134" s="271"/>
      <c r="F134" s="271"/>
      <c r="G134" s="271"/>
      <c r="H134" s="271"/>
      <c r="I134" s="271"/>
      <c r="J134" s="271"/>
      <c r="K134" s="271"/>
      <c r="L134" s="271"/>
      <c r="M134" s="271"/>
      <c r="N134" s="271"/>
      <c r="O134" s="271"/>
      <c r="P134" s="271"/>
      <c r="Q134" s="271"/>
      <c r="R134" s="271"/>
      <c r="S134" s="271"/>
      <c r="T134" s="271"/>
      <c r="U134" s="271"/>
      <c r="V134" s="271"/>
      <c r="W134" s="271"/>
      <c r="X134" s="271"/>
      <c r="Y134" s="271"/>
      <c r="Z134" s="271"/>
      <c r="AA134" s="271"/>
      <c r="AB134" s="271"/>
    </row>
    <row r="135" spans="4:28" ht="14.25" customHeight="1">
      <c r="D135" s="271"/>
      <c r="E135" s="271"/>
      <c r="F135" s="271"/>
      <c r="G135" s="271"/>
      <c r="H135" s="271"/>
      <c r="I135" s="271"/>
      <c r="J135" s="271"/>
      <c r="K135" s="271"/>
      <c r="L135" s="271"/>
      <c r="M135" s="271"/>
      <c r="N135" s="271"/>
      <c r="O135" s="271"/>
      <c r="P135" s="271"/>
      <c r="Q135" s="271"/>
      <c r="R135" s="271"/>
      <c r="S135" s="271"/>
      <c r="T135" s="271"/>
      <c r="U135" s="271"/>
      <c r="V135" s="271"/>
      <c r="W135" s="271"/>
      <c r="X135" s="271"/>
      <c r="Y135" s="271"/>
      <c r="Z135" s="271"/>
      <c r="AA135" s="271"/>
      <c r="AB135" s="271"/>
    </row>
    <row r="136" spans="4:28" ht="14.25" customHeight="1">
      <c r="D136" s="271"/>
      <c r="E136" s="271"/>
      <c r="F136" s="271"/>
      <c r="G136" s="271"/>
      <c r="H136" s="271"/>
      <c r="I136" s="271"/>
      <c r="J136" s="271"/>
      <c r="K136" s="271"/>
      <c r="L136" s="271"/>
      <c r="M136" s="271"/>
      <c r="N136" s="271"/>
      <c r="O136" s="271"/>
      <c r="P136" s="271"/>
      <c r="Q136" s="271"/>
      <c r="R136" s="271"/>
      <c r="S136" s="271"/>
      <c r="T136" s="271"/>
      <c r="U136" s="271"/>
      <c r="V136" s="271"/>
      <c r="W136" s="271"/>
      <c r="X136" s="271"/>
      <c r="Y136" s="271"/>
      <c r="Z136" s="271"/>
      <c r="AA136" s="271"/>
      <c r="AB136" s="271"/>
    </row>
    <row r="137" spans="4:28" ht="14.25" customHeight="1">
      <c r="D137" s="271"/>
      <c r="E137" s="271"/>
      <c r="F137" s="271"/>
      <c r="G137" s="271"/>
      <c r="H137" s="271"/>
      <c r="I137" s="271"/>
      <c r="J137" s="271"/>
      <c r="K137" s="271"/>
      <c r="L137" s="271"/>
      <c r="M137" s="271"/>
      <c r="N137" s="271"/>
      <c r="O137" s="271"/>
      <c r="P137" s="271"/>
      <c r="Q137" s="271"/>
      <c r="R137" s="271"/>
      <c r="S137" s="271"/>
      <c r="T137" s="271"/>
      <c r="U137" s="271"/>
      <c r="V137" s="271"/>
      <c r="W137" s="271"/>
      <c r="X137" s="271"/>
      <c r="Y137" s="271"/>
      <c r="Z137" s="271"/>
      <c r="AA137" s="271"/>
      <c r="AB137" s="271"/>
    </row>
    <row r="138" spans="4:28" ht="14.25" customHeight="1">
      <c r="D138" s="271"/>
      <c r="E138" s="271"/>
      <c r="F138" s="271"/>
      <c r="G138" s="271"/>
      <c r="H138" s="271"/>
      <c r="I138" s="271"/>
      <c r="J138" s="271"/>
      <c r="K138" s="271"/>
      <c r="L138" s="271"/>
      <c r="M138" s="271"/>
      <c r="N138" s="271"/>
      <c r="O138" s="271"/>
      <c r="P138" s="271"/>
      <c r="Q138" s="271"/>
      <c r="R138" s="271"/>
      <c r="S138" s="271"/>
      <c r="T138" s="271"/>
      <c r="U138" s="271"/>
      <c r="V138" s="271"/>
      <c r="W138" s="271"/>
      <c r="X138" s="271"/>
      <c r="Y138" s="271"/>
      <c r="Z138" s="271"/>
      <c r="AA138" s="271"/>
      <c r="AB138" s="271"/>
    </row>
    <row r="139" spans="4:28" ht="14.25" customHeight="1">
      <c r="D139" s="271"/>
      <c r="E139" s="271"/>
      <c r="F139" s="271"/>
      <c r="G139" s="271"/>
      <c r="H139" s="271"/>
      <c r="I139" s="271"/>
      <c r="J139" s="271"/>
      <c r="K139" s="271"/>
      <c r="L139" s="271"/>
      <c r="M139" s="271"/>
      <c r="N139" s="271"/>
      <c r="O139" s="271"/>
      <c r="P139" s="271"/>
      <c r="Q139" s="271"/>
      <c r="R139" s="271"/>
      <c r="S139" s="271"/>
      <c r="T139" s="271"/>
      <c r="U139" s="271"/>
      <c r="V139" s="271"/>
      <c r="W139" s="271"/>
      <c r="X139" s="271"/>
      <c r="Y139" s="271"/>
      <c r="Z139" s="271"/>
      <c r="AA139" s="271"/>
      <c r="AB139" s="271"/>
    </row>
    <row r="140" spans="4:28" ht="14.25" customHeight="1">
      <c r="D140" s="271"/>
      <c r="E140" s="271"/>
      <c r="F140" s="271"/>
      <c r="G140" s="271"/>
      <c r="H140" s="271"/>
      <c r="I140" s="271"/>
      <c r="J140" s="271"/>
      <c r="K140" s="271"/>
      <c r="L140" s="271"/>
      <c r="M140" s="271"/>
      <c r="N140" s="271"/>
      <c r="O140" s="271"/>
      <c r="P140" s="271"/>
      <c r="Q140" s="271"/>
      <c r="R140" s="271"/>
      <c r="S140" s="271"/>
      <c r="T140" s="271"/>
      <c r="U140" s="271"/>
      <c r="V140" s="271"/>
      <c r="W140" s="271"/>
      <c r="X140" s="271"/>
      <c r="Y140" s="271"/>
      <c r="Z140" s="271"/>
      <c r="AA140" s="271"/>
      <c r="AB140" s="271"/>
    </row>
  </sheetData>
  <mergeCells count="26">
    <mergeCell ref="W6:W7"/>
    <mergeCell ref="X6:X7"/>
    <mergeCell ref="Y6:Y7"/>
    <mergeCell ref="Z6:Z7"/>
    <mergeCell ref="Q6:Q7"/>
    <mergeCell ref="R6:R7"/>
    <mergeCell ref="S6:S7"/>
    <mergeCell ref="T6:T7"/>
    <mergeCell ref="U6:U7"/>
    <mergeCell ref="V6:V7"/>
    <mergeCell ref="O6:O7"/>
    <mergeCell ref="B2:AB2"/>
    <mergeCell ref="C4:AA4"/>
    <mergeCell ref="B5:B7"/>
    <mergeCell ref="C5:C7"/>
    <mergeCell ref="D5:O5"/>
    <mergeCell ref="P5:P7"/>
    <mergeCell ref="Q5:Z5"/>
    <mergeCell ref="AA5:AA7"/>
    <mergeCell ref="AB5:AB7"/>
    <mergeCell ref="D6:D7"/>
    <mergeCell ref="E6:E7"/>
    <mergeCell ref="F6:K6"/>
    <mergeCell ref="L6:L7"/>
    <mergeCell ref="M6:M7"/>
    <mergeCell ref="N6:N7"/>
  </mergeCells>
  <phoneticPr fontId="20" type="noConversion"/>
  <pageMargins left="0" right="0" top="0" bottom="0" header="0" footer="0"/>
  <pageSetup paperSize="9" pageOrder="overThenDown" orientation="portrait" blackAndWhite="1" useFirstPageNumber="1" r:id="rId1"/>
  <headerFooter alignWithMargins="0"/>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25"/>
  <dimension ref="A1:AM91"/>
  <sheetViews>
    <sheetView showGridLines="0" zoomScale="85" zoomScaleNormal="85" workbookViewId="0">
      <pane xSplit="3" ySplit="7" topLeftCell="D8" activePane="bottomRight" state="frozenSplit"/>
      <selection activeCell="K8" sqref="K8"/>
      <selection pane="topRight" activeCell="K8" sqref="K8"/>
      <selection pane="bottomLeft" activeCell="K8" sqref="K8"/>
      <selection pane="bottomRight" activeCell="K8" sqref="K8"/>
    </sheetView>
  </sheetViews>
  <sheetFormatPr defaultColWidth="9.44140625" defaultRowHeight="14.25" customHeight="1"/>
  <cols>
    <col min="1" max="1" width="0" style="273" hidden="1" customWidth="1"/>
    <col min="2" max="2" width="29" style="273" customWidth="1"/>
    <col min="3" max="3" width="5.88671875" style="273" customWidth="1"/>
    <col min="4" max="5" width="13.44140625" style="273" customWidth="1"/>
    <col min="6" max="6" width="19.109375" style="273" bestFit="1" customWidth="1"/>
    <col min="7" max="7" width="22.109375" style="273" bestFit="1" customWidth="1"/>
    <col min="8" max="8" width="15.21875" style="273" customWidth="1"/>
    <col min="9" max="10" width="13.44140625" style="273" customWidth="1"/>
    <col min="11" max="11" width="14.77734375" style="273" customWidth="1"/>
    <col min="12" max="12" width="13.44140625" style="273" customWidth="1"/>
    <col min="13" max="13" width="16.33203125" style="273" customWidth="1"/>
    <col min="14" max="16" width="13.44140625" style="273" customWidth="1"/>
    <col min="17" max="17" width="13.6640625" style="273" customWidth="1"/>
    <col min="18" max="18" width="15.21875" style="273" customWidth="1"/>
    <col min="19" max="20" width="13.44140625" style="273" customWidth="1"/>
    <col min="21" max="21" width="13" style="273" customWidth="1"/>
    <col min="22" max="22" width="13.44140625" style="273" customWidth="1"/>
    <col min="23" max="23" width="16.33203125" style="273" customWidth="1"/>
    <col min="24" max="24" width="13.44140625" style="273" customWidth="1"/>
    <col min="25" max="25" width="10.77734375" style="273" customWidth="1"/>
    <col min="26" max="26" width="11" style="273" customWidth="1"/>
    <col min="27" max="39" width="10.77734375" style="273" customWidth="1"/>
    <col min="40" max="16384" width="9.44140625" style="273"/>
  </cols>
  <sheetData>
    <row r="1" spans="1:39" ht="14.25" hidden="1" customHeight="1">
      <c r="A1" s="288"/>
      <c r="B1" s="271"/>
      <c r="C1" s="271"/>
      <c r="D1" s="271"/>
      <c r="E1" s="271"/>
      <c r="F1" s="272"/>
      <c r="G1" s="272"/>
      <c r="H1" s="272"/>
      <c r="I1" s="272"/>
      <c r="J1" s="272"/>
      <c r="K1" s="272"/>
      <c r="L1" s="272"/>
      <c r="M1" s="272"/>
      <c r="N1" s="272"/>
      <c r="O1" s="272"/>
      <c r="P1" s="272"/>
      <c r="Q1" s="272"/>
      <c r="R1" s="272"/>
      <c r="S1" s="272"/>
      <c r="T1" s="272"/>
      <c r="U1" s="272"/>
      <c r="V1" s="272"/>
      <c r="W1" s="272"/>
      <c r="X1" s="272"/>
      <c r="Y1" s="271"/>
      <c r="Z1" s="271"/>
      <c r="AA1" s="271"/>
      <c r="AB1" s="271"/>
      <c r="AC1" s="271"/>
      <c r="AD1" s="271"/>
      <c r="AE1" s="271"/>
      <c r="AF1" s="271"/>
      <c r="AG1" s="271"/>
      <c r="AH1" s="271"/>
      <c r="AI1" s="271"/>
      <c r="AJ1" s="271"/>
      <c r="AK1" s="271"/>
      <c r="AL1" s="271"/>
      <c r="AM1" s="271"/>
    </row>
    <row r="2" spans="1:39" ht="24" customHeight="1">
      <c r="A2" s="271"/>
      <c r="B2" s="2542" t="s">
        <v>905</v>
      </c>
      <c r="C2" s="2543"/>
      <c r="D2" s="2543"/>
      <c r="E2" s="2543"/>
      <c r="F2" s="2544"/>
      <c r="G2" s="2544"/>
      <c r="H2" s="2544"/>
      <c r="I2" s="2544"/>
      <c r="J2" s="2544"/>
      <c r="K2" s="2544"/>
      <c r="L2" s="2544"/>
      <c r="M2" s="2544"/>
      <c r="N2" s="2544"/>
      <c r="O2" s="2544"/>
      <c r="P2" s="2544"/>
      <c r="Q2" s="2544"/>
      <c r="R2" s="2544"/>
      <c r="S2" s="2544"/>
      <c r="T2" s="2544"/>
      <c r="U2" s="2544"/>
      <c r="V2" s="2544"/>
      <c r="W2" s="2544"/>
      <c r="X2" s="2544"/>
      <c r="Y2" s="271"/>
      <c r="Z2" s="274"/>
      <c r="AA2" s="271"/>
      <c r="AB2" s="271"/>
      <c r="AC2" s="271"/>
      <c r="AD2" s="271"/>
      <c r="AE2" s="271"/>
      <c r="AF2" s="271"/>
      <c r="AG2" s="271"/>
      <c r="AH2" s="271"/>
      <c r="AI2" s="271"/>
      <c r="AJ2" s="271"/>
      <c r="AK2" s="271"/>
      <c r="AL2" s="271"/>
      <c r="AM2" s="271"/>
    </row>
    <row r="3" spans="1:39" ht="18" customHeight="1">
      <c r="A3" s="271"/>
      <c r="B3" s="289"/>
      <c r="C3" s="290"/>
      <c r="D3" s="290"/>
      <c r="E3" s="291"/>
      <c r="F3" s="797">
        <v>90.165453463600002</v>
      </c>
      <c r="G3" s="797">
        <v>80.795113764299998</v>
      </c>
      <c r="H3" s="797">
        <v>82.668500365100002</v>
      </c>
      <c r="I3" s="292"/>
      <c r="J3" s="292"/>
      <c r="K3" s="292"/>
      <c r="L3" s="292"/>
      <c r="M3" s="292"/>
      <c r="N3" s="292"/>
      <c r="O3" s="292"/>
      <c r="P3" s="292"/>
      <c r="Q3" s="292"/>
      <c r="R3" s="292"/>
      <c r="S3" s="292"/>
      <c r="T3" s="292"/>
      <c r="U3" s="292"/>
      <c r="V3" s="292"/>
      <c r="W3" s="292"/>
      <c r="X3" s="292" t="s">
        <v>906</v>
      </c>
      <c r="Y3" s="271"/>
      <c r="Z3" s="274"/>
      <c r="AA3" s="271"/>
      <c r="AB3" s="271"/>
      <c r="AC3" s="271"/>
      <c r="AD3" s="271"/>
      <c r="AE3" s="271"/>
      <c r="AF3" s="271"/>
      <c r="AG3" s="271"/>
      <c r="AH3" s="271"/>
      <c r="AI3" s="271"/>
      <c r="AJ3" s="271"/>
      <c r="AK3" s="271"/>
      <c r="AL3" s="271"/>
      <c r="AM3" s="271"/>
    </row>
    <row r="4" spans="1:39" ht="18" customHeight="1" thickBot="1">
      <c r="A4" s="271"/>
      <c r="B4" s="2556" t="s">
        <v>813</v>
      </c>
      <c r="C4" s="2556"/>
      <c r="D4" s="2557"/>
      <c r="E4" s="2558"/>
      <c r="F4" s="292"/>
      <c r="G4" s="292"/>
      <c r="H4" s="292"/>
      <c r="I4" s="292"/>
      <c r="J4" s="292"/>
      <c r="K4" s="2559" t="s">
        <v>814</v>
      </c>
      <c r="L4" s="2560"/>
      <c r="M4" s="2560"/>
      <c r="N4" s="2561"/>
      <c r="O4" s="292"/>
      <c r="P4" s="292"/>
      <c r="Q4" s="292"/>
      <c r="R4" s="292"/>
      <c r="S4" s="292"/>
      <c r="T4" s="292"/>
      <c r="U4" s="292"/>
      <c r="V4" s="292"/>
      <c r="W4" s="292"/>
      <c r="X4" s="292" t="s">
        <v>815</v>
      </c>
      <c r="Y4" s="271"/>
      <c r="Z4" s="274"/>
      <c r="AA4" s="271"/>
      <c r="AB4" s="271"/>
      <c r="AC4" s="271"/>
      <c r="AD4" s="271"/>
      <c r="AE4" s="271"/>
      <c r="AF4" s="271"/>
      <c r="AG4" s="271"/>
      <c r="AH4" s="271"/>
      <c r="AI4" s="271"/>
      <c r="AJ4" s="271"/>
      <c r="AK4" s="271"/>
      <c r="AL4" s="271"/>
      <c r="AM4" s="271"/>
    </row>
    <row r="5" spans="1:39" ht="19.5" customHeight="1">
      <c r="A5" s="293"/>
      <c r="B5" s="2562" t="s">
        <v>907</v>
      </c>
      <c r="C5" s="2565" t="s">
        <v>816</v>
      </c>
      <c r="D5" s="2565" t="s">
        <v>908</v>
      </c>
      <c r="E5" s="2562"/>
      <c r="F5" s="2566"/>
      <c r="G5" s="2566"/>
      <c r="H5" s="2566"/>
      <c r="I5" s="2566"/>
      <c r="J5" s="2567"/>
      <c r="K5" s="2567"/>
      <c r="L5" s="2567"/>
      <c r="M5" s="2567"/>
      <c r="N5" s="2568" t="s">
        <v>909</v>
      </c>
      <c r="O5" s="2567"/>
      <c r="P5" s="2566"/>
      <c r="Q5" s="2567"/>
      <c r="R5" s="2566"/>
      <c r="S5" s="2566"/>
      <c r="T5" s="2567"/>
      <c r="U5" s="2567"/>
      <c r="V5" s="2567"/>
      <c r="W5" s="2567"/>
      <c r="X5" s="2569" t="s">
        <v>910</v>
      </c>
      <c r="Y5" s="271"/>
      <c r="Z5" s="271"/>
      <c r="AA5" s="271"/>
      <c r="AB5" s="271"/>
      <c r="AC5" s="271"/>
      <c r="AD5" s="271"/>
      <c r="AE5" s="271"/>
      <c r="AF5" s="271"/>
      <c r="AG5" s="271"/>
      <c r="AH5" s="271"/>
      <c r="AI5" s="271"/>
      <c r="AJ5" s="271"/>
      <c r="AK5" s="271"/>
      <c r="AL5" s="271"/>
      <c r="AM5" s="271"/>
    </row>
    <row r="6" spans="1:39" ht="16.5" customHeight="1">
      <c r="A6" s="293"/>
      <c r="B6" s="2563"/>
      <c r="C6" s="2563"/>
      <c r="D6" s="2572" t="s">
        <v>911</v>
      </c>
      <c r="E6" s="2572" t="s">
        <v>912</v>
      </c>
      <c r="F6" s="2574" t="s">
        <v>913</v>
      </c>
      <c r="G6" s="294"/>
      <c r="H6" s="2576" t="s">
        <v>914</v>
      </c>
      <c r="I6" s="2577" t="s">
        <v>61</v>
      </c>
      <c r="J6" s="2554" t="s">
        <v>915</v>
      </c>
      <c r="K6" s="2554" t="s">
        <v>916</v>
      </c>
      <c r="L6" s="2554" t="s">
        <v>453</v>
      </c>
      <c r="M6" s="2554" t="s">
        <v>917</v>
      </c>
      <c r="N6" s="2554" t="s">
        <v>911</v>
      </c>
      <c r="O6" s="2580" t="s">
        <v>912</v>
      </c>
      <c r="P6" s="2574" t="s">
        <v>918</v>
      </c>
      <c r="Q6" s="295"/>
      <c r="R6" s="2581" t="s">
        <v>914</v>
      </c>
      <c r="S6" s="2577" t="s">
        <v>61</v>
      </c>
      <c r="T6" s="2554" t="s">
        <v>915</v>
      </c>
      <c r="U6" s="2554" t="s">
        <v>916</v>
      </c>
      <c r="V6" s="2554" t="s">
        <v>453</v>
      </c>
      <c r="W6" s="2554" t="s">
        <v>917</v>
      </c>
      <c r="X6" s="2570"/>
      <c r="Y6" s="271"/>
      <c r="Z6" s="279"/>
      <c r="AA6" s="271"/>
      <c r="AB6" s="271"/>
      <c r="AC6" s="271"/>
      <c r="AD6" s="271"/>
      <c r="AE6" s="271"/>
      <c r="AF6" s="271"/>
      <c r="AG6" s="271"/>
      <c r="AH6" s="271"/>
      <c r="AI6" s="271"/>
      <c r="AJ6" s="271"/>
      <c r="AK6" s="271"/>
      <c r="AL6" s="271"/>
      <c r="AM6" s="271"/>
    </row>
    <row r="7" spans="1:39" ht="30" customHeight="1">
      <c r="A7" s="293"/>
      <c r="B7" s="2564"/>
      <c r="C7" s="2564"/>
      <c r="D7" s="2573"/>
      <c r="E7" s="2573"/>
      <c r="F7" s="2575"/>
      <c r="G7" s="296" t="s">
        <v>919</v>
      </c>
      <c r="H7" s="2555"/>
      <c r="I7" s="2555"/>
      <c r="J7" s="2555"/>
      <c r="K7" s="2555"/>
      <c r="L7" s="2555"/>
      <c r="M7" s="2555" t="s">
        <v>920</v>
      </c>
      <c r="N7" s="2555"/>
      <c r="O7" s="2555"/>
      <c r="P7" s="2575"/>
      <c r="Q7" s="296" t="s">
        <v>919</v>
      </c>
      <c r="R7" s="2555"/>
      <c r="S7" s="2555"/>
      <c r="T7" s="2555"/>
      <c r="U7" s="2555"/>
      <c r="V7" s="2555"/>
      <c r="W7" s="2555" t="s">
        <v>921</v>
      </c>
      <c r="X7" s="2571"/>
      <c r="Y7" s="271"/>
      <c r="Z7" s="271"/>
      <c r="AA7" s="271"/>
      <c r="AB7" s="271"/>
      <c r="AC7" s="271"/>
      <c r="AD7" s="271"/>
      <c r="AE7" s="271"/>
      <c r="AF7" s="271"/>
      <c r="AG7" s="271"/>
      <c r="AH7" s="271"/>
      <c r="AI7" s="271"/>
      <c r="AJ7" s="271"/>
      <c r="AK7" s="271"/>
      <c r="AL7" s="271"/>
      <c r="AM7" s="271"/>
    </row>
    <row r="8" spans="1:39" ht="14.25" customHeight="1">
      <c r="A8" s="271"/>
      <c r="B8" s="297" t="s">
        <v>922</v>
      </c>
      <c r="C8" s="298" t="s">
        <v>839</v>
      </c>
      <c r="D8" s="303">
        <f>66655575.47/(10^8)</f>
        <v>0.66655575469999995</v>
      </c>
      <c r="E8" s="303">
        <f>1224356581473.4/(10^8)</f>
        <v>12243.565814733998</v>
      </c>
      <c r="F8" s="303" t="s">
        <v>414</v>
      </c>
      <c r="G8" s="303">
        <f>0/(10^8)</f>
        <v>0</v>
      </c>
      <c r="H8" s="303" t="s">
        <v>414</v>
      </c>
      <c r="I8" s="303" t="s">
        <v>414</v>
      </c>
      <c r="J8" s="303" t="s">
        <v>414</v>
      </c>
      <c r="K8" s="303" t="s">
        <v>414</v>
      </c>
      <c r="L8" s="303">
        <f>1224423237048.87/(10^8)</f>
        <v>12244.2323704887</v>
      </c>
      <c r="M8" s="303" t="s">
        <v>414</v>
      </c>
      <c r="N8" s="303">
        <f>159442150.34/(10^8)</f>
        <v>1.5944215034</v>
      </c>
      <c r="O8" s="303">
        <f>1257183973374.47/(10^8)</f>
        <v>12571.8397337447</v>
      </c>
      <c r="P8" s="303" t="s">
        <v>414</v>
      </c>
      <c r="Q8" s="303">
        <f>0/(10^8)</f>
        <v>0</v>
      </c>
      <c r="R8" s="303" t="s">
        <v>414</v>
      </c>
      <c r="S8" s="303" t="s">
        <v>414</v>
      </c>
      <c r="T8" s="303" t="s">
        <v>414</v>
      </c>
      <c r="U8" s="303" t="s">
        <v>414</v>
      </c>
      <c r="V8" s="303">
        <f>1257343415524.81/(10^8)</f>
        <v>12573.4341552481</v>
      </c>
      <c r="W8" s="303" t="s">
        <v>414</v>
      </c>
      <c r="X8" s="299">
        <v>-2.6200000000000001E-2</v>
      </c>
      <c r="Y8" s="271"/>
      <c r="Z8" s="274"/>
      <c r="AA8" s="271"/>
      <c r="AB8" s="271"/>
      <c r="AC8" s="271"/>
      <c r="AD8" s="271"/>
      <c r="AE8" s="271"/>
      <c r="AF8" s="271"/>
      <c r="AG8" s="271"/>
      <c r="AH8" s="271"/>
      <c r="AI8" s="271"/>
      <c r="AJ8" s="271"/>
      <c r="AK8" s="271"/>
      <c r="AL8" s="271"/>
      <c r="AM8" s="271"/>
    </row>
    <row r="9" spans="1:39" ht="14.25" customHeight="1">
      <c r="A9" s="271"/>
      <c r="B9" s="297" t="s">
        <v>923</v>
      </c>
      <c r="C9" s="298" t="s">
        <v>840</v>
      </c>
      <c r="D9" s="303">
        <f>1045304.7/(10^8)</f>
        <v>1.0453047E-2</v>
      </c>
      <c r="E9" s="303" t="s">
        <v>414</v>
      </c>
      <c r="F9" s="303">
        <f>44832006.03/(10^8)</f>
        <v>0.44832006029999999</v>
      </c>
      <c r="G9" s="303">
        <f>0/(10^8)</f>
        <v>0</v>
      </c>
      <c r="H9" s="303" t="s">
        <v>414</v>
      </c>
      <c r="I9" s="303" t="s">
        <v>414</v>
      </c>
      <c r="J9" s="303" t="s">
        <v>414</v>
      </c>
      <c r="K9" s="303" t="s">
        <v>414</v>
      </c>
      <c r="L9" s="303">
        <f>45877310.73/(10^8)</f>
        <v>0.45877310729999998</v>
      </c>
      <c r="M9" s="303" t="s">
        <v>414</v>
      </c>
      <c r="N9" s="303">
        <f>271004.75/(10^8)</f>
        <v>2.7100474999999999E-3</v>
      </c>
      <c r="O9" s="303" t="s">
        <v>414</v>
      </c>
      <c r="P9" s="303">
        <f>260940832.06/(10^8)</f>
        <v>2.6094083206000001</v>
      </c>
      <c r="Q9" s="303">
        <f>0/(10^8)</f>
        <v>0</v>
      </c>
      <c r="R9" s="303" t="s">
        <v>414</v>
      </c>
      <c r="S9" s="303" t="s">
        <v>414</v>
      </c>
      <c r="T9" s="303" t="s">
        <v>414</v>
      </c>
      <c r="U9" s="303" t="s">
        <v>414</v>
      </c>
      <c r="V9" s="303">
        <f>261211836.81/(10^8)</f>
        <v>2.6121183681</v>
      </c>
      <c r="W9" s="303" t="s">
        <v>414</v>
      </c>
      <c r="X9" s="299">
        <v>-0.82440000000000002</v>
      </c>
      <c r="Y9" s="271"/>
      <c r="Z9" s="274"/>
      <c r="AA9" s="271"/>
      <c r="AB9" s="271"/>
      <c r="AC9" s="271"/>
      <c r="AD9" s="271"/>
      <c r="AE9" s="271"/>
      <c r="AF9" s="271"/>
      <c r="AG9" s="271"/>
      <c r="AH9" s="271"/>
      <c r="AI9" s="271"/>
      <c r="AJ9" s="271"/>
      <c r="AK9" s="271"/>
      <c r="AL9" s="271"/>
      <c r="AM9" s="271"/>
    </row>
    <row r="10" spans="1:39" ht="14.25" customHeight="1">
      <c r="A10" s="271"/>
      <c r="B10" s="297" t="s">
        <v>924</v>
      </c>
      <c r="C10" s="298" t="s">
        <v>841</v>
      </c>
      <c r="D10" s="303">
        <f>3074033138.86/(10^8)</f>
        <v>30.740331388600001</v>
      </c>
      <c r="E10" s="303" t="s">
        <v>414</v>
      </c>
      <c r="F10" s="303">
        <f>111022495717.54/(10^8)</f>
        <v>1110.2249571753998</v>
      </c>
      <c r="G10" s="303">
        <f>3087469590.34/(10^8)</f>
        <v>30.874695903400003</v>
      </c>
      <c r="H10" s="303">
        <f>9342481608.28/(10^8)</f>
        <v>93.424816082800007</v>
      </c>
      <c r="I10" s="303">
        <f>3488966502.55/(10^8)</f>
        <v>34.889665025500001</v>
      </c>
      <c r="J10" s="303">
        <f>1077291833.96/(10^8)</f>
        <v>10.7729183396</v>
      </c>
      <c r="K10" s="303">
        <f>1396603582.92/(10^8)</f>
        <v>13.966035829200001</v>
      </c>
      <c r="L10" s="303">
        <f>129401872384.11/(10^8)</f>
        <v>1294.0187238410999</v>
      </c>
      <c r="M10" s="303">
        <f>8639093421.65/(10^8)</f>
        <v>86.3909342165</v>
      </c>
      <c r="N10" s="303">
        <f>2941810070.76/(10^8)</f>
        <v>29.418100707600001</v>
      </c>
      <c r="O10" s="303" t="s">
        <v>414</v>
      </c>
      <c r="P10" s="303">
        <f>110530051664.67/(10^8)</f>
        <v>1105.3005166467001</v>
      </c>
      <c r="Q10" s="303">
        <f>5480048469.56/(10^8)</f>
        <v>54.800484695600005</v>
      </c>
      <c r="R10" s="303">
        <f>8845796197.56/(10^8)</f>
        <v>88.4579619756</v>
      </c>
      <c r="S10" s="303">
        <f>3388630979.44/(10^8)</f>
        <v>33.886309794399999</v>
      </c>
      <c r="T10" s="303">
        <f>947930231.18/(10^8)</f>
        <v>9.4793023117999997</v>
      </c>
      <c r="U10" s="303">
        <f>1340371792.19/(10^8)</f>
        <v>13.4037179219</v>
      </c>
      <c r="V10" s="303">
        <f>127994590935.8/(10^8)</f>
        <v>1279.9459093580001</v>
      </c>
      <c r="W10" s="303">
        <f>8207141782.33/(10^8)</f>
        <v>82.071417823299996</v>
      </c>
      <c r="X10" s="299">
        <v>1.0999999999999999E-2</v>
      </c>
      <c r="Y10" s="271"/>
      <c r="Z10" s="271"/>
      <c r="AA10" s="271"/>
      <c r="AB10" s="271"/>
      <c r="AC10" s="271"/>
      <c r="AD10" s="271"/>
      <c r="AE10" s="271"/>
      <c r="AF10" s="271"/>
      <c r="AG10" s="271"/>
      <c r="AH10" s="271"/>
      <c r="AI10" s="271"/>
      <c r="AJ10" s="271"/>
      <c r="AK10" s="271"/>
      <c r="AL10" s="271"/>
      <c r="AM10" s="271"/>
    </row>
    <row r="11" spans="1:39" ht="14.25" customHeight="1">
      <c r="A11" s="271"/>
      <c r="B11" s="297" t="s">
        <v>925</v>
      </c>
      <c r="C11" s="298" t="s">
        <v>842</v>
      </c>
      <c r="D11" s="303">
        <f>5827440709.24/(10^8)</f>
        <v>58.274407092399997</v>
      </c>
      <c r="E11" s="303" t="s">
        <v>414</v>
      </c>
      <c r="F11" s="303">
        <f>254041782579.13/(10^8)</f>
        <v>2540.4178257912999</v>
      </c>
      <c r="G11" s="303">
        <f>4136052044.95/(10^8)</f>
        <v>41.360520449500001</v>
      </c>
      <c r="H11" s="303">
        <f>4131512055.85/(10^8)</f>
        <v>41.315120558499999</v>
      </c>
      <c r="I11" s="303">
        <f>1150602559.21/(10^8)</f>
        <v>11.5060255921</v>
      </c>
      <c r="J11" s="303">
        <f>56462376.58/(10^8)</f>
        <v>0.56462376579999995</v>
      </c>
      <c r="K11" s="303">
        <f>229140353.2/(10^8)</f>
        <v>2.2914035319999999</v>
      </c>
      <c r="L11" s="303">
        <f>265436940633.21/(10^8)</f>
        <v>2654.3694063321</v>
      </c>
      <c r="M11" s="303">
        <f>3757886111.65/(10^8)</f>
        <v>37.578861116500001</v>
      </c>
      <c r="N11" s="303">
        <f>5600171058.55/(10^8)</f>
        <v>56.0017105855</v>
      </c>
      <c r="O11" s="303" t="s">
        <v>414</v>
      </c>
      <c r="P11" s="303">
        <f>228062606631.68/(10^8)</f>
        <v>2280.6260663168</v>
      </c>
      <c r="Q11" s="303">
        <f>4074477991.21/(10^8)</f>
        <v>40.7447799121</v>
      </c>
      <c r="R11" s="303">
        <f>3852265345.01/(10^8)</f>
        <v>38.522653450100002</v>
      </c>
      <c r="S11" s="303">
        <f>1062311330.65/(10^8)</f>
        <v>10.623113306500001</v>
      </c>
      <c r="T11" s="303">
        <f>60873668.73/(10^8)</f>
        <v>0.60873668729999997</v>
      </c>
      <c r="U11" s="303">
        <f>224195705.3/(10^8)</f>
        <v>2.2419570530000001</v>
      </c>
      <c r="V11" s="303">
        <f>238862423739.92/(10^8)</f>
        <v>2388.6242373992</v>
      </c>
      <c r="W11" s="303">
        <f>3292989471.54/(10^8)</f>
        <v>32.929894715399996</v>
      </c>
      <c r="X11" s="299">
        <v>0.1113</v>
      </c>
      <c r="Y11" s="271"/>
      <c r="Z11" s="271"/>
      <c r="AA11" s="271"/>
      <c r="AB11" s="271"/>
      <c r="AC11" s="271"/>
      <c r="AD11" s="271"/>
      <c r="AE11" s="271"/>
      <c r="AF11" s="271"/>
      <c r="AG11" s="271"/>
      <c r="AH11" s="271"/>
      <c r="AI11" s="271"/>
      <c r="AJ11" s="271"/>
      <c r="AK11" s="271"/>
      <c r="AL11" s="271"/>
      <c r="AM11" s="271"/>
    </row>
    <row r="12" spans="1:39" ht="14.25" customHeight="1">
      <c r="A12" s="271"/>
      <c r="B12" s="297" t="s">
        <v>926</v>
      </c>
      <c r="C12" s="298" t="s">
        <v>843</v>
      </c>
      <c r="D12" s="303">
        <f>2988734532.55/(10^8)</f>
        <v>29.887345325500004</v>
      </c>
      <c r="E12" s="303" t="s">
        <v>414</v>
      </c>
      <c r="F12" s="303" t="s">
        <v>414</v>
      </c>
      <c r="G12" s="303">
        <f>0/(10^8)</f>
        <v>0</v>
      </c>
      <c r="H12" s="303" t="s">
        <v>414</v>
      </c>
      <c r="I12" s="303" t="s">
        <v>414</v>
      </c>
      <c r="J12" s="303" t="s">
        <v>414</v>
      </c>
      <c r="K12" s="303" t="s">
        <v>414</v>
      </c>
      <c r="L12" s="303">
        <f>2988734532.55/(10^8)</f>
        <v>29.887345325500004</v>
      </c>
      <c r="M12" s="303" t="s">
        <v>414</v>
      </c>
      <c r="N12" s="303">
        <f>2792365110.31/(10^8)</f>
        <v>27.923651103099999</v>
      </c>
      <c r="O12" s="303" t="s">
        <v>414</v>
      </c>
      <c r="P12" s="303" t="s">
        <v>414</v>
      </c>
      <c r="Q12" s="303">
        <f>0/(10^8)</f>
        <v>0</v>
      </c>
      <c r="R12" s="303" t="s">
        <v>414</v>
      </c>
      <c r="S12" s="303" t="s">
        <v>414</v>
      </c>
      <c r="T12" s="303" t="s">
        <v>414</v>
      </c>
      <c r="U12" s="303" t="s">
        <v>414</v>
      </c>
      <c r="V12" s="303">
        <f>2792365110.31/(10^8)</f>
        <v>27.923651103099999</v>
      </c>
      <c r="W12" s="303" t="s">
        <v>414</v>
      </c>
      <c r="X12" s="299">
        <v>7.0300000000000001E-2</v>
      </c>
      <c r="Y12" s="271"/>
      <c r="Z12" s="271"/>
      <c r="AA12" s="271"/>
      <c r="AB12" s="271"/>
      <c r="AC12" s="271"/>
      <c r="AD12" s="271"/>
      <c r="AE12" s="271"/>
      <c r="AF12" s="271"/>
      <c r="AG12" s="271"/>
      <c r="AH12" s="271"/>
      <c r="AI12" s="271"/>
      <c r="AJ12" s="271"/>
      <c r="AK12" s="271"/>
      <c r="AL12" s="271"/>
      <c r="AM12" s="271"/>
    </row>
    <row r="13" spans="1:39" ht="14.25" customHeight="1">
      <c r="A13" s="271"/>
      <c r="B13" s="297" t="s">
        <v>927</v>
      </c>
      <c r="C13" s="298" t="s">
        <v>844</v>
      </c>
      <c r="D13" s="303">
        <f>587091970.19/(10^8)</f>
        <v>5.870919701900001</v>
      </c>
      <c r="E13" s="303" t="s">
        <v>414</v>
      </c>
      <c r="F13" s="303" t="s">
        <v>414</v>
      </c>
      <c r="G13" s="303">
        <f>0/(10^8)</f>
        <v>0</v>
      </c>
      <c r="H13" s="303" t="s">
        <v>414</v>
      </c>
      <c r="I13" s="303" t="s">
        <v>414</v>
      </c>
      <c r="J13" s="303" t="s">
        <v>414</v>
      </c>
      <c r="K13" s="303" t="s">
        <v>414</v>
      </c>
      <c r="L13" s="303">
        <f>587091970.19/(10^8)</f>
        <v>5.870919701900001</v>
      </c>
      <c r="M13" s="303" t="s">
        <v>414</v>
      </c>
      <c r="N13" s="303">
        <f>525666347.24/(10^8)</f>
        <v>5.2566634724000005</v>
      </c>
      <c r="O13" s="303" t="s">
        <v>414</v>
      </c>
      <c r="P13" s="303" t="s">
        <v>414</v>
      </c>
      <c r="Q13" s="303">
        <f>0/(10^8)</f>
        <v>0</v>
      </c>
      <c r="R13" s="303" t="s">
        <v>414</v>
      </c>
      <c r="S13" s="303" t="s">
        <v>414</v>
      </c>
      <c r="T13" s="303" t="s">
        <v>414</v>
      </c>
      <c r="U13" s="303" t="s">
        <v>414</v>
      </c>
      <c r="V13" s="303">
        <f>525666347.24/(10^8)</f>
        <v>5.2566634724000005</v>
      </c>
      <c r="W13" s="303" t="s">
        <v>414</v>
      </c>
      <c r="X13" s="299">
        <v>0.1169</v>
      </c>
      <c r="Y13" s="271"/>
      <c r="Z13" s="271"/>
      <c r="AA13" s="271"/>
      <c r="AB13" s="271"/>
      <c r="AC13" s="271"/>
      <c r="AD13" s="271"/>
      <c r="AE13" s="271"/>
      <c r="AF13" s="271"/>
      <c r="AG13" s="271"/>
      <c r="AH13" s="271"/>
      <c r="AI13" s="271"/>
      <c r="AJ13" s="271"/>
      <c r="AK13" s="271"/>
      <c r="AL13" s="271"/>
      <c r="AM13" s="271"/>
    </row>
    <row r="14" spans="1:39" ht="14.25" customHeight="1">
      <c r="A14" s="271"/>
      <c r="B14" s="297" t="s">
        <v>928</v>
      </c>
      <c r="C14" s="298" t="s">
        <v>845</v>
      </c>
      <c r="D14" s="303">
        <f>1392727039.22/(10^8)</f>
        <v>13.927270392200001</v>
      </c>
      <c r="E14" s="303" t="s">
        <v>414</v>
      </c>
      <c r="F14" s="303">
        <f>108406391206.2/(10^8)</f>
        <v>1084.0639120619999</v>
      </c>
      <c r="G14" s="303">
        <f>14918370929.35/(10^8)</f>
        <v>149.18370929350002</v>
      </c>
      <c r="H14" s="303">
        <f>24762692724.17/(10^8)</f>
        <v>247.62692724169997</v>
      </c>
      <c r="I14" s="303">
        <f>297226937.59/(10^8)</f>
        <v>2.9722693758999998</v>
      </c>
      <c r="J14" s="303">
        <f>40916451.24/(10^8)</f>
        <v>0.40916451240000001</v>
      </c>
      <c r="K14" s="303">
        <f>15692732.33/(10^8)</f>
        <v>0.1569273233</v>
      </c>
      <c r="L14" s="303">
        <f>134915647090.75/(10^8)</f>
        <v>1349.1564709075001</v>
      </c>
      <c r="M14" s="303">
        <f>4730463941.72/(10^8)</f>
        <v>47.304639417200001</v>
      </c>
      <c r="N14" s="303">
        <f>1289925932.51/(10^8)</f>
        <v>12.899259325099999</v>
      </c>
      <c r="O14" s="303" t="s">
        <v>414</v>
      </c>
      <c r="P14" s="303">
        <f>110002125732.75/(10^8)</f>
        <v>1100.0212573275001</v>
      </c>
      <c r="Q14" s="303">
        <f>14699643756.19/(10^8)</f>
        <v>146.9964375619</v>
      </c>
      <c r="R14" s="303">
        <f>16502327651.55/(10^8)</f>
        <v>165.02327651549999</v>
      </c>
      <c r="S14" s="303">
        <f>246254564.12/(10^8)</f>
        <v>2.4625456412000002</v>
      </c>
      <c r="T14" s="303">
        <f>37604491.59/(10^8)</f>
        <v>0.37604491590000005</v>
      </c>
      <c r="U14" s="303">
        <f>17574288.4/(10^8)</f>
        <v>0.17574288399999999</v>
      </c>
      <c r="V14" s="303">
        <f>128095812660.92/(10^8)</f>
        <v>1280.9581266092</v>
      </c>
      <c r="W14" s="303">
        <f>4080511617.52/(10^8)</f>
        <v>40.805116175199998</v>
      </c>
      <c r="X14" s="299">
        <v>5.3199999999999997E-2</v>
      </c>
      <c r="Y14" s="271"/>
      <c r="Z14" s="271"/>
      <c r="AA14" s="271"/>
      <c r="AB14" s="271"/>
      <c r="AC14" s="271"/>
      <c r="AD14" s="271"/>
      <c r="AE14" s="271"/>
      <c r="AF14" s="271"/>
      <c r="AG14" s="271"/>
      <c r="AH14" s="271"/>
      <c r="AI14" s="271"/>
      <c r="AJ14" s="271"/>
      <c r="AK14" s="271"/>
      <c r="AL14" s="271"/>
      <c r="AM14" s="271"/>
    </row>
    <row r="15" spans="1:39" ht="14.25" customHeight="1">
      <c r="A15" s="271"/>
      <c r="B15" s="297" t="s">
        <v>929</v>
      </c>
      <c r="C15" s="298" t="s">
        <v>846</v>
      </c>
      <c r="D15" s="303" t="s">
        <v>414</v>
      </c>
      <c r="E15" s="303" t="s">
        <v>414</v>
      </c>
      <c r="F15" s="303">
        <f>29383948650.69/(10^8)</f>
        <v>293.83948650689996</v>
      </c>
      <c r="G15" s="303">
        <f>3154953894.15/(10^8)</f>
        <v>31.5495389415</v>
      </c>
      <c r="H15" s="303" t="s">
        <v>414</v>
      </c>
      <c r="I15" s="303" t="s">
        <v>414</v>
      </c>
      <c r="J15" s="303" t="s">
        <v>414</v>
      </c>
      <c r="K15" s="303" t="s">
        <v>414</v>
      </c>
      <c r="L15" s="303">
        <f>29383948650.69/(10^8)</f>
        <v>293.83948650689996</v>
      </c>
      <c r="M15" s="303" t="s">
        <v>414</v>
      </c>
      <c r="N15" s="303" t="s">
        <v>414</v>
      </c>
      <c r="O15" s="303" t="s">
        <v>414</v>
      </c>
      <c r="P15" s="303">
        <f>31871859805.98/(10^8)</f>
        <v>318.7185980598</v>
      </c>
      <c r="Q15" s="303">
        <f>3802587865.32/(10^8)</f>
        <v>38.025878653200003</v>
      </c>
      <c r="R15" s="303" t="s">
        <v>414</v>
      </c>
      <c r="S15" s="303" t="s">
        <v>414</v>
      </c>
      <c r="T15" s="303" t="s">
        <v>414</v>
      </c>
      <c r="U15" s="303" t="s">
        <v>414</v>
      </c>
      <c r="V15" s="303">
        <f>31871859805.98/(10^8)</f>
        <v>318.7185980598</v>
      </c>
      <c r="W15" s="303" t="s">
        <v>414</v>
      </c>
      <c r="X15" s="299">
        <v>-7.8100000000000003E-2</v>
      </c>
      <c r="Y15" s="271"/>
      <c r="Z15" s="271">
        <f>10^8</f>
        <v>100000000</v>
      </c>
      <c r="AA15" s="271"/>
      <c r="AB15" s="271"/>
      <c r="AC15" s="271"/>
      <c r="AD15" s="271"/>
      <c r="AE15" s="271"/>
      <c r="AF15" s="271"/>
      <c r="AG15" s="271"/>
      <c r="AH15" s="271"/>
      <c r="AI15" s="271"/>
      <c r="AJ15" s="271"/>
      <c r="AK15" s="271"/>
      <c r="AL15" s="271"/>
      <c r="AM15" s="271"/>
    </row>
    <row r="16" spans="1:39" ht="14.25" customHeight="1">
      <c r="A16" s="271"/>
      <c r="B16" s="297" t="s">
        <v>930</v>
      </c>
      <c r="C16" s="298" t="s">
        <v>847</v>
      </c>
      <c r="D16" s="303" t="s">
        <v>414</v>
      </c>
      <c r="E16" s="303" t="s">
        <v>414</v>
      </c>
      <c r="F16" s="303">
        <f>10390060279.64/(10^8)</f>
        <v>103.90060279639999</v>
      </c>
      <c r="G16" s="303">
        <f>2385873540.71/(10^8)</f>
        <v>23.858735407099999</v>
      </c>
      <c r="H16" s="303" t="s">
        <v>414</v>
      </c>
      <c r="I16" s="303" t="s">
        <v>414</v>
      </c>
      <c r="J16" s="303" t="s">
        <v>414</v>
      </c>
      <c r="K16" s="303" t="s">
        <v>414</v>
      </c>
      <c r="L16" s="303">
        <f>10390060279.64/(10^8)</f>
        <v>103.90060279639999</v>
      </c>
      <c r="M16" s="303" t="s">
        <v>414</v>
      </c>
      <c r="N16" s="303" t="s">
        <v>414</v>
      </c>
      <c r="O16" s="303" t="s">
        <v>414</v>
      </c>
      <c r="P16" s="303">
        <f>12333920926.6/(10^8)</f>
        <v>123.339209266</v>
      </c>
      <c r="Q16" s="303">
        <f>2148554353.01/(10^8)</f>
        <v>21.485543530100003</v>
      </c>
      <c r="R16" s="303" t="s">
        <v>414</v>
      </c>
      <c r="S16" s="303" t="s">
        <v>414</v>
      </c>
      <c r="T16" s="303" t="s">
        <v>414</v>
      </c>
      <c r="U16" s="303" t="s">
        <v>414</v>
      </c>
      <c r="V16" s="303">
        <f>12333920926.6/(10^8)</f>
        <v>123.339209266</v>
      </c>
      <c r="W16" s="303" t="s">
        <v>414</v>
      </c>
      <c r="X16" s="299">
        <v>-0.15759999999999999</v>
      </c>
      <c r="Y16" s="271"/>
      <c r="Z16" s="271"/>
      <c r="AA16" s="271"/>
      <c r="AB16" s="271"/>
      <c r="AC16" s="271"/>
      <c r="AD16" s="271"/>
      <c r="AE16" s="271"/>
      <c r="AF16" s="271"/>
      <c r="AG16" s="271"/>
      <c r="AH16" s="271"/>
      <c r="AI16" s="271"/>
      <c r="AJ16" s="271"/>
      <c r="AK16" s="271"/>
      <c r="AL16" s="271"/>
      <c r="AM16" s="271"/>
    </row>
    <row r="17" spans="1:39" ht="13.5" customHeight="1">
      <c r="A17" s="271"/>
      <c r="B17" s="297" t="s">
        <v>931</v>
      </c>
      <c r="C17" s="298" t="s">
        <v>848</v>
      </c>
      <c r="D17" s="303" t="s">
        <v>414</v>
      </c>
      <c r="E17" s="303" t="s">
        <v>414</v>
      </c>
      <c r="F17" s="303">
        <f>68632382275.87/(10^8)</f>
        <v>686.32382275869998</v>
      </c>
      <c r="G17" s="303">
        <f>9377543494.49/(10^8)</f>
        <v>93.775434944899999</v>
      </c>
      <c r="H17" s="303" t="s">
        <v>414</v>
      </c>
      <c r="I17" s="303" t="s">
        <v>414</v>
      </c>
      <c r="J17" s="303" t="s">
        <v>414</v>
      </c>
      <c r="K17" s="303" t="s">
        <v>414</v>
      </c>
      <c r="L17" s="303">
        <f>68632382275.87/(10^8)</f>
        <v>686.32382275869998</v>
      </c>
      <c r="M17" s="303" t="s">
        <v>414</v>
      </c>
      <c r="N17" s="303" t="s">
        <v>414</v>
      </c>
      <c r="O17" s="303" t="s">
        <v>414</v>
      </c>
      <c r="P17" s="303">
        <f>65796345000.17/(10^8)</f>
        <v>657.96345000169993</v>
      </c>
      <c r="Q17" s="303">
        <f>8748501537.86/(10^8)</f>
        <v>87.485015378600011</v>
      </c>
      <c r="R17" s="303" t="s">
        <v>414</v>
      </c>
      <c r="S17" s="303" t="s">
        <v>414</v>
      </c>
      <c r="T17" s="303" t="s">
        <v>414</v>
      </c>
      <c r="U17" s="303" t="s">
        <v>414</v>
      </c>
      <c r="V17" s="303">
        <f>65796345000.17/(10^8)</f>
        <v>657.96345000169993</v>
      </c>
      <c r="W17" s="303" t="s">
        <v>414</v>
      </c>
      <c r="X17" s="299">
        <v>4.3099999999999999E-2</v>
      </c>
      <c r="Y17" s="271"/>
      <c r="Z17" s="271"/>
      <c r="AA17" s="271"/>
      <c r="AB17" s="271"/>
      <c r="AC17" s="271"/>
      <c r="AD17" s="271"/>
      <c r="AE17" s="271"/>
      <c r="AF17" s="271"/>
      <c r="AG17" s="271"/>
      <c r="AH17" s="271"/>
      <c r="AI17" s="271"/>
      <c r="AJ17" s="271"/>
      <c r="AK17" s="271"/>
      <c r="AL17" s="271"/>
      <c r="AM17" s="271"/>
    </row>
    <row r="18" spans="1:39" ht="14.25" customHeight="1">
      <c r="A18" s="271"/>
      <c r="B18" s="297" t="s">
        <v>932</v>
      </c>
      <c r="C18" s="298" t="s">
        <v>849</v>
      </c>
      <c r="D18" s="303">
        <f>489105962.62/(10^8)</f>
        <v>4.8910596261999997</v>
      </c>
      <c r="E18" s="303" t="s">
        <v>414</v>
      </c>
      <c r="F18" s="303">
        <f>33223300043.8/(10^8)</f>
        <v>332.23300043799998</v>
      </c>
      <c r="G18" s="303">
        <f>28057304891.85/(10^8)</f>
        <v>280.57304891849998</v>
      </c>
      <c r="H18" s="303" t="s">
        <v>414</v>
      </c>
      <c r="I18" s="303" t="s">
        <v>414</v>
      </c>
      <c r="J18" s="303" t="s">
        <v>414</v>
      </c>
      <c r="K18" s="303" t="s">
        <v>414</v>
      </c>
      <c r="L18" s="303">
        <f>33712406006.42/(10^8)</f>
        <v>337.12406006419997</v>
      </c>
      <c r="M18" s="303" t="s">
        <v>414</v>
      </c>
      <c r="N18" s="303">
        <f>373801047.05/(10^8)</f>
        <v>3.7380104704999999</v>
      </c>
      <c r="O18" s="303" t="s">
        <v>414</v>
      </c>
      <c r="P18" s="303">
        <f>23870237002.25/(10^8)</f>
        <v>238.70237002249999</v>
      </c>
      <c r="Q18" s="303">
        <f>22811792774.34/(10^8)</f>
        <v>228.1179277434</v>
      </c>
      <c r="R18" s="303" t="s">
        <v>414</v>
      </c>
      <c r="S18" s="303" t="s">
        <v>414</v>
      </c>
      <c r="T18" s="303" t="s">
        <v>414</v>
      </c>
      <c r="U18" s="303" t="s">
        <v>414</v>
      </c>
      <c r="V18" s="303">
        <f>24244038049.3/(10^8)</f>
        <v>242.44038049299999</v>
      </c>
      <c r="W18" s="303" t="s">
        <v>414</v>
      </c>
      <c r="X18" s="299">
        <v>0.39050000000000001</v>
      </c>
      <c r="Y18" s="271"/>
      <c r="Z18" s="271"/>
      <c r="AA18" s="271"/>
      <c r="AB18" s="271"/>
      <c r="AC18" s="271"/>
      <c r="AD18" s="271"/>
      <c r="AE18" s="271"/>
      <c r="AF18" s="271"/>
      <c r="AG18" s="271"/>
      <c r="AH18" s="271"/>
      <c r="AI18" s="271"/>
      <c r="AJ18" s="271"/>
      <c r="AK18" s="271"/>
      <c r="AL18" s="271"/>
      <c r="AM18" s="271"/>
    </row>
    <row r="19" spans="1:39" ht="14.25" customHeight="1">
      <c r="A19" s="271"/>
      <c r="B19" s="297" t="s">
        <v>933</v>
      </c>
      <c r="C19" s="298" t="s">
        <v>850</v>
      </c>
      <c r="D19" s="303">
        <f>1017430179.39/(10^8)</f>
        <v>10.1743017939</v>
      </c>
      <c r="E19" s="303" t="s">
        <v>414</v>
      </c>
      <c r="F19" s="303">
        <f>37790894676.35/(10^8)</f>
        <v>377.90894676350001</v>
      </c>
      <c r="G19" s="303">
        <f>876220853.04/(10^8)</f>
        <v>8.7622085303999988</v>
      </c>
      <c r="H19" s="303">
        <f>2225514370.84/(10^8)</f>
        <v>22.255143708400002</v>
      </c>
      <c r="I19" s="303">
        <f>1187167143.67/(10^8)</f>
        <v>11.871671436700002</v>
      </c>
      <c r="J19" s="303">
        <f>210758047.35/(10^8)</f>
        <v>2.1075804735000001</v>
      </c>
      <c r="K19" s="303">
        <f>321345831.73/(10^8)</f>
        <v>3.2134583173000002</v>
      </c>
      <c r="L19" s="303">
        <f>42753110249.33/(10^8)</f>
        <v>427.53110249330001</v>
      </c>
      <c r="M19" s="303">
        <f>2041156429.54/(10^8)</f>
        <v>20.411564295399998</v>
      </c>
      <c r="N19" s="303">
        <f>972381962.04/(10^8)</f>
        <v>9.7238196204000005</v>
      </c>
      <c r="O19" s="303" t="s">
        <v>414</v>
      </c>
      <c r="P19" s="303">
        <f>36196013690.21/(10^8)</f>
        <v>361.96013690209998</v>
      </c>
      <c r="Q19" s="303">
        <f>1278334406.79/(10^8)</f>
        <v>12.7833440679</v>
      </c>
      <c r="R19" s="303">
        <f>1964946759.03/(10^8)</f>
        <v>19.649467590299999</v>
      </c>
      <c r="S19" s="303">
        <f>1159989927.13/(10^8)</f>
        <v>11.599899271300002</v>
      </c>
      <c r="T19" s="303">
        <f>184132828.06/(10^8)</f>
        <v>1.8413282806</v>
      </c>
      <c r="U19" s="303">
        <f>277541407.32/(10^8)</f>
        <v>2.7754140731999999</v>
      </c>
      <c r="V19" s="303">
        <f>40755006573.79/(10^8)</f>
        <v>407.55006573790001</v>
      </c>
      <c r="W19" s="303">
        <f>1808760094.82/(10^8)</f>
        <v>18.087600948199999</v>
      </c>
      <c r="X19" s="299">
        <v>4.9000000000000002E-2</v>
      </c>
      <c r="Y19" s="271"/>
      <c r="Z19" s="271"/>
      <c r="AA19" s="271"/>
      <c r="AB19" s="271"/>
      <c r="AC19" s="271"/>
      <c r="AD19" s="271"/>
      <c r="AE19" s="271"/>
      <c r="AF19" s="271"/>
      <c r="AG19" s="271"/>
      <c r="AH19" s="271"/>
      <c r="AI19" s="271"/>
      <c r="AJ19" s="271"/>
      <c r="AK19" s="271"/>
      <c r="AL19" s="271"/>
      <c r="AM19" s="271"/>
    </row>
    <row r="20" spans="1:39" ht="14.25" customHeight="1">
      <c r="A20" s="271"/>
      <c r="B20" s="297" t="s">
        <v>934</v>
      </c>
      <c r="C20" s="298" t="s">
        <v>851</v>
      </c>
      <c r="D20" s="303">
        <f>48562926.88/(10^8)</f>
        <v>0.48562926880000001</v>
      </c>
      <c r="E20" s="303" t="s">
        <v>414</v>
      </c>
      <c r="F20" s="303">
        <f>2649038932.56/(10^8)</f>
        <v>26.490389325599999</v>
      </c>
      <c r="G20" s="303">
        <f>244388148.11/(10^8)</f>
        <v>2.4438814811</v>
      </c>
      <c r="H20" s="303">
        <f>408364256.62/(10^8)</f>
        <v>4.0836425662</v>
      </c>
      <c r="I20" s="303">
        <f>62371221.28/(10^8)</f>
        <v>0.6237122128</v>
      </c>
      <c r="J20" s="303">
        <f>5951374.17/(10^8)</f>
        <v>5.9513741699999997E-2</v>
      </c>
      <c r="K20" s="303">
        <f>14589196.71/(10^8)</f>
        <v>0.14589196710000002</v>
      </c>
      <c r="L20" s="303">
        <f>3188877908.22/(10^8)</f>
        <v>31.888779082199999</v>
      </c>
      <c r="M20" s="303">
        <f>372395188.66/(10^8)</f>
        <v>3.7239518866000001</v>
      </c>
      <c r="N20" s="303">
        <f>48690227.94/(10^8)</f>
        <v>0.48690227939999997</v>
      </c>
      <c r="O20" s="303" t="s">
        <v>414</v>
      </c>
      <c r="P20" s="303">
        <f>2857064378.44/(10^8)</f>
        <v>28.570643784400001</v>
      </c>
      <c r="Q20" s="303">
        <f>222436318.81/(10^8)</f>
        <v>2.2243631880999999</v>
      </c>
      <c r="R20" s="303">
        <f>299683777.46/(10^8)</f>
        <v>2.9968377745999999</v>
      </c>
      <c r="S20" s="303">
        <f>71181039.19/(10^8)</f>
        <v>0.71181039189999995</v>
      </c>
      <c r="T20" s="303">
        <f>7902424.54/(10^8)</f>
        <v>7.9024245399999998E-2</v>
      </c>
      <c r="U20" s="303">
        <f>13331103.58/(10^8)</f>
        <v>0.13331103580000001</v>
      </c>
      <c r="V20" s="303">
        <f>3297852951.15/(10^8)</f>
        <v>32.9785295115</v>
      </c>
      <c r="W20" s="303">
        <f>287777864.68/(10^8)</f>
        <v>2.8777786468</v>
      </c>
      <c r="X20" s="299">
        <v>-3.3000000000000002E-2</v>
      </c>
      <c r="Y20" s="271"/>
      <c r="Z20" s="271"/>
      <c r="AA20" s="271"/>
      <c r="AB20" s="271"/>
      <c r="AC20" s="271"/>
      <c r="AD20" s="271"/>
      <c r="AE20" s="271"/>
      <c r="AF20" s="271"/>
      <c r="AG20" s="271"/>
      <c r="AH20" s="271"/>
      <c r="AI20" s="271"/>
      <c r="AJ20" s="271"/>
      <c r="AK20" s="271"/>
      <c r="AL20" s="271"/>
      <c r="AM20" s="271"/>
    </row>
    <row r="21" spans="1:39" ht="14.25" customHeight="1">
      <c r="A21" s="271"/>
      <c r="B21" s="297" t="s">
        <v>935</v>
      </c>
      <c r="C21" s="298" t="s">
        <v>852</v>
      </c>
      <c r="D21" s="303">
        <f>80952697.36/(10^8)</f>
        <v>0.80952697360000003</v>
      </c>
      <c r="E21" s="303" t="s">
        <v>414</v>
      </c>
      <c r="F21" s="303">
        <f>1523417929.01/(10^8)</f>
        <v>15.2341792901</v>
      </c>
      <c r="G21" s="303">
        <f>66005671.53/(10^8)</f>
        <v>0.66005671529999999</v>
      </c>
      <c r="H21" s="303">
        <f>58546666.05/(10^8)</f>
        <v>0.58546666049999996</v>
      </c>
      <c r="I21" s="303">
        <f>29730209.1/(10^8)</f>
        <v>0.29730209099999999</v>
      </c>
      <c r="J21" s="303">
        <f>359833.43/(10^8)</f>
        <v>3.5983343E-3</v>
      </c>
      <c r="K21" s="303">
        <f>3192319.02/(10^8)</f>
        <v>3.19231902E-2</v>
      </c>
      <c r="L21" s="303">
        <f>1696199653.97/(10^8)</f>
        <v>16.961996539699999</v>
      </c>
      <c r="M21" s="303">
        <f>56448149.26/(10^8)</f>
        <v>0.56448149260000002</v>
      </c>
      <c r="N21" s="303">
        <f>94614306.96/(10^8)</f>
        <v>0.94614306959999994</v>
      </c>
      <c r="O21" s="303" t="s">
        <v>414</v>
      </c>
      <c r="P21" s="303">
        <f>839891222.18/(10^8)</f>
        <v>8.3989122217999999</v>
      </c>
      <c r="Q21" s="303">
        <f>103385053.44/(10^8)</f>
        <v>1.0338505344</v>
      </c>
      <c r="R21" s="303">
        <f>55187775.58/(10^8)</f>
        <v>0.55187775579999998</v>
      </c>
      <c r="S21" s="303">
        <f>26441268.31/(10^8)</f>
        <v>0.26441268309999999</v>
      </c>
      <c r="T21" s="303">
        <f>400996.9/(10^8)</f>
        <v>4.0099690000000004E-3</v>
      </c>
      <c r="U21" s="303">
        <f>2413416.53/(10^8)</f>
        <v>2.41341653E-2</v>
      </c>
      <c r="V21" s="303">
        <f>1018948986.46/(10^8)</f>
        <v>10.189489864600001</v>
      </c>
      <c r="W21" s="303">
        <f>50102023.54/(10^8)</f>
        <v>0.50102023539999996</v>
      </c>
      <c r="X21" s="299">
        <v>0.66469999999999996</v>
      </c>
      <c r="Y21" s="271"/>
      <c r="Z21" s="271"/>
      <c r="AA21" s="271"/>
      <c r="AB21" s="271"/>
      <c r="AC21" s="271"/>
      <c r="AD21" s="271"/>
      <c r="AE21" s="271"/>
      <c r="AF21" s="271"/>
      <c r="AG21" s="271"/>
      <c r="AH21" s="271"/>
      <c r="AI21" s="271"/>
      <c r="AJ21" s="271"/>
      <c r="AK21" s="271"/>
      <c r="AL21" s="271"/>
      <c r="AM21" s="271"/>
    </row>
    <row r="22" spans="1:39" s="794" customFormat="1" ht="14.25" customHeight="1">
      <c r="A22" s="788"/>
      <c r="B22" s="795" t="s">
        <v>4</v>
      </c>
      <c r="C22" s="796" t="s">
        <v>853</v>
      </c>
      <c r="D22" s="792">
        <f>56216093.48/(10^8)</f>
        <v>0.56216093479999996</v>
      </c>
      <c r="E22" s="792" t="s">
        <v>414</v>
      </c>
      <c r="F22" s="792">
        <f>5004778332.2/(10^8)</f>
        <v>50.047783322000001</v>
      </c>
      <c r="G22" s="792">
        <f>0/(10^8)</f>
        <v>0</v>
      </c>
      <c r="H22" s="792">
        <f>241260846.9/(10^8)</f>
        <v>2.4126084690000003</v>
      </c>
      <c r="I22" s="792">
        <f>2777256103.85/(10^8)</f>
        <v>27.772561038499997</v>
      </c>
      <c r="J22" s="792" t="s">
        <v>414</v>
      </c>
      <c r="K22" s="792">
        <f>0/(10^8)</f>
        <v>0</v>
      </c>
      <c r="L22" s="792">
        <f>8079511376.43/(10^8)</f>
        <v>80.795113764299998</v>
      </c>
      <c r="M22" s="792">
        <f>186330698.2/(10^8)</f>
        <v>1.8633069819999999</v>
      </c>
      <c r="N22" s="792">
        <f>48951060.91/(10^8)</f>
        <v>0.48951060909999994</v>
      </c>
      <c r="O22" s="792" t="s">
        <v>414</v>
      </c>
      <c r="P22" s="792">
        <f>5575718980.43/(10^8)</f>
        <v>55.757189804300005</v>
      </c>
      <c r="Q22" s="792">
        <f>0/(10^8)</f>
        <v>0</v>
      </c>
      <c r="R22" s="792">
        <f>352291518.06/(10^8)</f>
        <v>3.5229151806000001</v>
      </c>
      <c r="S22" s="792">
        <f>2289760450.71/(10^8)</f>
        <v>22.897604507099999</v>
      </c>
      <c r="T22" s="792" t="s">
        <v>414</v>
      </c>
      <c r="U22" s="792">
        <f>128026.4/(10^8)</f>
        <v>1.2802639999999999E-3</v>
      </c>
      <c r="V22" s="792">
        <f>8266850036.51/(10^8)</f>
        <v>82.668500365100002</v>
      </c>
      <c r="W22" s="792">
        <f>424929330.44/(10^8)</f>
        <v>4.2492933044000001</v>
      </c>
      <c r="X22" s="793">
        <v>-2.2700000000000001E-2</v>
      </c>
      <c r="Y22" s="788"/>
      <c r="Z22" s="788"/>
      <c r="AA22" s="788"/>
      <c r="AB22" s="788"/>
      <c r="AC22" s="788"/>
      <c r="AD22" s="788"/>
      <c r="AE22" s="788"/>
      <c r="AF22" s="788"/>
      <c r="AG22" s="788"/>
      <c r="AH22" s="788"/>
      <c r="AI22" s="788"/>
      <c r="AJ22" s="788"/>
      <c r="AK22" s="788"/>
      <c r="AL22" s="788"/>
      <c r="AM22" s="788"/>
    </row>
    <row r="23" spans="1:39" ht="14.25" customHeight="1">
      <c r="A23" s="271"/>
      <c r="B23" s="297" t="s">
        <v>936</v>
      </c>
      <c r="C23" s="298" t="s">
        <v>854</v>
      </c>
      <c r="D23" s="303">
        <f>72281858.86/(10^8)</f>
        <v>0.72281858860000003</v>
      </c>
      <c r="E23" s="303" t="s">
        <v>414</v>
      </c>
      <c r="F23" s="303">
        <f>4733543410.62/(10^8)</f>
        <v>47.335434106199997</v>
      </c>
      <c r="G23" s="303">
        <f>534529238.43/(10^8)</f>
        <v>5.3452923843000004</v>
      </c>
      <c r="H23" s="303">
        <f>515964473.48/(10^8)</f>
        <v>5.1596447348000005</v>
      </c>
      <c r="I23" s="303">
        <f>216811007.15/(10^8)</f>
        <v>2.1681100715000001</v>
      </c>
      <c r="J23" s="303">
        <f>82891244.06/(10^8)</f>
        <v>0.82891244060000002</v>
      </c>
      <c r="K23" s="303">
        <f>91189560.11/(10^8)</f>
        <v>0.91189560110000001</v>
      </c>
      <c r="L23" s="303">
        <f>5712681554.28/(10^8)</f>
        <v>57.126815542799996</v>
      </c>
      <c r="M23" s="303">
        <f>486978149.75/(10^8)</f>
        <v>4.8697814975</v>
      </c>
      <c r="N23" s="303">
        <f>70213362.76/(10^8)</f>
        <v>0.70213362760000009</v>
      </c>
      <c r="O23" s="303" t="s">
        <v>414</v>
      </c>
      <c r="P23" s="303">
        <f>4524948893.2/(10^8)</f>
        <v>45.249488931999998</v>
      </c>
      <c r="Q23" s="303">
        <f>593382360.88/(10^8)</f>
        <v>5.9338236088</v>
      </c>
      <c r="R23" s="303">
        <f>507753104.18/(10^8)</f>
        <v>5.0775310418000004</v>
      </c>
      <c r="S23" s="303">
        <f>198335315.67/(10^8)</f>
        <v>1.9833531566999998</v>
      </c>
      <c r="T23" s="303">
        <f>81809010.32/(10^8)</f>
        <v>0.81809010319999997</v>
      </c>
      <c r="U23" s="303">
        <f>94067064.92/(10^8)</f>
        <v>0.94067064919999999</v>
      </c>
      <c r="V23" s="303">
        <f>5477126751.05/(10^8)</f>
        <v>54.771267510500003</v>
      </c>
      <c r="W23" s="303">
        <f>485180544.39/(10^8)</f>
        <v>4.8518054439</v>
      </c>
      <c r="X23" s="299">
        <v>4.2999999999999997E-2</v>
      </c>
      <c r="Y23" s="271"/>
      <c r="Z23" s="271"/>
      <c r="AA23" s="271"/>
      <c r="AB23" s="271"/>
      <c r="AC23" s="271"/>
      <c r="AD23" s="271"/>
      <c r="AE23" s="271"/>
      <c r="AF23" s="271"/>
      <c r="AG23" s="271"/>
      <c r="AH23" s="271"/>
      <c r="AI23" s="271"/>
      <c r="AJ23" s="271"/>
      <c r="AK23" s="271"/>
      <c r="AL23" s="271"/>
      <c r="AM23" s="271"/>
    </row>
    <row r="24" spans="1:39" ht="14.25" customHeight="1">
      <c r="A24" s="271"/>
      <c r="B24" s="297" t="s">
        <v>937</v>
      </c>
      <c r="C24" s="298" t="s">
        <v>855</v>
      </c>
      <c r="D24" s="303">
        <f>129740576.73/(10^8)</f>
        <v>1.2974057673000001</v>
      </c>
      <c r="E24" s="303" t="s">
        <v>414</v>
      </c>
      <c r="F24" s="303">
        <f>4177303088.59/(10^8)</f>
        <v>41.773030885899999</v>
      </c>
      <c r="G24" s="303">
        <f>178071545.76/(10^8)</f>
        <v>1.7807154575999999</v>
      </c>
      <c r="H24" s="303">
        <f>1373815176.42/(10^8)</f>
        <v>13.738151764200001</v>
      </c>
      <c r="I24" s="303">
        <f>267907704.26/(10^8)</f>
        <v>2.6790770425999999</v>
      </c>
      <c r="J24" s="303">
        <f>398683877.71/(10^8)</f>
        <v>3.9868387770999996</v>
      </c>
      <c r="K24" s="303">
        <f>70410942.97/(10^8)</f>
        <v>0.70410942970000001</v>
      </c>
      <c r="L24" s="303">
        <f>6417861366.68/(10^8)</f>
        <v>64.178613666800004</v>
      </c>
      <c r="M24" s="303">
        <f>1269437485.49/(10^8)</f>
        <v>12.6943748549</v>
      </c>
      <c r="N24" s="303">
        <f>120417424.57/(10^8)</f>
        <v>1.2041742457</v>
      </c>
      <c r="O24" s="303" t="s">
        <v>414</v>
      </c>
      <c r="P24" s="303">
        <f>3842488022.45/(10^8)</f>
        <v>38.424880224500001</v>
      </c>
      <c r="Q24" s="303">
        <f>282216247.47/(10^8)</f>
        <v>2.8221624747000003</v>
      </c>
      <c r="R24" s="303">
        <f>1332185633.7/(10^8)</f>
        <v>13.321856337</v>
      </c>
      <c r="S24" s="303">
        <f>241363295.36/(10^8)</f>
        <v>2.4136329536000001</v>
      </c>
      <c r="T24" s="303">
        <f>372437070.89/(10^8)</f>
        <v>3.7243707089</v>
      </c>
      <c r="U24" s="303">
        <f>58910935.69/(10^8)</f>
        <v>0.58910935689999999</v>
      </c>
      <c r="V24" s="303">
        <f>5967802382.66/(10^8)</f>
        <v>59.678023826599997</v>
      </c>
      <c r="W24" s="303">
        <f>1202745410.34/(10^8)</f>
        <v>12.027454103399998</v>
      </c>
      <c r="X24" s="299">
        <v>7.5399999999999995E-2</v>
      </c>
      <c r="Y24" s="271"/>
      <c r="Z24" s="271"/>
      <c r="AA24" s="271"/>
      <c r="AB24" s="271"/>
      <c r="AC24" s="271"/>
      <c r="AD24" s="271"/>
      <c r="AE24" s="271"/>
      <c r="AF24" s="271"/>
      <c r="AG24" s="271"/>
      <c r="AH24" s="271"/>
      <c r="AI24" s="271"/>
      <c r="AJ24" s="271"/>
      <c r="AK24" s="271"/>
      <c r="AL24" s="271"/>
      <c r="AM24" s="271"/>
    </row>
    <row r="25" spans="1:39" ht="14.25" customHeight="1">
      <c r="A25" s="271"/>
      <c r="B25" s="297" t="s">
        <v>938</v>
      </c>
      <c r="C25" s="298" t="s">
        <v>856</v>
      </c>
      <c r="D25" s="303">
        <f>7082067.54/(10^8)</f>
        <v>7.0820675400000005E-2</v>
      </c>
      <c r="E25" s="303" t="s">
        <v>414</v>
      </c>
      <c r="F25" s="303">
        <f>313327352.03/(10^8)</f>
        <v>3.1332735202999995</v>
      </c>
      <c r="G25" s="303">
        <f>0/(10^8)</f>
        <v>0</v>
      </c>
      <c r="H25" s="303">
        <f>10792621.43/(10^8)</f>
        <v>0.1079262143</v>
      </c>
      <c r="I25" s="303">
        <f>53301681.45/(10^8)</f>
        <v>0.53301681450000005</v>
      </c>
      <c r="J25" s="303">
        <f>0/(10^8)</f>
        <v>0</v>
      </c>
      <c r="K25" s="303">
        <f>24955441.52/(10^8)</f>
        <v>0.24955441519999999</v>
      </c>
      <c r="L25" s="303">
        <f>409459163.97/(10^8)</f>
        <v>4.0945916397</v>
      </c>
      <c r="M25" s="303">
        <f>10085231.06/(10^8)</f>
        <v>0.10085231060000001</v>
      </c>
      <c r="N25" s="303">
        <f>8542261.08/(10^8)</f>
        <v>8.5422610800000007E-2</v>
      </c>
      <c r="O25" s="303" t="s">
        <v>414</v>
      </c>
      <c r="P25" s="303">
        <f>323678601.89/(10^8)</f>
        <v>3.2367860188999997</v>
      </c>
      <c r="Q25" s="303">
        <f>0/(10^8)</f>
        <v>0</v>
      </c>
      <c r="R25" s="303">
        <f>7085853.5/(10^8)</f>
        <v>7.0858535E-2</v>
      </c>
      <c r="S25" s="303">
        <f>57102389.52/(10^8)</f>
        <v>0.57102389520000008</v>
      </c>
      <c r="T25" s="303">
        <f>727975/(10^8)</f>
        <v>7.2797499999999998E-3</v>
      </c>
      <c r="U25" s="303">
        <f>25505759.24/(10^8)</f>
        <v>0.25505759239999998</v>
      </c>
      <c r="V25" s="303">
        <f>422642840.23/(10^8)</f>
        <v>4.2264284022999998</v>
      </c>
      <c r="W25" s="303">
        <f>5737475.74/(10^8)</f>
        <v>5.7374757400000004E-2</v>
      </c>
      <c r="X25" s="299">
        <v>-3.1199999999999999E-2</v>
      </c>
      <c r="Y25" s="271"/>
      <c r="Z25" s="271"/>
      <c r="AA25" s="271"/>
      <c r="AB25" s="271"/>
      <c r="AC25" s="271"/>
      <c r="AD25" s="271"/>
      <c r="AE25" s="271"/>
      <c r="AF25" s="271"/>
      <c r="AG25" s="271"/>
      <c r="AH25" s="271"/>
      <c r="AI25" s="271"/>
      <c r="AJ25" s="271"/>
      <c r="AK25" s="271"/>
      <c r="AL25" s="271"/>
      <c r="AM25" s="271"/>
    </row>
    <row r="26" spans="1:39" ht="14.25" customHeight="1">
      <c r="A26" s="271"/>
      <c r="B26" s="297" t="s">
        <v>939</v>
      </c>
      <c r="C26" s="298" t="s">
        <v>857</v>
      </c>
      <c r="D26" s="303">
        <f>358056689.41/(10^8)</f>
        <v>3.5805668941000004</v>
      </c>
      <c r="E26" s="303" t="s">
        <v>414</v>
      </c>
      <c r="F26" s="303">
        <f>12655684722.59/(10^8)</f>
        <v>126.5568472259</v>
      </c>
      <c r="G26" s="303">
        <f>215084697/(10^8)</f>
        <v>2.1508469699999999</v>
      </c>
      <c r="H26" s="303">
        <f>472796414.51/(10^8)</f>
        <v>4.7279641450999996</v>
      </c>
      <c r="I26" s="303">
        <f>726954534.74/(10^8)</f>
        <v>7.2695453474000002</v>
      </c>
      <c r="J26" s="303">
        <f>55800273.73/(10^8)</f>
        <v>0.55800273729999994</v>
      </c>
      <c r="K26" s="303">
        <f>57594467.23/(10^8)</f>
        <v>0.57594467230000002</v>
      </c>
      <c r="L26" s="303">
        <f>14326887102.21/(10^8)</f>
        <v>143.2688710221</v>
      </c>
      <c r="M26" s="303">
        <f>400037678.36/(10^8)</f>
        <v>4.0003767836000002</v>
      </c>
      <c r="N26" s="303">
        <f>341806594.84/(10^8)</f>
        <v>3.4180659483999998</v>
      </c>
      <c r="O26" s="303" t="s">
        <v>414</v>
      </c>
      <c r="P26" s="303">
        <f>12066361697.51/(10^8)</f>
        <v>120.6636169751</v>
      </c>
      <c r="Q26" s="303">
        <f>376786510.67/(10^8)</f>
        <v>3.7678651067</v>
      </c>
      <c r="R26" s="303">
        <f>487391498.93/(10^8)</f>
        <v>4.8739149893000002</v>
      </c>
      <c r="S26" s="303">
        <f>692856891.18/(10^8)</f>
        <v>6.9285689117999993</v>
      </c>
      <c r="T26" s="303">
        <f>42295618.95/(10^8)</f>
        <v>0.42295618950000002</v>
      </c>
      <c r="U26" s="303">
        <f>54756637.1/(10^8)</f>
        <v>0.54756637100000005</v>
      </c>
      <c r="V26" s="303">
        <f>13685468938.51/(10^8)</f>
        <v>136.85468938510002</v>
      </c>
      <c r="W26" s="303">
        <f>408894126.32/(10^8)</f>
        <v>4.0889412631999997</v>
      </c>
      <c r="X26" s="299">
        <v>4.6899999999999997E-2</v>
      </c>
      <c r="Y26" s="271"/>
      <c r="Z26" s="271"/>
      <c r="AA26" s="271"/>
      <c r="AB26" s="271"/>
      <c r="AC26" s="271"/>
      <c r="AD26" s="271"/>
      <c r="AE26" s="271"/>
      <c r="AF26" s="271"/>
      <c r="AG26" s="271"/>
      <c r="AH26" s="271"/>
      <c r="AI26" s="271"/>
      <c r="AJ26" s="271"/>
      <c r="AK26" s="271"/>
      <c r="AL26" s="271"/>
      <c r="AM26" s="271"/>
    </row>
    <row r="27" spans="1:39" ht="14.25" customHeight="1">
      <c r="A27" s="271"/>
      <c r="B27" s="297" t="s">
        <v>940</v>
      </c>
      <c r="C27" s="298" t="s">
        <v>858</v>
      </c>
      <c r="D27" s="303">
        <f>2431956.97/(10^8)</f>
        <v>2.4319569700000002E-2</v>
      </c>
      <c r="E27" s="303" t="s">
        <v>414</v>
      </c>
      <c r="F27" s="303">
        <f>57366417.55/(10^8)</f>
        <v>0.57366417549999993</v>
      </c>
      <c r="G27" s="303">
        <f>0/(10^8)</f>
        <v>0</v>
      </c>
      <c r="H27" s="303">
        <f>98919.37/(10^8)</f>
        <v>9.891937E-4</v>
      </c>
      <c r="I27" s="303">
        <f>17867678.81/(10^8)</f>
        <v>0.17867678809999998</v>
      </c>
      <c r="J27" s="303">
        <f>0/(10^8)</f>
        <v>0</v>
      </c>
      <c r="K27" s="303">
        <f>4703651.72/(10^8)</f>
        <v>4.7036517199999996E-2</v>
      </c>
      <c r="L27" s="303">
        <f>82468624.42/(10^8)</f>
        <v>0.82468624420000003</v>
      </c>
      <c r="M27" s="303">
        <f>79773.87/(10^8)</f>
        <v>7.9773870000000001E-4</v>
      </c>
      <c r="N27" s="303">
        <f>3119804/(10^8)</f>
        <v>3.119804E-2</v>
      </c>
      <c r="O27" s="303" t="s">
        <v>414</v>
      </c>
      <c r="P27" s="303">
        <f>72888485.42/(10^8)</f>
        <v>0.72888485420000004</v>
      </c>
      <c r="Q27" s="303">
        <f>0/(10^8)</f>
        <v>0</v>
      </c>
      <c r="R27" s="303">
        <f>70159.78/(10^8)</f>
        <v>7.0159780000000004E-4</v>
      </c>
      <c r="S27" s="303">
        <f>18451358.29/(10^8)</f>
        <v>0.1845135829</v>
      </c>
      <c r="T27" s="303">
        <f>1709993.4/(10^8)</f>
        <v>1.7099934000000001E-2</v>
      </c>
      <c r="U27" s="303">
        <f>3521347.92/(10^8)</f>
        <v>3.5213479200000002E-2</v>
      </c>
      <c r="V27" s="303">
        <f>99761148.81/(10^8)</f>
        <v>0.9976114881</v>
      </c>
      <c r="W27" s="303">
        <f>185996.64/(10^8)</f>
        <v>1.8599664000000001E-3</v>
      </c>
      <c r="X27" s="299">
        <v>-0.17330000000000001</v>
      </c>
      <c r="Y27" s="271"/>
      <c r="Z27" s="271"/>
      <c r="AA27" s="271"/>
      <c r="AB27" s="271"/>
      <c r="AC27" s="271"/>
      <c r="AD27" s="271"/>
      <c r="AE27" s="271"/>
      <c r="AF27" s="271"/>
      <c r="AG27" s="271"/>
      <c r="AH27" s="271"/>
      <c r="AI27" s="271"/>
      <c r="AJ27" s="271"/>
      <c r="AK27" s="271"/>
      <c r="AL27" s="271"/>
      <c r="AM27" s="271"/>
    </row>
    <row r="28" spans="1:39" ht="14.25" customHeight="1">
      <c r="A28" s="271"/>
      <c r="B28" s="297" t="s">
        <v>941</v>
      </c>
      <c r="C28" s="298" t="s">
        <v>859</v>
      </c>
      <c r="D28" s="303">
        <f>22119761.4/(10^8)</f>
        <v>0.22119761399999999</v>
      </c>
      <c r="E28" s="303" t="s">
        <v>414</v>
      </c>
      <c r="F28" s="303">
        <f>495088423.91/(10^8)</f>
        <v>4.9508842391000005</v>
      </c>
      <c r="G28" s="303">
        <f>0/(10^8)</f>
        <v>0</v>
      </c>
      <c r="H28" s="303">
        <f>13198798.18/(10^8)</f>
        <v>0.13198798179999999</v>
      </c>
      <c r="I28" s="303">
        <f>56227344.31/(10^8)</f>
        <v>0.56227344310000005</v>
      </c>
      <c r="J28" s="303">
        <f>0/(10^8)</f>
        <v>0</v>
      </c>
      <c r="K28" s="303">
        <f>10134673.4/(10^8)</f>
        <v>0.10134673400000001</v>
      </c>
      <c r="L28" s="303">
        <f>596769001.2/(10^8)</f>
        <v>5.9676900120000003</v>
      </c>
      <c r="M28" s="303">
        <f>12138017.65/(10^8)</f>
        <v>0.12138017650000001</v>
      </c>
      <c r="N28" s="303">
        <f>23904325.38/(10^8)</f>
        <v>0.23904325379999999</v>
      </c>
      <c r="O28" s="303" t="s">
        <v>414</v>
      </c>
      <c r="P28" s="303">
        <f>519750461.58/(10^8)</f>
        <v>5.1975046157999998</v>
      </c>
      <c r="Q28" s="303">
        <f>0/(10^8)</f>
        <v>0</v>
      </c>
      <c r="R28" s="303">
        <f>5714196.58/(10^8)</f>
        <v>5.71419658E-2</v>
      </c>
      <c r="S28" s="303">
        <f>62499856.97/(10^8)</f>
        <v>0.62499856970000001</v>
      </c>
      <c r="T28" s="303">
        <f>0/(10^8)</f>
        <v>0</v>
      </c>
      <c r="U28" s="303">
        <f>10857012.49/(10^8)</f>
        <v>0.10857012490000001</v>
      </c>
      <c r="V28" s="303">
        <f>622725853/(10^8)</f>
        <v>6.2272585300000003</v>
      </c>
      <c r="W28" s="303">
        <f>5416765.99/(10^8)</f>
        <v>5.4167659900000005E-2</v>
      </c>
      <c r="X28" s="299">
        <v>-4.1700000000000001E-2</v>
      </c>
      <c r="Y28" s="271"/>
      <c r="Z28" s="271"/>
      <c r="AA28" s="271"/>
      <c r="AB28" s="271"/>
      <c r="AC28" s="271"/>
      <c r="AD28" s="271"/>
      <c r="AE28" s="271"/>
      <c r="AF28" s="271"/>
      <c r="AG28" s="271"/>
      <c r="AH28" s="271"/>
      <c r="AI28" s="271"/>
      <c r="AJ28" s="271"/>
      <c r="AK28" s="271"/>
      <c r="AL28" s="271"/>
      <c r="AM28" s="271"/>
    </row>
    <row r="29" spans="1:39" ht="14.25" customHeight="1">
      <c r="A29" s="271"/>
      <c r="B29" s="297" t="s">
        <v>942</v>
      </c>
      <c r="C29" s="298" t="s">
        <v>860</v>
      </c>
      <c r="D29" s="303">
        <f>89549821.12/(10^8)</f>
        <v>0.89549821120000006</v>
      </c>
      <c r="E29" s="303" t="s">
        <v>414</v>
      </c>
      <c r="F29" s="303">
        <f>4781118742.34/(10^8)</f>
        <v>47.8111874234</v>
      </c>
      <c r="G29" s="303">
        <f>777809740.96/(10^8)</f>
        <v>7.7780974096</v>
      </c>
      <c r="H29" s="303">
        <f>447305638.02/(10^8)</f>
        <v>4.4730563802000001</v>
      </c>
      <c r="I29" s="303">
        <f>2164145.39/(10^8)</f>
        <v>2.16414539E-2</v>
      </c>
      <c r="J29" s="303">
        <f>41167062.69/(10^8)</f>
        <v>0.4116706269</v>
      </c>
      <c r="K29" s="303">
        <f>17852619.85/(10^8)</f>
        <v>0.17852619850000001</v>
      </c>
      <c r="L29" s="303">
        <f>5379158029.41/(10^8)</f>
        <v>53.791580294100001</v>
      </c>
      <c r="M29" s="303">
        <f>439220363.28/(10^8)</f>
        <v>4.3922036327999994</v>
      </c>
      <c r="N29" s="303">
        <f>90317971.3/(10^8)</f>
        <v>0.903179713</v>
      </c>
      <c r="O29" s="303" t="s">
        <v>414</v>
      </c>
      <c r="P29" s="303">
        <f>4897870172.08/(10^8)</f>
        <v>48.978701720799997</v>
      </c>
      <c r="Q29" s="303">
        <f>890336079.05/(10^8)</f>
        <v>8.903360790499999</v>
      </c>
      <c r="R29" s="303">
        <f>434579636.71/(10^8)</f>
        <v>4.3457963671000002</v>
      </c>
      <c r="S29" s="303">
        <f>3098684.4/(10^8)</f>
        <v>3.0986843999999999E-2</v>
      </c>
      <c r="T29" s="303">
        <f>39935399.58/(10^8)</f>
        <v>0.39935399579999997</v>
      </c>
      <c r="U29" s="303">
        <f>21581087.19/(10^8)</f>
        <v>0.21581087190000001</v>
      </c>
      <c r="V29" s="303">
        <f>5487382951.26/(10^8)</f>
        <v>54.873829512600004</v>
      </c>
      <c r="W29" s="303">
        <f>431015212.71/(10^8)</f>
        <v>4.3101521270999994</v>
      </c>
      <c r="X29" s="299">
        <v>-1.9699999999999999E-2</v>
      </c>
      <c r="Y29" s="271"/>
      <c r="Z29" s="271"/>
      <c r="AA29" s="271"/>
      <c r="AB29" s="271"/>
      <c r="AC29" s="271"/>
      <c r="AD29" s="271"/>
      <c r="AE29" s="271"/>
      <c r="AF29" s="271"/>
      <c r="AG29" s="271"/>
      <c r="AH29" s="271"/>
      <c r="AI29" s="271"/>
      <c r="AJ29" s="271"/>
      <c r="AK29" s="271"/>
      <c r="AL29" s="271"/>
      <c r="AM29" s="271"/>
    </row>
    <row r="30" spans="1:39" ht="14.25" customHeight="1">
      <c r="A30" s="271"/>
      <c r="B30" s="297" t="s">
        <v>943</v>
      </c>
      <c r="C30" s="298" t="s">
        <v>861</v>
      </c>
      <c r="D30" s="303">
        <f>48679146.69/(10^8)</f>
        <v>0.48679146689999997</v>
      </c>
      <c r="E30" s="303" t="s">
        <v>414</v>
      </c>
      <c r="F30" s="303">
        <f>1371722048.88/(10^8)</f>
        <v>13.717220488800001</v>
      </c>
      <c r="G30" s="303">
        <f>147148428.66/(10^8)</f>
        <v>1.4714842866</v>
      </c>
      <c r="H30" s="303">
        <f>105932252.88/(10^8)</f>
        <v>1.0593225287999999</v>
      </c>
      <c r="I30" s="303">
        <f>36884349.44/(10^8)</f>
        <v>0.36884349439999997</v>
      </c>
      <c r="J30" s="303">
        <f>3003132.28/(10^8)</f>
        <v>3.0031322799999999E-2</v>
      </c>
      <c r="K30" s="303">
        <f>3363704.02/(10^8)</f>
        <v>3.3637040200000003E-2</v>
      </c>
      <c r="L30" s="303">
        <f>1569584634.19/(10^8)</f>
        <v>15.695846341900001</v>
      </c>
      <c r="M30" s="303">
        <f>96817701.23/(10^8)</f>
        <v>0.96817701230000008</v>
      </c>
      <c r="N30" s="303">
        <f>45979586.67/(10^8)</f>
        <v>0.4597958667</v>
      </c>
      <c r="O30" s="303" t="s">
        <v>414</v>
      </c>
      <c r="P30" s="303">
        <f>1429361153.23/(10^8)</f>
        <v>14.2936115323</v>
      </c>
      <c r="Q30" s="303">
        <f>280882028.21/(10^8)</f>
        <v>2.8088202820999997</v>
      </c>
      <c r="R30" s="303">
        <f>117984421.3/(10^8)</f>
        <v>1.179844213</v>
      </c>
      <c r="S30" s="303">
        <f>37140919.86/(10^8)</f>
        <v>0.37140919859999999</v>
      </c>
      <c r="T30" s="303">
        <f>3090606.57/(10^8)</f>
        <v>3.0906065699999999E-2</v>
      </c>
      <c r="U30" s="303">
        <f>3483221.17/(10^8)</f>
        <v>3.4832211699999997E-2</v>
      </c>
      <c r="V30" s="303">
        <f>1637039908.8/(10^8)</f>
        <v>16.370399087999999</v>
      </c>
      <c r="W30" s="303">
        <f>106011286.81/(10^8)</f>
        <v>1.0601128681</v>
      </c>
      <c r="X30" s="299">
        <v>-4.1200000000000001E-2</v>
      </c>
      <c r="Y30" s="271"/>
      <c r="Z30" s="271"/>
      <c r="AA30" s="271"/>
      <c r="AB30" s="271"/>
      <c r="AC30" s="271"/>
      <c r="AD30" s="271"/>
      <c r="AE30" s="271"/>
      <c r="AF30" s="271"/>
      <c r="AG30" s="271"/>
      <c r="AH30" s="271"/>
      <c r="AI30" s="271"/>
      <c r="AJ30" s="271"/>
      <c r="AK30" s="271"/>
      <c r="AL30" s="271"/>
      <c r="AM30" s="271"/>
    </row>
    <row r="31" spans="1:39" ht="14.25" customHeight="1">
      <c r="A31" s="271"/>
      <c r="B31" s="297" t="s">
        <v>944</v>
      </c>
      <c r="C31" s="298" t="s">
        <v>862</v>
      </c>
      <c r="D31" s="303">
        <f>164324369.47/(10^8)</f>
        <v>1.6432436947</v>
      </c>
      <c r="E31" s="303" t="s">
        <v>414</v>
      </c>
      <c r="F31" s="303">
        <f>2271208901.56/(10^8)</f>
        <v>22.7120890156</v>
      </c>
      <c r="G31" s="303">
        <f>531132074.67/(10^8)</f>
        <v>5.3113207466999999</v>
      </c>
      <c r="H31" s="303">
        <f>1546435035.35/(10^8)</f>
        <v>15.464350353499999</v>
      </c>
      <c r="I31" s="303">
        <f>245932180.19/(10^8)</f>
        <v>2.4593218018999998</v>
      </c>
      <c r="J31" s="303">
        <f>141831048.05/(10^8)</f>
        <v>1.4183104805000002</v>
      </c>
      <c r="K31" s="303">
        <f>458625984.56/(10^8)</f>
        <v>4.5862598455999999</v>
      </c>
      <c r="L31" s="303">
        <f>4828357519.18/(10^8)</f>
        <v>48.283575191800004</v>
      </c>
      <c r="M31" s="303">
        <f>1492283247.31/(10^8)</f>
        <v>14.9228324731</v>
      </c>
      <c r="N31" s="303">
        <f>160857116.24/(10^8)</f>
        <v>1.6085711624000001</v>
      </c>
      <c r="O31" s="303" t="s">
        <v>414</v>
      </c>
      <c r="P31" s="303">
        <f>4225985528.63/(10^8)</f>
        <v>42.259855286300002</v>
      </c>
      <c r="Q31" s="303">
        <f>1569136845.88/(10^8)</f>
        <v>15.691368458800001</v>
      </c>
      <c r="R31" s="303">
        <f>3696707226.36/(10^8)</f>
        <v>36.967072263600002</v>
      </c>
      <c r="S31" s="303">
        <f>496645452.28/(10^8)</f>
        <v>4.9664545227999994</v>
      </c>
      <c r="T31" s="303">
        <f>297019420.56/(10^8)</f>
        <v>2.9701942055999999</v>
      </c>
      <c r="U31" s="303">
        <f>421946663.5/(10^8)</f>
        <v>4.2194666349999999</v>
      </c>
      <c r="V31" s="303">
        <f>9299161407.57/(10^8)</f>
        <v>92.991614075699999</v>
      </c>
      <c r="W31" s="303">
        <f>3441323267.04/(10^8)</f>
        <v>34.413232670399999</v>
      </c>
      <c r="X31" s="299">
        <v>-0.48080000000000001</v>
      </c>
      <c r="Y31" s="271"/>
      <c r="Z31" s="271"/>
      <c r="AA31" s="271"/>
      <c r="AB31" s="271"/>
      <c r="AC31" s="271"/>
      <c r="AD31" s="271"/>
      <c r="AE31" s="271"/>
      <c r="AF31" s="271"/>
      <c r="AG31" s="271"/>
      <c r="AH31" s="271"/>
      <c r="AI31" s="271"/>
      <c r="AJ31" s="271"/>
      <c r="AK31" s="271"/>
      <c r="AL31" s="271"/>
      <c r="AM31" s="271"/>
    </row>
    <row r="32" spans="1:39" ht="14.25" customHeight="1">
      <c r="A32" s="271"/>
      <c r="B32" s="297" t="s">
        <v>945</v>
      </c>
      <c r="C32" s="298" t="s">
        <v>863</v>
      </c>
      <c r="D32" s="303">
        <f>55357111.93/(10^8)</f>
        <v>0.55357111930000003</v>
      </c>
      <c r="E32" s="303">
        <f>0/(10^8)</f>
        <v>0</v>
      </c>
      <c r="F32" s="303">
        <f>117233579.26/(10^8)</f>
        <v>1.1723357926</v>
      </c>
      <c r="G32" s="303">
        <f>0/(10^8)</f>
        <v>0</v>
      </c>
      <c r="H32" s="303">
        <f>439283880.36/(10^8)</f>
        <v>4.3928388036000001</v>
      </c>
      <c r="I32" s="303">
        <f>38360987.28/(10^8)</f>
        <v>0.38360987280000003</v>
      </c>
      <c r="J32" s="303">
        <f>5683790.51/(10^8)</f>
        <v>5.6837905099999995E-2</v>
      </c>
      <c r="K32" s="303">
        <f>742674.02/(10^8)</f>
        <v>7.4267402000000003E-3</v>
      </c>
      <c r="L32" s="303">
        <f>656662023.36/(10^8)</f>
        <v>6.5666202336000001</v>
      </c>
      <c r="M32" s="303">
        <f>431380020.16/(10^8)</f>
        <v>4.3138002016000003</v>
      </c>
      <c r="N32" s="303">
        <f>60027362.36/(10^8)</f>
        <v>0.60027362360000003</v>
      </c>
      <c r="O32" s="303">
        <f>0/(10^8)</f>
        <v>0</v>
      </c>
      <c r="P32" s="303">
        <f>209257281.3/(10^8)</f>
        <v>2.0925728130000003</v>
      </c>
      <c r="Q32" s="303">
        <f>0/(10^8)</f>
        <v>0</v>
      </c>
      <c r="R32" s="303">
        <f>400492924.44/(10^8)</f>
        <v>4.0049292443999995</v>
      </c>
      <c r="S32" s="303">
        <f>35133457.13/(10^8)</f>
        <v>0.35133457130000001</v>
      </c>
      <c r="T32" s="303">
        <f>2951334.71/(10^8)</f>
        <v>2.95133471E-2</v>
      </c>
      <c r="U32" s="303">
        <f>1420457.4/(10^8)</f>
        <v>1.4204573999999999E-2</v>
      </c>
      <c r="V32" s="303">
        <f>709282817.34/(10^8)</f>
        <v>7.0928281734</v>
      </c>
      <c r="W32" s="303">
        <f>387451526.9/(10^8)</f>
        <v>3.8745152689999998</v>
      </c>
      <c r="X32" s="299">
        <v>-7.4200000000000002E-2</v>
      </c>
      <c r="Y32" s="271"/>
      <c r="Z32" s="271"/>
      <c r="AA32" s="271"/>
      <c r="AB32" s="271"/>
      <c r="AC32" s="271"/>
      <c r="AD32" s="271"/>
      <c r="AE32" s="271"/>
      <c r="AF32" s="271"/>
      <c r="AG32" s="271"/>
      <c r="AH32" s="271"/>
      <c r="AI32" s="271"/>
      <c r="AJ32" s="271"/>
      <c r="AK32" s="271"/>
      <c r="AL32" s="271"/>
      <c r="AM32" s="271"/>
    </row>
    <row r="33" spans="1:39" ht="14.25" customHeight="1">
      <c r="A33" s="271"/>
      <c r="B33" s="297" t="s">
        <v>946</v>
      </c>
      <c r="C33" s="298" t="s">
        <v>864</v>
      </c>
      <c r="D33" s="303">
        <f>233090562.04/(10^8)</f>
        <v>2.3309056203999998</v>
      </c>
      <c r="E33" s="303" t="s">
        <v>414</v>
      </c>
      <c r="F33" s="303">
        <f>7173866563.72/(10^8)</f>
        <v>71.7386656372</v>
      </c>
      <c r="G33" s="303">
        <f>477841619.45/(10^8)</f>
        <v>4.7784161945000001</v>
      </c>
      <c r="H33" s="303">
        <f>500697819.67/(10^8)</f>
        <v>5.0069781967000004</v>
      </c>
      <c r="I33" s="303">
        <f>319946902.61/(10^8)</f>
        <v>3.1994690261000001</v>
      </c>
      <c r="J33" s="303">
        <f>18504731.01/(10^8)</f>
        <v>0.18504731010000003</v>
      </c>
      <c r="K33" s="303">
        <f>73549319.02/(10^8)</f>
        <v>0.73549319019999992</v>
      </c>
      <c r="L33" s="303">
        <f>8319655898.07/(10^8)</f>
        <v>83.19655898069999</v>
      </c>
      <c r="M33" s="303">
        <f>448019766.96/(10^8)</f>
        <v>4.4801976695999999</v>
      </c>
      <c r="N33" s="303">
        <f>203245312.44/(10^8)</f>
        <v>2.0324531243999999</v>
      </c>
      <c r="O33" s="303" t="s">
        <v>414</v>
      </c>
      <c r="P33" s="303">
        <f>6649651733.53/(10^8)</f>
        <v>66.496517335299998</v>
      </c>
      <c r="Q33" s="303">
        <f>393077196/(10^8)</f>
        <v>3.93077196</v>
      </c>
      <c r="R33" s="303">
        <f>430555955.03/(10^8)</f>
        <v>4.3055595502999999</v>
      </c>
      <c r="S33" s="303">
        <f>141794701.68/(10^8)</f>
        <v>1.4179470168000001</v>
      </c>
      <c r="T33" s="303">
        <f>57050639.89/(10^8)</f>
        <v>0.57050639889999999</v>
      </c>
      <c r="U33" s="303">
        <f>84090054.3/(10^8)</f>
        <v>0.84090054299999994</v>
      </c>
      <c r="V33" s="303">
        <f>7566388396.87/(10^8)</f>
        <v>75.663883968700006</v>
      </c>
      <c r="W33" s="303">
        <f>392058158.27/(10^8)</f>
        <v>3.9205815826999997</v>
      </c>
      <c r="X33" s="299">
        <v>9.9599999999999994E-2</v>
      </c>
      <c r="Y33" s="271"/>
      <c r="Z33" s="271"/>
      <c r="AA33" s="271"/>
      <c r="AB33" s="271"/>
      <c r="AC33" s="271"/>
      <c r="AD33" s="271"/>
      <c r="AE33" s="271"/>
      <c r="AF33" s="271"/>
      <c r="AG33" s="271"/>
      <c r="AH33" s="271"/>
      <c r="AI33" s="271"/>
      <c r="AJ33" s="271"/>
      <c r="AK33" s="271"/>
      <c r="AL33" s="271"/>
      <c r="AM33" s="271"/>
    </row>
    <row r="34" spans="1:39" ht="14.25" customHeight="1">
      <c r="A34" s="271"/>
      <c r="B34" s="297" t="s">
        <v>947</v>
      </c>
      <c r="C34" s="298" t="s">
        <v>865</v>
      </c>
      <c r="D34" s="303">
        <f>59562278.65/(10^8)</f>
        <v>0.5956227865</v>
      </c>
      <c r="E34" s="303" t="s">
        <v>414</v>
      </c>
      <c r="F34" s="303">
        <f>1318438550.97/(10^8)</f>
        <v>13.1843855097</v>
      </c>
      <c r="G34" s="303">
        <f>31297202.43/(10^8)</f>
        <v>0.31297202429999998</v>
      </c>
      <c r="H34" s="303">
        <f>556907171/(10^8)</f>
        <v>5.5690717100000002</v>
      </c>
      <c r="I34" s="303">
        <f>160505638.08/(10^8)</f>
        <v>1.6050563808000002</v>
      </c>
      <c r="J34" s="303">
        <f>106999851.94/(10^8)</f>
        <v>1.0699985193999999</v>
      </c>
      <c r="K34" s="303">
        <f>32528842.29/(10^8)</f>
        <v>0.32528842289999998</v>
      </c>
      <c r="L34" s="303">
        <f>2234942332.93/(10^8)</f>
        <v>22.349423329299999</v>
      </c>
      <c r="M34" s="303">
        <f>521443896.75/(10^8)</f>
        <v>5.2144389674999996</v>
      </c>
      <c r="N34" s="303">
        <f>45253495.94/(10^8)</f>
        <v>0.45253495939999999</v>
      </c>
      <c r="O34" s="303" t="s">
        <v>414</v>
      </c>
      <c r="P34" s="303">
        <f>1296170758.98/(10^8)</f>
        <v>12.9617075898</v>
      </c>
      <c r="Q34" s="303">
        <f>36722493.32/(10^8)</f>
        <v>0.36722493319999999</v>
      </c>
      <c r="R34" s="303">
        <f>1236838516.89/(10^8)</f>
        <v>12.368385168900002</v>
      </c>
      <c r="S34" s="303">
        <f>157365095.51/(10^8)</f>
        <v>1.5736509551</v>
      </c>
      <c r="T34" s="303">
        <f>97864458.78/(10^8)</f>
        <v>0.97864458779999997</v>
      </c>
      <c r="U34" s="303">
        <f>35047328.05/(10^8)</f>
        <v>0.35047328049999998</v>
      </c>
      <c r="V34" s="303">
        <f>2868539654.15/(10^8)</f>
        <v>28.685396541500001</v>
      </c>
      <c r="W34" s="303">
        <f>983651831.34/(10^8)</f>
        <v>9.8365183134000009</v>
      </c>
      <c r="X34" s="299">
        <v>-0.22090000000000001</v>
      </c>
      <c r="Y34" s="271"/>
      <c r="Z34" s="271"/>
      <c r="AA34" s="271"/>
      <c r="AB34" s="271"/>
      <c r="AC34" s="271"/>
      <c r="AD34" s="271"/>
      <c r="AE34" s="271"/>
      <c r="AF34" s="271"/>
      <c r="AG34" s="271"/>
      <c r="AH34" s="271"/>
      <c r="AI34" s="271"/>
      <c r="AJ34" s="271"/>
      <c r="AK34" s="271"/>
      <c r="AL34" s="271"/>
      <c r="AM34" s="271"/>
    </row>
    <row r="35" spans="1:39" ht="14.25" customHeight="1">
      <c r="A35" s="271"/>
      <c r="B35" s="297" t="s">
        <v>948</v>
      </c>
      <c r="C35" s="298" t="s">
        <v>866</v>
      </c>
      <c r="D35" s="303">
        <f>37046563.75/(10^8)</f>
        <v>0.3704656375</v>
      </c>
      <c r="E35" s="303" t="s">
        <v>414</v>
      </c>
      <c r="F35" s="303">
        <f>558351191.86/(10^8)</f>
        <v>5.5835119186000002</v>
      </c>
      <c r="G35" s="303">
        <f>40891564.41/(10^8)</f>
        <v>0.40891564409999998</v>
      </c>
      <c r="H35" s="303">
        <f>40156793.49/(10^8)</f>
        <v>0.40156793490000003</v>
      </c>
      <c r="I35" s="303">
        <f>25277019.29/(10^8)</f>
        <v>0.25277019289999997</v>
      </c>
      <c r="J35" s="303" t="s">
        <v>414</v>
      </c>
      <c r="K35" s="303">
        <f>50714.4/(10^8)</f>
        <v>5.0714400000000006E-4</v>
      </c>
      <c r="L35" s="303">
        <f>660882282.79/(10^8)</f>
        <v>6.6088228278999992</v>
      </c>
      <c r="M35" s="303">
        <f>36054350.81/(10^8)</f>
        <v>0.36054350810000002</v>
      </c>
      <c r="N35" s="303">
        <f>40352895.08/(10^8)</f>
        <v>0.40352895080000001</v>
      </c>
      <c r="O35" s="303" t="s">
        <v>414</v>
      </c>
      <c r="P35" s="303">
        <f>530988213.39/(10^8)</f>
        <v>5.3098821338999995</v>
      </c>
      <c r="Q35" s="303">
        <f>37851717.24/(10^8)</f>
        <v>0.37851717240000005</v>
      </c>
      <c r="R35" s="303">
        <f>58159175.29/(10^8)</f>
        <v>0.58159175289999998</v>
      </c>
      <c r="S35" s="303">
        <f>20672115.5/(10^8)</f>
        <v>0.20672115499999999</v>
      </c>
      <c r="T35" s="303" t="s">
        <v>414</v>
      </c>
      <c r="U35" s="303">
        <f>190285/(10^8)</f>
        <v>1.90285E-3</v>
      </c>
      <c r="V35" s="303">
        <f>650362684.26/(10^8)</f>
        <v>6.5036268426000001</v>
      </c>
      <c r="W35" s="303">
        <f>52698928.37/(10^8)</f>
        <v>0.52698928369999998</v>
      </c>
      <c r="X35" s="299">
        <v>1.6199999999999999E-2</v>
      </c>
      <c r="Y35" s="271"/>
      <c r="Z35" s="271"/>
      <c r="AA35" s="271"/>
      <c r="AB35" s="271"/>
      <c r="AC35" s="271"/>
      <c r="AD35" s="271"/>
      <c r="AE35" s="271"/>
      <c r="AF35" s="271"/>
      <c r="AG35" s="271"/>
      <c r="AH35" s="271"/>
      <c r="AI35" s="271"/>
      <c r="AJ35" s="271"/>
      <c r="AK35" s="271"/>
      <c r="AL35" s="271"/>
      <c r="AM35" s="271"/>
    </row>
    <row r="36" spans="1:39" ht="14.25" customHeight="1">
      <c r="A36" s="271"/>
      <c r="B36" s="297" t="s">
        <v>949</v>
      </c>
      <c r="C36" s="298" t="s">
        <v>867</v>
      </c>
      <c r="D36" s="303">
        <f>887412.9/(10^8)</f>
        <v>8.8741289999999997E-3</v>
      </c>
      <c r="E36" s="303" t="s">
        <v>414</v>
      </c>
      <c r="F36" s="303">
        <f>1793264527.78/(10^8)</f>
        <v>17.932645277799999</v>
      </c>
      <c r="G36" s="303">
        <f>242120102.81/(10^8)</f>
        <v>2.4212010281</v>
      </c>
      <c r="H36" s="303">
        <f>399944091.81/(10^8)</f>
        <v>3.9994409180999999</v>
      </c>
      <c r="I36" s="303" t="s">
        <v>414</v>
      </c>
      <c r="J36" s="303" t="s">
        <v>414</v>
      </c>
      <c r="K36" s="303" t="s">
        <v>414</v>
      </c>
      <c r="L36" s="303">
        <f>2194096032.49/(10^8)</f>
        <v>21.940960324899997</v>
      </c>
      <c r="M36" s="303">
        <f>308741961.04/(10^8)</f>
        <v>3.0874196104</v>
      </c>
      <c r="N36" s="303">
        <f>257728.63/(10^8)</f>
        <v>2.5772862999999999E-3</v>
      </c>
      <c r="O36" s="303" t="s">
        <v>414</v>
      </c>
      <c r="P36" s="303">
        <f>1630559594.53/(10^8)</f>
        <v>16.305595945299999</v>
      </c>
      <c r="Q36" s="303">
        <f>241888579.78/(10^8)</f>
        <v>2.4188857977999998</v>
      </c>
      <c r="R36" s="303">
        <f>286956683.66/(10^8)</f>
        <v>2.8695668366000002</v>
      </c>
      <c r="S36" s="303" t="s">
        <v>414</v>
      </c>
      <c r="T36" s="303" t="s">
        <v>414</v>
      </c>
      <c r="U36" s="303" t="s">
        <v>414</v>
      </c>
      <c r="V36" s="303">
        <f>1917774006.82/(10^8)</f>
        <v>19.177740068199999</v>
      </c>
      <c r="W36" s="303">
        <f>284678196.41/(10^8)</f>
        <v>2.8467819641000003</v>
      </c>
      <c r="X36" s="299">
        <v>0.14410000000000001</v>
      </c>
      <c r="Y36" s="271"/>
      <c r="Z36" s="271"/>
      <c r="AA36" s="271"/>
      <c r="AB36" s="271"/>
      <c r="AC36" s="271"/>
      <c r="AD36" s="271"/>
      <c r="AE36" s="271"/>
      <c r="AF36" s="271"/>
      <c r="AG36" s="271"/>
      <c r="AH36" s="271"/>
      <c r="AI36" s="271"/>
      <c r="AJ36" s="271"/>
      <c r="AK36" s="271"/>
      <c r="AL36" s="271"/>
      <c r="AM36" s="271"/>
    </row>
    <row r="37" spans="1:39" ht="14.25" customHeight="1">
      <c r="A37" s="271"/>
      <c r="B37" s="297" t="s">
        <v>950</v>
      </c>
      <c r="C37" s="298" t="s">
        <v>868</v>
      </c>
      <c r="D37" s="303">
        <f>16591363.35/(10^8)</f>
        <v>0.16591363349999999</v>
      </c>
      <c r="E37" s="303" t="s">
        <v>414</v>
      </c>
      <c r="F37" s="303">
        <f>2219627701.64/(10^8)</f>
        <v>22.1962770164</v>
      </c>
      <c r="G37" s="303">
        <f>224333178.62/(10^8)</f>
        <v>2.2433317862000002</v>
      </c>
      <c r="H37" s="303">
        <f>0/(10^8)</f>
        <v>0</v>
      </c>
      <c r="I37" s="303" t="s">
        <v>414</v>
      </c>
      <c r="J37" s="303" t="s">
        <v>414</v>
      </c>
      <c r="K37" s="303" t="s">
        <v>414</v>
      </c>
      <c r="L37" s="303">
        <f>2236219064.99/(10^8)</f>
        <v>22.362190649899997</v>
      </c>
      <c r="M37" s="303">
        <f>0/(10^8)</f>
        <v>0</v>
      </c>
      <c r="N37" s="303">
        <f>16148728.82/(10^8)</f>
        <v>0.1614872882</v>
      </c>
      <c r="O37" s="303" t="s">
        <v>414</v>
      </c>
      <c r="P37" s="303">
        <f>1566795581.9/(10^8)</f>
        <v>15.667955819000001</v>
      </c>
      <c r="Q37" s="303">
        <f>240329290.74/(10^8)</f>
        <v>2.4032929074</v>
      </c>
      <c r="R37" s="303">
        <f>35664176.23/(10^8)</f>
        <v>0.35664176229999994</v>
      </c>
      <c r="S37" s="303" t="s">
        <v>414</v>
      </c>
      <c r="T37" s="303" t="s">
        <v>414</v>
      </c>
      <c r="U37" s="303" t="s">
        <v>414</v>
      </c>
      <c r="V37" s="303">
        <f>1618608486.95/(10^8)</f>
        <v>16.1860848695</v>
      </c>
      <c r="W37" s="303">
        <f>35664176.23/(10^8)</f>
        <v>0.35664176229999994</v>
      </c>
      <c r="X37" s="299">
        <v>0.38159999999999999</v>
      </c>
      <c r="Y37" s="271"/>
      <c r="Z37" s="271"/>
      <c r="AA37" s="271"/>
      <c r="AB37" s="271"/>
      <c r="AC37" s="271"/>
      <c r="AD37" s="271"/>
      <c r="AE37" s="271"/>
      <c r="AF37" s="271"/>
      <c r="AG37" s="271"/>
      <c r="AH37" s="271"/>
      <c r="AI37" s="271"/>
      <c r="AJ37" s="271"/>
      <c r="AK37" s="271"/>
      <c r="AL37" s="271"/>
      <c r="AM37" s="271"/>
    </row>
    <row r="38" spans="1:39" ht="14.25" customHeight="1">
      <c r="A38" s="271"/>
      <c r="B38" s="297" t="s">
        <v>951</v>
      </c>
      <c r="C38" s="298" t="s">
        <v>869</v>
      </c>
      <c r="D38" s="303">
        <f>12186347.12/(10^8)</f>
        <v>0.12186347119999999</v>
      </c>
      <c r="E38" s="303" t="s">
        <v>414</v>
      </c>
      <c r="F38" s="303">
        <f>607440855.26/(10^8)</f>
        <v>6.0744085525999996</v>
      </c>
      <c r="G38" s="303">
        <f>69788534.34/(10^8)</f>
        <v>0.69788534340000008</v>
      </c>
      <c r="H38" s="303">
        <f>49289813.19/(10^8)</f>
        <v>0.49289813189999998</v>
      </c>
      <c r="I38" s="303">
        <f>42690655.54/(10^8)</f>
        <v>0.4269065554</v>
      </c>
      <c r="J38" s="303">
        <f>7209841.77/(10^8)</f>
        <v>7.20984177E-2</v>
      </c>
      <c r="K38" s="303">
        <f>6924620.43/(10^8)</f>
        <v>6.9246204300000003E-2</v>
      </c>
      <c r="L38" s="303">
        <f>725742133.31/(10^8)</f>
        <v>7.257421333099999</v>
      </c>
      <c r="M38" s="303">
        <f>42188503.36/(10^8)</f>
        <v>0.42188503360000001</v>
      </c>
      <c r="N38" s="303">
        <f>21994707.69/(10^8)</f>
        <v>0.21994707690000001</v>
      </c>
      <c r="O38" s="303" t="s">
        <v>414</v>
      </c>
      <c r="P38" s="303">
        <f>684453957.35/(10^8)</f>
        <v>6.8445395735000005</v>
      </c>
      <c r="Q38" s="303">
        <f>99742248.62/(10^8)</f>
        <v>0.99742248620000007</v>
      </c>
      <c r="R38" s="303">
        <f>48093910.66/(10^8)</f>
        <v>0.48093910659999994</v>
      </c>
      <c r="S38" s="303">
        <f>48516718.74/(10^8)</f>
        <v>0.48516718740000003</v>
      </c>
      <c r="T38" s="303">
        <f>9248878.16/(10^8)</f>
        <v>9.24887816E-2</v>
      </c>
      <c r="U38" s="303">
        <f>8081186.98/(10^8)</f>
        <v>8.0811869800000005E-2</v>
      </c>
      <c r="V38" s="303">
        <f>820389359.58/(10^8)</f>
        <v>8.2038935958000003</v>
      </c>
      <c r="W38" s="303">
        <f>38672414.81/(10^8)</f>
        <v>0.3867241481</v>
      </c>
      <c r="X38" s="299">
        <v>-0.1154</v>
      </c>
      <c r="Y38" s="271"/>
      <c r="Z38" s="271"/>
      <c r="AA38" s="271"/>
      <c r="AB38" s="271"/>
      <c r="AC38" s="271"/>
      <c r="AD38" s="271"/>
      <c r="AE38" s="271"/>
      <c r="AF38" s="271"/>
      <c r="AG38" s="271"/>
      <c r="AH38" s="271"/>
      <c r="AI38" s="271"/>
      <c r="AJ38" s="271"/>
      <c r="AK38" s="271"/>
      <c r="AL38" s="271"/>
      <c r="AM38" s="271"/>
    </row>
    <row r="39" spans="1:39" ht="14.25" customHeight="1">
      <c r="A39" s="271"/>
      <c r="B39" s="297" t="s">
        <v>952</v>
      </c>
      <c r="C39" s="298" t="s">
        <v>870</v>
      </c>
      <c r="D39" s="303">
        <f>40364014.25/(10^8)</f>
        <v>0.40364014250000002</v>
      </c>
      <c r="E39" s="303" t="s">
        <v>414</v>
      </c>
      <c r="F39" s="303">
        <f>2254701064.54/(10^8)</f>
        <v>22.5470106454</v>
      </c>
      <c r="G39" s="303">
        <f>13142535.27/(10^8)</f>
        <v>0.1314253527</v>
      </c>
      <c r="H39" s="303">
        <f>680071993.87/(10^8)</f>
        <v>6.8007199387000004</v>
      </c>
      <c r="I39" s="303">
        <f>312875360.85/(10^8)</f>
        <v>3.1287536085000003</v>
      </c>
      <c r="J39" s="303" t="s">
        <v>414</v>
      </c>
      <c r="K39" s="303">
        <f>120276541.29/(10^8)</f>
        <v>1.2027654129000001</v>
      </c>
      <c r="L39" s="303">
        <f>3408288974.8/(10^8)</f>
        <v>34.082889747999999</v>
      </c>
      <c r="M39" s="303">
        <f>662883944.53/(10^8)</f>
        <v>6.6288394452999997</v>
      </c>
      <c r="N39" s="303">
        <f>36972848.02/(10^8)</f>
        <v>0.36972848020000004</v>
      </c>
      <c r="O39" s="303" t="s">
        <v>414</v>
      </c>
      <c r="P39" s="303">
        <f>1739067562.08/(10^8)</f>
        <v>17.3906756208</v>
      </c>
      <c r="Q39" s="303">
        <f>10859144.38/(10^8)</f>
        <v>0.10859144380000001</v>
      </c>
      <c r="R39" s="303">
        <f>247615519.05/(10^8)</f>
        <v>2.4761551905000001</v>
      </c>
      <c r="S39" s="303">
        <f>265507572.09/(10^8)</f>
        <v>2.6550757209000002</v>
      </c>
      <c r="T39" s="303" t="s">
        <v>414</v>
      </c>
      <c r="U39" s="303">
        <f>102105353.58/(10^8)</f>
        <v>1.0210535357999999</v>
      </c>
      <c r="V39" s="303">
        <f>2391268854.82/(10^8)</f>
        <v>23.912688548200002</v>
      </c>
      <c r="W39" s="303">
        <f>233308573.21/(10^8)</f>
        <v>2.3330857321000003</v>
      </c>
      <c r="X39" s="299">
        <v>0.42530000000000001</v>
      </c>
      <c r="Y39" s="271"/>
      <c r="Z39" s="271"/>
      <c r="AA39" s="271"/>
      <c r="AB39" s="271"/>
      <c r="AC39" s="271"/>
      <c r="AD39" s="271"/>
      <c r="AE39" s="271"/>
      <c r="AF39" s="271"/>
      <c r="AG39" s="271"/>
      <c r="AH39" s="271"/>
      <c r="AI39" s="271"/>
      <c r="AJ39" s="271"/>
      <c r="AK39" s="271"/>
      <c r="AL39" s="271"/>
      <c r="AM39" s="271"/>
    </row>
    <row r="40" spans="1:39" ht="14.25" customHeight="1">
      <c r="A40" s="271"/>
      <c r="B40" s="297" t="s">
        <v>953</v>
      </c>
      <c r="C40" s="298" t="s">
        <v>871</v>
      </c>
      <c r="D40" s="303">
        <f>15865860.72/(10^8)</f>
        <v>0.1586586072</v>
      </c>
      <c r="E40" s="303" t="s">
        <v>414</v>
      </c>
      <c r="F40" s="303">
        <f>1989778049.56/(10^8)</f>
        <v>19.897780495599999</v>
      </c>
      <c r="G40" s="303">
        <f>130357194.1/(10^8)</f>
        <v>1.303571941</v>
      </c>
      <c r="H40" s="303">
        <f>59818521.3/(10^8)</f>
        <v>0.59818521299999994</v>
      </c>
      <c r="I40" s="303">
        <f>112620105.21/(10^8)</f>
        <v>1.1262010520999999</v>
      </c>
      <c r="J40" s="303">
        <f>158362653.59/(10^8)</f>
        <v>1.5836265359000001</v>
      </c>
      <c r="K40" s="303">
        <f>69120586.76/(10^8)</f>
        <v>0.69120586760000002</v>
      </c>
      <c r="L40" s="303">
        <f>2405565777.14/(10^8)</f>
        <v>24.0556577714</v>
      </c>
      <c r="M40" s="303">
        <f>61257580.45/(10^8)</f>
        <v>0.61257580450000004</v>
      </c>
      <c r="N40" s="303">
        <f>12370953.61/(10^8)</f>
        <v>0.12370953609999999</v>
      </c>
      <c r="O40" s="303" t="s">
        <v>414</v>
      </c>
      <c r="P40" s="303">
        <f>1878559517.41/(10^8)</f>
        <v>18.785595174099999</v>
      </c>
      <c r="Q40" s="303">
        <f>117271168.91/(10^8)</f>
        <v>1.1727116891</v>
      </c>
      <c r="R40" s="303">
        <f>21799762.04/(10^8)</f>
        <v>0.21799762039999998</v>
      </c>
      <c r="S40" s="303">
        <f>86884878.84/(10^8)</f>
        <v>0.86884878840000002</v>
      </c>
      <c r="T40" s="303">
        <f>149644157.83/(10^8)</f>
        <v>1.4964415783000002</v>
      </c>
      <c r="U40" s="303">
        <f>163691178.84/(10^8)</f>
        <v>1.6369117884</v>
      </c>
      <c r="V40" s="303">
        <f>2312950448.57/(10^8)</f>
        <v>23.1295044857</v>
      </c>
      <c r="W40" s="303">
        <f>18517013.5/(10^8)</f>
        <v>0.18517013500000001</v>
      </c>
      <c r="X40" s="299">
        <v>0.04</v>
      </c>
      <c r="Y40" s="271"/>
      <c r="Z40" s="271"/>
      <c r="AA40" s="271"/>
      <c r="AB40" s="271"/>
      <c r="AC40" s="271"/>
      <c r="AD40" s="271"/>
      <c r="AE40" s="271"/>
      <c r="AF40" s="271"/>
      <c r="AG40" s="271"/>
      <c r="AH40" s="271"/>
      <c r="AI40" s="271"/>
      <c r="AJ40" s="271"/>
      <c r="AK40" s="271"/>
      <c r="AL40" s="271"/>
      <c r="AM40" s="271"/>
    </row>
    <row r="41" spans="1:39" ht="14.25" customHeight="1">
      <c r="A41" s="271"/>
      <c r="B41" s="297" t="s">
        <v>954</v>
      </c>
      <c r="C41" s="298" t="s">
        <v>872</v>
      </c>
      <c r="D41" s="303">
        <f>96656777.87/(10^8)</f>
        <v>0.9665677787000001</v>
      </c>
      <c r="E41" s="303" t="s">
        <v>414</v>
      </c>
      <c r="F41" s="303">
        <f>5173416914.08/(10^8)</f>
        <v>51.734169140799999</v>
      </c>
      <c r="G41" s="303">
        <f>326421652.96/(10^8)</f>
        <v>3.2642165295999996</v>
      </c>
      <c r="H41" s="303">
        <f>1388903414.95/(10^8)</f>
        <v>13.8890341495</v>
      </c>
      <c r="I41" s="303">
        <f>319746199.92/(10^8)</f>
        <v>3.1974619992000002</v>
      </c>
      <c r="J41" s="303">
        <f>133678231.22/(10^8)</f>
        <v>1.3367823122</v>
      </c>
      <c r="K41" s="303">
        <f>267940234.3/(10^8)</f>
        <v>2.679402343</v>
      </c>
      <c r="L41" s="303">
        <f>7380341772.34/(10^8)</f>
        <v>73.803417723400003</v>
      </c>
      <c r="M41" s="303">
        <f>1272033372.33/(10^8)</f>
        <v>12.7203337233</v>
      </c>
      <c r="N41" s="303">
        <f>90701880.31/(10^8)</f>
        <v>0.90701880310000005</v>
      </c>
      <c r="O41" s="303" t="s">
        <v>414</v>
      </c>
      <c r="P41" s="303">
        <f>4132176658.41/(10^8)</f>
        <v>41.321766584099997</v>
      </c>
      <c r="Q41" s="303">
        <f>344958133.53/(10^8)</f>
        <v>3.4495813352999996</v>
      </c>
      <c r="R41" s="303">
        <f>1205661901.89/(10^8)</f>
        <v>12.056619018900001</v>
      </c>
      <c r="S41" s="303">
        <f>257908716.65/(10^8)</f>
        <v>2.5790871664999999</v>
      </c>
      <c r="T41" s="303">
        <f>163608493.02/(10^8)</f>
        <v>1.6360849302</v>
      </c>
      <c r="U41" s="303">
        <f>238236446.72/(10^8)</f>
        <v>2.3823644671999999</v>
      </c>
      <c r="V41" s="303">
        <f>6088294097/(10^8)</f>
        <v>60.88294097</v>
      </c>
      <c r="W41" s="303">
        <f>1180698237.04/(10^8)</f>
        <v>11.8069823704</v>
      </c>
      <c r="X41" s="299">
        <v>0.2122</v>
      </c>
      <c r="Y41" s="271"/>
      <c r="Z41" s="271"/>
      <c r="AA41" s="271"/>
      <c r="AB41" s="271"/>
      <c r="AC41" s="271"/>
      <c r="AD41" s="271"/>
      <c r="AE41" s="271"/>
      <c r="AF41" s="271"/>
      <c r="AG41" s="271"/>
      <c r="AH41" s="271"/>
      <c r="AI41" s="271"/>
      <c r="AJ41" s="271"/>
      <c r="AK41" s="271"/>
      <c r="AL41" s="271"/>
      <c r="AM41" s="271"/>
    </row>
    <row r="42" spans="1:39" ht="14.25" customHeight="1">
      <c r="A42" s="271"/>
      <c r="B42" s="297" t="s">
        <v>955</v>
      </c>
      <c r="C42" s="298" t="s">
        <v>873</v>
      </c>
      <c r="D42" s="303">
        <f>31890/(10^8)</f>
        <v>3.189E-4</v>
      </c>
      <c r="E42" s="303" t="s">
        <v>414</v>
      </c>
      <c r="F42" s="303">
        <f>4038383.93/(10^8)</f>
        <v>4.0383839300000002E-2</v>
      </c>
      <c r="G42" s="303">
        <f>0/(10^8)</f>
        <v>0</v>
      </c>
      <c r="H42" s="303">
        <f>200914.48/(10^8)</f>
        <v>2.0091448000000003E-3</v>
      </c>
      <c r="I42" s="303">
        <f>2902317.67/(10^8)</f>
        <v>2.90231767E-2</v>
      </c>
      <c r="J42" s="303">
        <f>0/(10^8)</f>
        <v>0</v>
      </c>
      <c r="K42" s="303">
        <f>342877.2/(10^8)</f>
        <v>3.4287720000000001E-3</v>
      </c>
      <c r="L42" s="303">
        <f>7516383.28/(10^8)</f>
        <v>7.5163832799999997E-2</v>
      </c>
      <c r="M42" s="303">
        <f>0/(10^8)</f>
        <v>0</v>
      </c>
      <c r="N42" s="303">
        <f>0/(10^8)</f>
        <v>0</v>
      </c>
      <c r="O42" s="303" t="s">
        <v>414</v>
      </c>
      <c r="P42" s="303">
        <f>2168752.2/(10^8)</f>
        <v>2.1687522000000001E-2</v>
      </c>
      <c r="Q42" s="303">
        <f>0/(10^8)</f>
        <v>0</v>
      </c>
      <c r="R42" s="303">
        <f>19968532.01/(10^8)</f>
        <v>0.19968532010000001</v>
      </c>
      <c r="S42" s="303">
        <f>1128015.49/(10^8)</f>
        <v>1.12801549E-2</v>
      </c>
      <c r="T42" s="303">
        <f>0/(10^8)</f>
        <v>0</v>
      </c>
      <c r="U42" s="303">
        <f>383622.05/(10^8)</f>
        <v>3.8362204999999997E-3</v>
      </c>
      <c r="V42" s="303">
        <f>23648921.75/(10^8)</f>
        <v>0.23648921749999999</v>
      </c>
      <c r="W42" s="303">
        <f>19968532.01/(10^8)</f>
        <v>0.19968532010000001</v>
      </c>
      <c r="X42" s="299">
        <v>-0.68220000000000003</v>
      </c>
      <c r="Y42" s="271"/>
      <c r="Z42" s="271"/>
      <c r="AA42" s="271"/>
      <c r="AB42" s="271"/>
      <c r="AC42" s="271"/>
      <c r="AD42" s="271"/>
      <c r="AE42" s="271"/>
      <c r="AF42" s="271"/>
      <c r="AG42" s="271"/>
      <c r="AH42" s="271"/>
      <c r="AI42" s="271"/>
      <c r="AJ42" s="271"/>
      <c r="AK42" s="271"/>
      <c r="AL42" s="271"/>
      <c r="AM42" s="271"/>
    </row>
    <row r="43" spans="1:39" ht="14.25" customHeight="1">
      <c r="A43" s="271"/>
      <c r="B43" s="297" t="s">
        <v>956</v>
      </c>
      <c r="C43" s="298" t="s">
        <v>874</v>
      </c>
      <c r="D43" s="303">
        <f>0/(10^8)</f>
        <v>0</v>
      </c>
      <c r="E43" s="303" t="s">
        <v>414</v>
      </c>
      <c r="F43" s="303">
        <f>43546939.95/(10^8)</f>
        <v>0.43546939950000002</v>
      </c>
      <c r="G43" s="303">
        <f>0/(10^8)</f>
        <v>0</v>
      </c>
      <c r="H43" s="303">
        <f>46696370.6/(10^8)</f>
        <v>0.46696370600000003</v>
      </c>
      <c r="I43" s="303">
        <f>0/(10^8)</f>
        <v>0</v>
      </c>
      <c r="J43" s="303">
        <f>67497307.25/(10^8)</f>
        <v>0.67497307250000005</v>
      </c>
      <c r="K43" s="303">
        <f>0/(10^8)</f>
        <v>0</v>
      </c>
      <c r="L43" s="303">
        <f>157740617.8/(10^8)</f>
        <v>1.5774061780000002</v>
      </c>
      <c r="M43" s="303">
        <f>47487880.78/(10^8)</f>
        <v>0.47487880780000002</v>
      </c>
      <c r="N43" s="303">
        <f>0/(10^8)</f>
        <v>0</v>
      </c>
      <c r="O43" s="303">
        <f>0/(10^8)</f>
        <v>0</v>
      </c>
      <c r="P43" s="303">
        <f>31224977.38/(10^8)</f>
        <v>0.31224977379999996</v>
      </c>
      <c r="Q43" s="303">
        <f>0/(10^8)</f>
        <v>0</v>
      </c>
      <c r="R43" s="303">
        <f>20585864.11/(10^8)</f>
        <v>0.20585864109999999</v>
      </c>
      <c r="S43" s="303">
        <f>0/(10^8)</f>
        <v>0</v>
      </c>
      <c r="T43" s="303">
        <f>58167582.56/(10^8)</f>
        <v>0.58167582559999997</v>
      </c>
      <c r="U43" s="303">
        <f>110000/(10^8)</f>
        <v>1.1000000000000001E-3</v>
      </c>
      <c r="V43" s="303">
        <f>110088424.05/(10^8)</f>
        <v>1.1008842404999999</v>
      </c>
      <c r="W43" s="303">
        <f>20875516.33/(10^8)</f>
        <v>0.20875516329999999</v>
      </c>
      <c r="X43" s="299">
        <v>0.43290000000000001</v>
      </c>
      <c r="Y43" s="271"/>
      <c r="Z43" s="271"/>
      <c r="AA43" s="271"/>
      <c r="AB43" s="271"/>
      <c r="AC43" s="271"/>
      <c r="AD43" s="271"/>
      <c r="AE43" s="271"/>
      <c r="AF43" s="271"/>
      <c r="AG43" s="271"/>
      <c r="AH43" s="271"/>
      <c r="AI43" s="271"/>
      <c r="AJ43" s="271"/>
      <c r="AK43" s="271"/>
      <c r="AL43" s="271"/>
      <c r="AM43" s="271"/>
    </row>
    <row r="44" spans="1:39" ht="16.5" customHeight="1">
      <c r="A44" s="271"/>
      <c r="B44" s="297" t="s">
        <v>957</v>
      </c>
      <c r="C44" s="298" t="s">
        <v>875</v>
      </c>
      <c r="D44" s="303">
        <f>629519.15/(10^8)</f>
        <v>6.2951915000000001E-3</v>
      </c>
      <c r="E44" s="303">
        <f>0/(10^8)</f>
        <v>0</v>
      </c>
      <c r="F44" s="303">
        <f>0/(10^8)</f>
        <v>0</v>
      </c>
      <c r="G44" s="303">
        <f>0/(10^8)</f>
        <v>0</v>
      </c>
      <c r="H44" s="303">
        <f>18601620.52/(10^8)</f>
        <v>0.18601620520000001</v>
      </c>
      <c r="I44" s="303">
        <f>0/(10^8)</f>
        <v>0</v>
      </c>
      <c r="J44" s="303">
        <f>53348675.01/(10^8)</f>
        <v>0.53348675010000002</v>
      </c>
      <c r="K44" s="303">
        <f>14214592.81/(10^8)</f>
        <v>0.14214592810000001</v>
      </c>
      <c r="L44" s="303">
        <f>86794407.49/(10^8)</f>
        <v>0.86794407489999992</v>
      </c>
      <c r="M44" s="303">
        <f>16577308.87/(10^8)</f>
        <v>0.16577308869999999</v>
      </c>
      <c r="N44" s="303">
        <f>502196.37/(10^8)</f>
        <v>5.0219636999999998E-3</v>
      </c>
      <c r="O44" s="303">
        <f>0/(10^8)</f>
        <v>0</v>
      </c>
      <c r="P44" s="303">
        <f>0/(10^8)</f>
        <v>0</v>
      </c>
      <c r="Q44" s="303">
        <f>0/(10^8)</f>
        <v>0</v>
      </c>
      <c r="R44" s="303">
        <f>5252846.1/(10^8)</f>
        <v>5.2528460999999999E-2</v>
      </c>
      <c r="S44" s="303">
        <f>0/(10^8)</f>
        <v>0</v>
      </c>
      <c r="T44" s="303">
        <f>51938897.44/(10^8)</f>
        <v>0.51938897439999998</v>
      </c>
      <c r="U44" s="303">
        <f>15131152.64/(10^8)</f>
        <v>0.15131152640000001</v>
      </c>
      <c r="V44" s="303">
        <f>72825092.55/(10^8)</f>
        <v>0.72825092549999992</v>
      </c>
      <c r="W44" s="303">
        <f>4496020.96/(10^8)</f>
        <v>4.4960209600000002E-2</v>
      </c>
      <c r="X44" s="299">
        <v>0.1918</v>
      </c>
      <c r="Y44" s="271"/>
      <c r="Z44" s="271"/>
      <c r="AA44" s="271"/>
      <c r="AB44" s="271"/>
      <c r="AC44" s="271"/>
      <c r="AD44" s="271"/>
      <c r="AE44" s="271"/>
      <c r="AF44" s="271"/>
      <c r="AG44" s="271"/>
      <c r="AH44" s="271"/>
      <c r="AI44" s="271"/>
      <c r="AJ44" s="271"/>
      <c r="AK44" s="271"/>
      <c r="AL44" s="271"/>
      <c r="AM44" s="271"/>
    </row>
    <row r="45" spans="1:39" ht="14.25" customHeight="1">
      <c r="A45" s="271"/>
      <c r="B45" s="297" t="s">
        <v>958</v>
      </c>
      <c r="C45" s="298" t="s">
        <v>876</v>
      </c>
      <c r="D45" s="303">
        <f>120085940.67/(10^8)</f>
        <v>1.2008594067</v>
      </c>
      <c r="E45" s="303" t="s">
        <v>414</v>
      </c>
      <c r="F45" s="303">
        <f>4322846084.89/(10^8)</f>
        <v>43.228460848900006</v>
      </c>
      <c r="G45" s="303">
        <f>43349257.78/(10^8)</f>
        <v>0.4334925778</v>
      </c>
      <c r="H45" s="303">
        <f>227472010.88/(10^8)</f>
        <v>2.2747201088</v>
      </c>
      <c r="I45" s="303">
        <f>205379360.48/(10^8)</f>
        <v>2.0537936048000001</v>
      </c>
      <c r="J45" s="303">
        <f>31856406.34/(10^8)</f>
        <v>0.31856406339999999</v>
      </c>
      <c r="K45" s="303">
        <f>35215141.06/(10^8)</f>
        <v>0.35215141060000005</v>
      </c>
      <c r="L45" s="303">
        <f>4942854944.32/(10^8)</f>
        <v>49.428549443199998</v>
      </c>
      <c r="M45" s="303">
        <f>200625568.38/(10^8)</f>
        <v>2.0062556838000001</v>
      </c>
      <c r="N45" s="303">
        <f>115859826.94/(10^8)</f>
        <v>1.1585982693999999</v>
      </c>
      <c r="O45" s="303" t="s">
        <v>414</v>
      </c>
      <c r="P45" s="303">
        <f>4255617716.84/(10^8)</f>
        <v>42.556177168400005</v>
      </c>
      <c r="Q45" s="303">
        <f>87229731.52/(10^8)</f>
        <v>0.87229731519999998</v>
      </c>
      <c r="R45" s="303">
        <f>226071076.99/(10^8)</f>
        <v>2.2607107699000002</v>
      </c>
      <c r="S45" s="303">
        <f>193575930.45/(10^8)</f>
        <v>1.9357593044999999</v>
      </c>
      <c r="T45" s="303">
        <f>28826514.94/(10^8)</f>
        <v>0.28826514940000003</v>
      </c>
      <c r="U45" s="303">
        <f>54756592.93/(10^8)</f>
        <v>0.54756592930000003</v>
      </c>
      <c r="V45" s="303">
        <f>4874707659.09/(10^8)</f>
        <v>48.747076590900001</v>
      </c>
      <c r="W45" s="303">
        <f>192866358.89/(10^8)</f>
        <v>1.9286635888999999</v>
      </c>
      <c r="X45" s="299">
        <v>1.4E-2</v>
      </c>
      <c r="Y45" s="271"/>
      <c r="Z45" s="271"/>
      <c r="AA45" s="271"/>
      <c r="AB45" s="271"/>
      <c r="AC45" s="271"/>
      <c r="AD45" s="271"/>
      <c r="AE45" s="271"/>
      <c r="AF45" s="271"/>
      <c r="AG45" s="271"/>
      <c r="AH45" s="271"/>
      <c r="AI45" s="271"/>
      <c r="AJ45" s="271"/>
      <c r="AK45" s="271"/>
      <c r="AL45" s="271"/>
      <c r="AM45" s="271"/>
    </row>
    <row r="46" spans="1:39" ht="14.25" customHeight="1">
      <c r="A46" s="271"/>
      <c r="B46" s="297" t="s">
        <v>959</v>
      </c>
      <c r="C46" s="298" t="s">
        <v>877</v>
      </c>
      <c r="D46" s="303">
        <f>35148372.69/(10^8)</f>
        <v>0.35148372689999996</v>
      </c>
      <c r="E46" s="303" t="s">
        <v>414</v>
      </c>
      <c r="F46" s="303">
        <f>2280236996.99/(10^8)</f>
        <v>22.802369969899999</v>
      </c>
      <c r="G46" s="303">
        <f>36445758.31/(10^8)</f>
        <v>0.36445758310000004</v>
      </c>
      <c r="H46" s="303">
        <f>128859421.66/(10^8)</f>
        <v>1.2885942166</v>
      </c>
      <c r="I46" s="303">
        <f>156175558.86/(10^8)</f>
        <v>1.5617555886000001</v>
      </c>
      <c r="J46" s="303" t="s">
        <v>414</v>
      </c>
      <c r="K46" s="303">
        <f>143823168.48/(10^8)</f>
        <v>1.4382316847999999</v>
      </c>
      <c r="L46" s="303">
        <f>2744243518.68/(10^8)</f>
        <v>27.442435186799997</v>
      </c>
      <c r="M46" s="303">
        <f>89890730.34/(10^8)</f>
        <v>0.89890730340000002</v>
      </c>
      <c r="N46" s="303">
        <f>33994177.52/(10^8)</f>
        <v>0.33994177520000002</v>
      </c>
      <c r="O46" s="303" t="s">
        <v>414</v>
      </c>
      <c r="P46" s="303">
        <f>3299729583.81/(10^8)</f>
        <v>32.997295838100001</v>
      </c>
      <c r="Q46" s="303">
        <f>37984141.65/(10^8)</f>
        <v>0.37984141649999997</v>
      </c>
      <c r="R46" s="303">
        <f>99474478.38/(10^8)</f>
        <v>0.99474478379999998</v>
      </c>
      <c r="S46" s="303">
        <f>147025865.98/(10^8)</f>
        <v>1.4702586597999998</v>
      </c>
      <c r="T46" s="303" t="s">
        <v>414</v>
      </c>
      <c r="U46" s="303">
        <f>152976794.04/(10^8)</f>
        <v>1.5297679404</v>
      </c>
      <c r="V46" s="303">
        <f>3733200899.73/(10^8)</f>
        <v>37.332008997300001</v>
      </c>
      <c r="W46" s="303">
        <f>79600707.98/(10^8)</f>
        <v>0.79600707980000007</v>
      </c>
      <c r="X46" s="299">
        <v>-0.26490000000000002</v>
      </c>
      <c r="Y46" s="271"/>
      <c r="Z46" s="271"/>
      <c r="AA46" s="271"/>
      <c r="AB46" s="271"/>
      <c r="AC46" s="271"/>
      <c r="AD46" s="271"/>
      <c r="AE46" s="271"/>
      <c r="AF46" s="271"/>
      <c r="AG46" s="271"/>
      <c r="AH46" s="271"/>
      <c r="AI46" s="271"/>
      <c r="AJ46" s="271"/>
      <c r="AK46" s="271"/>
      <c r="AL46" s="271"/>
      <c r="AM46" s="271"/>
    </row>
    <row r="47" spans="1:39" ht="14.25" customHeight="1">
      <c r="A47" s="271"/>
      <c r="B47" s="297" t="s">
        <v>960</v>
      </c>
      <c r="C47" s="298" t="s">
        <v>879</v>
      </c>
      <c r="D47" s="303">
        <f>41273333.35/(10^8)</f>
        <v>0.41273333350000002</v>
      </c>
      <c r="E47" s="303" t="s">
        <v>414</v>
      </c>
      <c r="F47" s="303">
        <f>1569925324.02/(10^8)</f>
        <v>15.699253240199999</v>
      </c>
      <c r="G47" s="303">
        <f>41684940.08/(10^8)</f>
        <v>0.41684940079999999</v>
      </c>
      <c r="H47" s="303">
        <f>283036046.37/(10^8)</f>
        <v>2.8303604636999999</v>
      </c>
      <c r="I47" s="303">
        <f>53736133.29/(10^8)</f>
        <v>0.53736133289999999</v>
      </c>
      <c r="J47" s="303" t="s">
        <v>414</v>
      </c>
      <c r="K47" s="303">
        <f>1380397.29/(10^8)</f>
        <v>1.3803972900000001E-2</v>
      </c>
      <c r="L47" s="303">
        <f>1949351234.32/(10^8)</f>
        <v>19.493512343199999</v>
      </c>
      <c r="M47" s="303">
        <f>280913326.3/(10^8)</f>
        <v>2.8091332630000001</v>
      </c>
      <c r="N47" s="303">
        <f>18987814.46/(10^8)</f>
        <v>0.18987814460000002</v>
      </c>
      <c r="O47" s="303" t="s">
        <v>414</v>
      </c>
      <c r="P47" s="303">
        <f>1341862693.47/(10^8)</f>
        <v>13.418626934700001</v>
      </c>
      <c r="Q47" s="303">
        <f>44918099.19/(10^8)</f>
        <v>0.44918099189999999</v>
      </c>
      <c r="R47" s="303">
        <f>213334795.31/(10^8)</f>
        <v>2.1333479530999999</v>
      </c>
      <c r="S47" s="303">
        <f>56701950.49/(10^8)</f>
        <v>0.56701950489999997</v>
      </c>
      <c r="T47" s="303" t="s">
        <v>414</v>
      </c>
      <c r="U47" s="303">
        <f>1797394.68/(10^8)</f>
        <v>1.7973946799999998E-2</v>
      </c>
      <c r="V47" s="303">
        <f>1632684648.41/(10^8)</f>
        <v>16.326846484100002</v>
      </c>
      <c r="W47" s="303">
        <f>163012407.37/(10^8)</f>
        <v>1.6301240737</v>
      </c>
      <c r="X47" s="299">
        <v>0.19400000000000001</v>
      </c>
      <c r="Y47" s="271"/>
      <c r="Z47" s="271"/>
      <c r="AA47" s="271"/>
      <c r="AB47" s="271"/>
      <c r="AC47" s="271"/>
      <c r="AD47" s="271"/>
      <c r="AE47" s="271"/>
      <c r="AF47" s="271"/>
      <c r="AG47" s="271"/>
      <c r="AH47" s="271"/>
      <c r="AI47" s="271"/>
      <c r="AJ47" s="271"/>
      <c r="AK47" s="271"/>
      <c r="AL47" s="271"/>
      <c r="AM47" s="271"/>
    </row>
    <row r="48" spans="1:39" ht="14.25" customHeight="1">
      <c r="A48" s="271"/>
      <c r="B48" s="297" t="s">
        <v>961</v>
      </c>
      <c r="C48" s="298" t="s">
        <v>881</v>
      </c>
      <c r="D48" s="303">
        <f>1155316.98/(10^8)</f>
        <v>1.1553169800000001E-2</v>
      </c>
      <c r="E48" s="303" t="s">
        <v>414</v>
      </c>
      <c r="F48" s="303">
        <f>25213463.37/(10^8)</f>
        <v>0.2521346337</v>
      </c>
      <c r="G48" s="303">
        <f>0/(10^8)</f>
        <v>0</v>
      </c>
      <c r="H48" s="303">
        <f>1138995.28/(10^8)</f>
        <v>1.13899528E-2</v>
      </c>
      <c r="I48" s="303">
        <f>14489448.83/(10^8)</f>
        <v>0.14489448830000001</v>
      </c>
      <c r="J48" s="303" t="s">
        <v>414</v>
      </c>
      <c r="K48" s="303">
        <f>13643053.81/(10^8)</f>
        <v>0.1364305381</v>
      </c>
      <c r="L48" s="303">
        <f>55640278.27/(10^8)</f>
        <v>0.55640278269999999</v>
      </c>
      <c r="M48" s="303">
        <f>961275.28/(10^8)</f>
        <v>9.6127528000000007E-3</v>
      </c>
      <c r="N48" s="303">
        <f>1474716.89/(10^8)</f>
        <v>1.47471689E-2</v>
      </c>
      <c r="O48" s="303" t="s">
        <v>414</v>
      </c>
      <c r="P48" s="303">
        <f>27620947.21/(10^8)</f>
        <v>0.27620947210000002</v>
      </c>
      <c r="Q48" s="303">
        <f>16276/(10^8)</f>
        <v>1.6275999999999999E-4</v>
      </c>
      <c r="R48" s="303">
        <f>1364792.92/(10^8)</f>
        <v>1.3647929199999999E-2</v>
      </c>
      <c r="S48" s="303">
        <f>8976922.35/(10^8)</f>
        <v>8.9769223499999995E-2</v>
      </c>
      <c r="T48" s="303" t="s">
        <v>414</v>
      </c>
      <c r="U48" s="303">
        <f>12142029.77/(10^8)</f>
        <v>0.1214202977</v>
      </c>
      <c r="V48" s="303">
        <f>51579409.14/(10^8)</f>
        <v>0.51579409139999999</v>
      </c>
      <c r="W48" s="303">
        <f>1283921.48/(10^8)</f>
        <v>1.28392148E-2</v>
      </c>
      <c r="X48" s="299">
        <v>7.8700000000000006E-2</v>
      </c>
      <c r="Y48" s="271"/>
      <c r="Z48" s="271"/>
      <c r="AA48" s="271"/>
      <c r="AB48" s="271"/>
      <c r="AC48" s="271"/>
      <c r="AD48" s="271"/>
      <c r="AE48" s="271"/>
      <c r="AF48" s="271"/>
      <c r="AG48" s="271"/>
      <c r="AH48" s="271"/>
      <c r="AI48" s="271"/>
      <c r="AJ48" s="271"/>
      <c r="AK48" s="271"/>
      <c r="AL48" s="271"/>
      <c r="AM48" s="271"/>
    </row>
    <row r="49" spans="1:39" ht="15" customHeight="1">
      <c r="A49" s="271"/>
      <c r="B49" s="297" t="s">
        <v>962</v>
      </c>
      <c r="C49" s="298" t="s">
        <v>883</v>
      </c>
      <c r="D49" s="303">
        <f>187628423.41/(10^8)</f>
        <v>1.8762842340999999</v>
      </c>
      <c r="E49" s="303" t="s">
        <v>414</v>
      </c>
      <c r="F49" s="303">
        <f>3885580303.96/(10^8)</f>
        <v>38.855803039599998</v>
      </c>
      <c r="G49" s="303">
        <f>69275982.43/(10^8)</f>
        <v>0.69275982430000005</v>
      </c>
      <c r="H49" s="303">
        <f>207901307.16/(10^8)</f>
        <v>2.0790130715999999</v>
      </c>
      <c r="I49" s="303">
        <f>596430430.15/(10^8)</f>
        <v>5.9643043014999995</v>
      </c>
      <c r="J49" s="303" t="s">
        <v>414</v>
      </c>
      <c r="K49" s="303">
        <f>47138621.33/(10^8)</f>
        <v>0.47138621329999997</v>
      </c>
      <c r="L49" s="303">
        <f>4924679086.01/(10^8)</f>
        <v>49.246790860099999</v>
      </c>
      <c r="M49" s="303">
        <f>1046234024.36/(10^8)</f>
        <v>10.4623402436</v>
      </c>
      <c r="N49" s="303">
        <f>161221395.56/(10^8)</f>
        <v>1.6122139555999999</v>
      </c>
      <c r="O49" s="303" t="s">
        <v>414</v>
      </c>
      <c r="P49" s="303">
        <f>3703345923.88/(10^8)</f>
        <v>37.033459238799999</v>
      </c>
      <c r="Q49" s="303">
        <f>77848692.72/(10^8)</f>
        <v>0.77848692720000001</v>
      </c>
      <c r="R49" s="303">
        <f>279268638.76/(10^8)</f>
        <v>2.7926863875999999</v>
      </c>
      <c r="S49" s="303">
        <f>584594362.35/(10^8)</f>
        <v>5.8459436235000002</v>
      </c>
      <c r="T49" s="303" t="s">
        <v>414</v>
      </c>
      <c r="U49" s="303">
        <f>46842466.45/(10^8)</f>
        <v>0.46842466450000003</v>
      </c>
      <c r="V49" s="303">
        <f>4775272787/(10^8)</f>
        <v>47.752727870000001</v>
      </c>
      <c r="W49" s="303">
        <f>775324300.98/(10^8)</f>
        <v>7.7532430098000003</v>
      </c>
      <c r="X49" s="299">
        <v>3.1300000000000001E-2</v>
      </c>
      <c r="Y49" s="271"/>
      <c r="Z49" s="271"/>
      <c r="AA49" s="271"/>
      <c r="AB49" s="271"/>
      <c r="AC49" s="271"/>
      <c r="AD49" s="271"/>
      <c r="AE49" s="271"/>
      <c r="AF49" s="271"/>
      <c r="AG49" s="271"/>
      <c r="AH49" s="271"/>
      <c r="AI49" s="271"/>
      <c r="AJ49" s="271"/>
      <c r="AK49" s="271"/>
      <c r="AL49" s="271"/>
      <c r="AM49" s="271"/>
    </row>
    <row r="50" spans="1:39" ht="14.25" customHeight="1">
      <c r="A50" s="271"/>
      <c r="B50" s="297" t="s">
        <v>963</v>
      </c>
      <c r="C50" s="298" t="s">
        <v>884</v>
      </c>
      <c r="D50" s="303">
        <f>61106702.16/(10^8)</f>
        <v>0.61106702159999993</v>
      </c>
      <c r="E50" s="303" t="s">
        <v>414</v>
      </c>
      <c r="F50" s="303">
        <f>936074181.8/(10^8)</f>
        <v>9.3607418179999993</v>
      </c>
      <c r="G50" s="303">
        <f>0/(10^8)</f>
        <v>0</v>
      </c>
      <c r="H50" s="303">
        <f>2054761.99/(10^8)</f>
        <v>2.0547619900000001E-2</v>
      </c>
      <c r="I50" s="303">
        <f>97513176.42/(10^8)</f>
        <v>0.97513176420000003</v>
      </c>
      <c r="J50" s="303" t="s">
        <v>414</v>
      </c>
      <c r="K50" s="303">
        <f>16161083.24/(10^8)</f>
        <v>0.16161083240000002</v>
      </c>
      <c r="L50" s="303">
        <f>1112909905.61/(10^8)</f>
        <v>11.129099056099999</v>
      </c>
      <c r="M50" s="303">
        <f>956939.99/(10^8)</f>
        <v>9.5693998999999991E-3</v>
      </c>
      <c r="N50" s="303">
        <f>34448629.41/(10^8)</f>
        <v>0.34448629409999998</v>
      </c>
      <c r="O50" s="303" t="s">
        <v>414</v>
      </c>
      <c r="P50" s="303">
        <f>911463041.03/(10^8)</f>
        <v>9.1146304103000002</v>
      </c>
      <c r="Q50" s="303">
        <f>0/(10^8)</f>
        <v>0</v>
      </c>
      <c r="R50" s="303">
        <f>3024703.5/(10^8)</f>
        <v>3.0247034999999999E-2</v>
      </c>
      <c r="S50" s="303">
        <f>50631099.61/(10^8)</f>
        <v>0.50631099609999997</v>
      </c>
      <c r="T50" s="303" t="s">
        <v>414</v>
      </c>
      <c r="U50" s="303">
        <f>6194863.76/(10^8)</f>
        <v>6.1948637599999995E-2</v>
      </c>
      <c r="V50" s="303">
        <f>1005762337.31/(10^8)</f>
        <v>10.0576233731</v>
      </c>
      <c r="W50" s="303">
        <f>1125349.31/(10^8)</f>
        <v>1.1253493100000001E-2</v>
      </c>
      <c r="X50" s="299">
        <v>0.1065</v>
      </c>
      <c r="Y50" s="271"/>
      <c r="Z50" s="271"/>
      <c r="AA50" s="271"/>
      <c r="AB50" s="271"/>
      <c r="AC50" s="271"/>
      <c r="AD50" s="271"/>
      <c r="AE50" s="271"/>
      <c r="AF50" s="271"/>
      <c r="AG50" s="271"/>
      <c r="AH50" s="271"/>
      <c r="AI50" s="271"/>
      <c r="AJ50" s="271"/>
      <c r="AK50" s="271"/>
      <c r="AL50" s="271"/>
      <c r="AM50" s="271"/>
    </row>
    <row r="51" spans="1:39" ht="14.25" customHeight="1">
      <c r="A51" s="271"/>
      <c r="B51" s="297" t="s">
        <v>964</v>
      </c>
      <c r="C51" s="298" t="s">
        <v>885</v>
      </c>
      <c r="D51" s="303">
        <f>29160003.61/(10^8)</f>
        <v>0.29160003610000002</v>
      </c>
      <c r="E51" s="303" t="s">
        <v>414</v>
      </c>
      <c r="F51" s="303">
        <f>169163280.03/(10^8)</f>
        <v>1.6916328003000001</v>
      </c>
      <c r="G51" s="303">
        <f>2166252.88/(10^8)</f>
        <v>2.1662528800000001E-2</v>
      </c>
      <c r="H51" s="303">
        <f>48263950.26/(10^8)</f>
        <v>0.48263950259999999</v>
      </c>
      <c r="I51" s="303">
        <f>81597775.93/(10^8)</f>
        <v>0.81597775930000005</v>
      </c>
      <c r="J51" s="303">
        <f>12497881.18/(10^8)</f>
        <v>0.12497881179999999</v>
      </c>
      <c r="K51" s="303">
        <f>22970403.03/(10^8)</f>
        <v>0.2297040303</v>
      </c>
      <c r="L51" s="303">
        <f>363653294.04/(10^8)</f>
        <v>3.6365329404000004</v>
      </c>
      <c r="M51" s="303">
        <f>128490438.67/(10^8)</f>
        <v>1.2849043867000001</v>
      </c>
      <c r="N51" s="303">
        <f>2318415.04/(10^8)</f>
        <v>2.3184150399999999E-2</v>
      </c>
      <c r="O51" s="303" t="s">
        <v>414</v>
      </c>
      <c r="P51" s="303">
        <f>271278652.3/(10^8)</f>
        <v>2.7127865230000001</v>
      </c>
      <c r="Q51" s="303">
        <f>1254683.98/(10^8)</f>
        <v>1.2546839799999999E-2</v>
      </c>
      <c r="R51" s="303">
        <f>25642087.61/(10^8)</f>
        <v>0.25642087609999997</v>
      </c>
      <c r="S51" s="303">
        <f>113767327.6/(10^8)</f>
        <v>1.1376732759999999</v>
      </c>
      <c r="T51" s="303">
        <f>7729300.03/(10^8)</f>
        <v>7.7293000299999998E-2</v>
      </c>
      <c r="U51" s="303">
        <f>31910483.84/(10^8)</f>
        <v>0.31910483839999998</v>
      </c>
      <c r="V51" s="303">
        <f>452646266.42/(10^8)</f>
        <v>4.5264626642000003</v>
      </c>
      <c r="W51" s="303">
        <f>28283858.29/(10^8)</f>
        <v>0.28283858289999997</v>
      </c>
      <c r="X51" s="299">
        <v>-0.1966</v>
      </c>
      <c r="Y51" s="271"/>
      <c r="Z51" s="271"/>
      <c r="AA51" s="271"/>
      <c r="AB51" s="271"/>
      <c r="AC51" s="271"/>
      <c r="AD51" s="271"/>
      <c r="AE51" s="271"/>
      <c r="AF51" s="271"/>
      <c r="AG51" s="271"/>
      <c r="AH51" s="271"/>
      <c r="AI51" s="271"/>
      <c r="AJ51" s="271"/>
      <c r="AK51" s="271"/>
      <c r="AL51" s="271"/>
      <c r="AM51" s="271"/>
    </row>
    <row r="52" spans="1:39" ht="14.25" customHeight="1">
      <c r="A52" s="271"/>
      <c r="B52" s="297" t="s">
        <v>965</v>
      </c>
      <c r="C52" s="298" t="s">
        <v>886</v>
      </c>
      <c r="D52" s="303">
        <f>60252118.38/(10^8)</f>
        <v>0.60252118380000008</v>
      </c>
      <c r="E52" s="303" t="s">
        <v>414</v>
      </c>
      <c r="F52" s="303">
        <f>2229461734.73/(10^8)</f>
        <v>22.294617347300001</v>
      </c>
      <c r="G52" s="303">
        <f>4826236.3/(10^8)</f>
        <v>4.8262362999999996E-2</v>
      </c>
      <c r="H52" s="303">
        <f>522500156.69/(10^8)</f>
        <v>5.2250015668999996</v>
      </c>
      <c r="I52" s="303">
        <f>298584641.36/(10^8)</f>
        <v>2.9858464136</v>
      </c>
      <c r="J52" s="303">
        <f>270064.1/(10^8)</f>
        <v>2.7006409999999997E-3</v>
      </c>
      <c r="K52" s="303">
        <f>59978747.16/(10^8)</f>
        <v>0.59978747160000001</v>
      </c>
      <c r="L52" s="303">
        <f>3171047462.42/(10^8)</f>
        <v>31.7104746242</v>
      </c>
      <c r="M52" s="303">
        <f>415259486.79/(10^8)</f>
        <v>4.1525948679000004</v>
      </c>
      <c r="N52" s="303">
        <f>57356829.81/(10^8)</f>
        <v>0.57356829809999998</v>
      </c>
      <c r="O52" s="303" t="s">
        <v>414</v>
      </c>
      <c r="P52" s="303">
        <f>1950761529.52/(10^8)</f>
        <v>19.507615295200001</v>
      </c>
      <c r="Q52" s="303">
        <f>5358818.21/(10^8)</f>
        <v>5.3588182099999999E-2</v>
      </c>
      <c r="R52" s="303">
        <f>500661226.1/(10^8)</f>
        <v>5.0066122609999999</v>
      </c>
      <c r="S52" s="303">
        <f>257284826.8/(10^8)</f>
        <v>2.572848268</v>
      </c>
      <c r="T52" s="303">
        <f>730439.32/(10^8)</f>
        <v>7.3043931999999994E-3</v>
      </c>
      <c r="U52" s="303">
        <f>54520280.28/(10^8)</f>
        <v>0.5452028028</v>
      </c>
      <c r="V52" s="303">
        <f>2821315131.83/(10^8)</f>
        <v>28.2131513183</v>
      </c>
      <c r="W52" s="303">
        <f>395201532.74/(10^8)</f>
        <v>3.9520153274000003</v>
      </c>
      <c r="X52" s="299">
        <v>0.124</v>
      </c>
      <c r="Y52" s="271"/>
      <c r="Z52" s="271"/>
      <c r="AA52" s="271"/>
      <c r="AB52" s="271"/>
      <c r="AC52" s="271"/>
      <c r="AD52" s="271"/>
      <c r="AE52" s="271"/>
      <c r="AF52" s="271"/>
      <c r="AG52" s="271"/>
      <c r="AH52" s="271"/>
      <c r="AI52" s="271"/>
      <c r="AJ52" s="271"/>
      <c r="AK52" s="271"/>
      <c r="AL52" s="271"/>
      <c r="AM52" s="271"/>
    </row>
    <row r="53" spans="1:39" ht="14.25" customHeight="1">
      <c r="A53" s="271"/>
      <c r="B53" s="297" t="s">
        <v>966</v>
      </c>
      <c r="C53" s="298" t="s">
        <v>887</v>
      </c>
      <c r="D53" s="303">
        <f>659547.33/(10^8)</f>
        <v>6.5954732999999998E-3</v>
      </c>
      <c r="E53" s="303" t="s">
        <v>414</v>
      </c>
      <c r="F53" s="303">
        <f>21980698.96/(10^8)</f>
        <v>0.2198069896</v>
      </c>
      <c r="G53" s="303">
        <f>25831.86/(10^8)</f>
        <v>2.5831859999999999E-4</v>
      </c>
      <c r="H53" s="303">
        <f>27462.77/(10^8)</f>
        <v>2.7462770000000002E-4</v>
      </c>
      <c r="I53" s="303">
        <f>2643639.54/(10^8)</f>
        <v>2.64363954E-2</v>
      </c>
      <c r="J53" s="303" t="s">
        <v>414</v>
      </c>
      <c r="K53" s="303" t="s">
        <v>414</v>
      </c>
      <c r="L53" s="303">
        <f>25311348.6/(10^8)</f>
        <v>0.253113486</v>
      </c>
      <c r="M53" s="303">
        <f>15398.96/(10^8)</f>
        <v>1.5398959999999998E-4</v>
      </c>
      <c r="N53" s="303">
        <f>473318.79/(10^8)</f>
        <v>4.7331878999999997E-3</v>
      </c>
      <c r="O53" s="303" t="s">
        <v>414</v>
      </c>
      <c r="P53" s="303">
        <f>14116632.97/(10^8)</f>
        <v>0.14116632970000001</v>
      </c>
      <c r="Q53" s="303">
        <f>6130.6/(10^8)</f>
        <v>6.1305999999999999E-5</v>
      </c>
      <c r="R53" s="303">
        <f>3849779.22/(10^8)</f>
        <v>3.8497792199999999E-2</v>
      </c>
      <c r="S53" s="303">
        <f>-4256363.7/(10^8)</f>
        <v>-4.2563637000000001E-2</v>
      </c>
      <c r="T53" s="303" t="s">
        <v>414</v>
      </c>
      <c r="U53" s="303" t="s">
        <v>414</v>
      </c>
      <c r="V53" s="303">
        <f>14183367.28/(10^8)</f>
        <v>0.1418336728</v>
      </c>
      <c r="W53" s="303">
        <f>650377.17/(10^8)</f>
        <v>6.5037717E-3</v>
      </c>
      <c r="X53" s="299">
        <v>0.78459999999999996</v>
      </c>
      <c r="Y53" s="271"/>
      <c r="Z53" s="271"/>
      <c r="AA53" s="271"/>
      <c r="AB53" s="271"/>
      <c r="AC53" s="271"/>
      <c r="AD53" s="271"/>
      <c r="AE53" s="271"/>
      <c r="AF53" s="271"/>
      <c r="AG53" s="271"/>
      <c r="AH53" s="271"/>
      <c r="AI53" s="271"/>
      <c r="AJ53" s="271"/>
      <c r="AK53" s="271"/>
      <c r="AL53" s="271"/>
      <c r="AM53" s="271"/>
    </row>
    <row r="54" spans="1:39" ht="14.25" customHeight="1">
      <c r="A54" s="271"/>
      <c r="B54" s="297" t="s">
        <v>967</v>
      </c>
      <c r="C54" s="298" t="s">
        <v>888</v>
      </c>
      <c r="D54" s="303">
        <f>-286917.22/(10^8)</f>
        <v>-2.8691721999999998E-3</v>
      </c>
      <c r="E54" s="303" t="s">
        <v>414</v>
      </c>
      <c r="F54" s="303">
        <f>17225674.61/(10^8)</f>
        <v>0.1722567461</v>
      </c>
      <c r="G54" s="303">
        <f>44054020.8/(10^8)</f>
        <v>0.44054020799999999</v>
      </c>
      <c r="H54" s="303">
        <f>3606939.49/(10^8)</f>
        <v>3.6069394900000003E-2</v>
      </c>
      <c r="I54" s="303">
        <f>11400114.58/(10^8)</f>
        <v>0.11400114579999999</v>
      </c>
      <c r="J54" s="303" t="s">
        <v>414</v>
      </c>
      <c r="K54" s="303">
        <f>4498593.49/(10^8)</f>
        <v>4.4985934900000003E-2</v>
      </c>
      <c r="L54" s="303">
        <f>36444404.95/(10^8)</f>
        <v>0.36444404950000003</v>
      </c>
      <c r="M54" s="303">
        <f>2452541.6/(10^8)</f>
        <v>2.4525416000000001E-2</v>
      </c>
      <c r="N54" s="303">
        <f>294310.88/(10^8)</f>
        <v>2.9431088000000001E-3</v>
      </c>
      <c r="O54" s="303" t="s">
        <v>414</v>
      </c>
      <c r="P54" s="303">
        <f>46605184.88/(10^8)</f>
        <v>0.4660518488</v>
      </c>
      <c r="Q54" s="303">
        <f>2997093.53/(10^8)</f>
        <v>2.9970935299999998E-2</v>
      </c>
      <c r="R54" s="303">
        <f>7067435.96/(10^8)</f>
        <v>7.06743596E-2</v>
      </c>
      <c r="S54" s="303">
        <f>8327079.39/(10^8)</f>
        <v>8.3270793900000001E-2</v>
      </c>
      <c r="T54" s="303" t="s">
        <v>414</v>
      </c>
      <c r="U54" s="303">
        <f>4406445.01/(10^8)</f>
        <v>4.4064450099999999E-2</v>
      </c>
      <c r="V54" s="303">
        <f>66700456.12/(10^8)</f>
        <v>0.66700456119999996</v>
      </c>
      <c r="W54" s="303">
        <f>6223108.05/(10^8)</f>
        <v>6.2231080500000001E-2</v>
      </c>
      <c r="X54" s="299">
        <v>-0.4536</v>
      </c>
      <c r="Y54" s="271"/>
      <c r="Z54" s="271"/>
      <c r="AA54" s="271"/>
      <c r="AB54" s="271"/>
      <c r="AC54" s="271"/>
      <c r="AD54" s="271"/>
      <c r="AE54" s="271"/>
      <c r="AF54" s="271"/>
      <c r="AG54" s="271"/>
      <c r="AH54" s="271"/>
      <c r="AI54" s="271"/>
      <c r="AJ54" s="271"/>
      <c r="AK54" s="271"/>
      <c r="AL54" s="271"/>
      <c r="AM54" s="271"/>
    </row>
    <row r="55" spans="1:39" ht="14.25" customHeight="1">
      <c r="A55" s="271"/>
      <c r="B55" s="297" t="s">
        <v>968</v>
      </c>
      <c r="C55" s="298" t="s">
        <v>889</v>
      </c>
      <c r="D55" s="303">
        <f>2004913.86/(10^8)</f>
        <v>2.0049138600000002E-2</v>
      </c>
      <c r="E55" s="303" t="s">
        <v>414</v>
      </c>
      <c r="F55" s="303">
        <f>210973169.17/(10^8)</f>
        <v>2.1097316917</v>
      </c>
      <c r="G55" s="303">
        <f>5734040.68/(10^8)</f>
        <v>5.73404068E-2</v>
      </c>
      <c r="H55" s="303">
        <f>1701240560.91/(10^8)</f>
        <v>17.0124056091</v>
      </c>
      <c r="I55" s="303">
        <f>-3793130.75/(10^8)</f>
        <v>-3.7931307499999997E-2</v>
      </c>
      <c r="J55" s="303" t="s">
        <v>414</v>
      </c>
      <c r="K55" s="303" t="s">
        <v>414</v>
      </c>
      <c r="L55" s="303">
        <f>1910425513.19/(10^8)</f>
        <v>19.1042551319</v>
      </c>
      <c r="M55" s="303">
        <f>1382508797.86/(10^8)</f>
        <v>13.825087978599999</v>
      </c>
      <c r="N55" s="303">
        <f>588763.01/(10^8)</f>
        <v>5.8876301000000001E-3</v>
      </c>
      <c r="O55" s="303" t="s">
        <v>414</v>
      </c>
      <c r="P55" s="303">
        <f>109871621.87/(10^8)</f>
        <v>1.0987162187000001</v>
      </c>
      <c r="Q55" s="303">
        <f>6575474.6/(10^8)</f>
        <v>6.5754746000000003E-2</v>
      </c>
      <c r="R55" s="303">
        <f>884881924.86/(10^8)</f>
        <v>8.8488192485999999</v>
      </c>
      <c r="S55" s="303">
        <f>3459915.87/(10^8)</f>
        <v>3.45991587E-2</v>
      </c>
      <c r="T55" s="303" t="s">
        <v>414</v>
      </c>
      <c r="U55" s="303" t="s">
        <v>414</v>
      </c>
      <c r="V55" s="303">
        <f>998802225.61/(10^8)</f>
        <v>9.9880222561000007</v>
      </c>
      <c r="W55" s="303">
        <f>718910405.38/(10^8)</f>
        <v>7.1891040538000004</v>
      </c>
      <c r="X55" s="299">
        <v>0.91269999999999996</v>
      </c>
      <c r="Y55" s="271"/>
      <c r="Z55" s="271"/>
      <c r="AA55" s="271"/>
      <c r="AB55" s="271"/>
      <c r="AC55" s="271"/>
      <c r="AD55" s="271"/>
      <c r="AE55" s="271"/>
      <c r="AF55" s="271"/>
      <c r="AG55" s="271"/>
      <c r="AH55" s="271"/>
      <c r="AI55" s="271"/>
      <c r="AJ55" s="271"/>
      <c r="AK55" s="271"/>
      <c r="AL55" s="271"/>
      <c r="AM55" s="271"/>
    </row>
    <row r="56" spans="1:39" ht="14.25" customHeight="1">
      <c r="A56" s="271"/>
      <c r="B56" s="297" t="s">
        <v>969</v>
      </c>
      <c r="C56" s="298" t="s">
        <v>890</v>
      </c>
      <c r="D56" s="303">
        <f>53881919.13/(10^8)</f>
        <v>0.5388191913</v>
      </c>
      <c r="E56" s="303" t="s">
        <v>414</v>
      </c>
      <c r="F56" s="303">
        <f>742943025.22/(10^8)</f>
        <v>7.4294302522000004</v>
      </c>
      <c r="G56" s="303">
        <f>10459435.83/(10^8)</f>
        <v>0.1045943583</v>
      </c>
      <c r="H56" s="303">
        <f>48257505.86/(10^8)</f>
        <v>0.4825750586</v>
      </c>
      <c r="I56" s="303" t="s">
        <v>414</v>
      </c>
      <c r="J56" s="303" t="s">
        <v>414</v>
      </c>
      <c r="K56" s="303" t="s">
        <v>414</v>
      </c>
      <c r="L56" s="303">
        <f>845082450.21/(10^8)</f>
        <v>8.4508245020999997</v>
      </c>
      <c r="M56" s="303">
        <f>47436290.74/(10^8)</f>
        <v>0.47436290740000003</v>
      </c>
      <c r="N56" s="303">
        <f>41856594.51/(10^8)</f>
        <v>0.4185659451</v>
      </c>
      <c r="O56" s="303" t="s">
        <v>414</v>
      </c>
      <c r="P56" s="303">
        <f>587796985.5/(10^8)</f>
        <v>5.8779698549999999</v>
      </c>
      <c r="Q56" s="303">
        <f>16434205.15/(10^8)</f>
        <v>0.1643420515</v>
      </c>
      <c r="R56" s="303">
        <f>68388369.32/(10^8)</f>
        <v>0.68388369319999998</v>
      </c>
      <c r="S56" s="303" t="s">
        <v>414</v>
      </c>
      <c r="T56" s="303" t="s">
        <v>414</v>
      </c>
      <c r="U56" s="303" t="s">
        <v>414</v>
      </c>
      <c r="V56" s="303">
        <f>698041949.33/(10^8)</f>
        <v>6.9804194933000003</v>
      </c>
      <c r="W56" s="303">
        <f>69254888.15/(10^8)</f>
        <v>0.69254888150000005</v>
      </c>
      <c r="X56" s="299">
        <v>0.21060000000000001</v>
      </c>
      <c r="Y56" s="271"/>
      <c r="Z56" s="271"/>
      <c r="AA56" s="271"/>
      <c r="AB56" s="271"/>
      <c r="AC56" s="271"/>
      <c r="AD56" s="271"/>
      <c r="AE56" s="271"/>
      <c r="AF56" s="271"/>
      <c r="AG56" s="271"/>
      <c r="AH56" s="271"/>
      <c r="AI56" s="271"/>
      <c r="AJ56" s="271"/>
      <c r="AK56" s="271"/>
      <c r="AL56" s="271"/>
      <c r="AM56" s="271"/>
    </row>
    <row r="57" spans="1:39" ht="14.25" customHeight="1">
      <c r="A57" s="271"/>
      <c r="B57" s="297" t="s">
        <v>970</v>
      </c>
      <c r="C57" s="298" t="s">
        <v>891</v>
      </c>
      <c r="D57" s="303">
        <f>5134637.98/(10^8)</f>
        <v>5.1346379800000001E-2</v>
      </c>
      <c r="E57" s="303" t="s">
        <v>414</v>
      </c>
      <c r="F57" s="303">
        <f>199287965.87/(10^8)</f>
        <v>1.9928796586999999</v>
      </c>
      <c r="G57" s="303">
        <f>2520444.86/(10^8)</f>
        <v>2.5204448599999998E-2</v>
      </c>
      <c r="H57" s="303">
        <f>1000305.38/(10^8)</f>
        <v>1.00030538E-2</v>
      </c>
      <c r="I57" s="303">
        <f>9763684.56/(10^8)</f>
        <v>9.7636845600000008E-2</v>
      </c>
      <c r="J57" s="303">
        <f>0/(10^8)</f>
        <v>0</v>
      </c>
      <c r="K57" s="303" t="s">
        <v>414</v>
      </c>
      <c r="L57" s="303">
        <f>215186593.79/(10^8)</f>
        <v>2.1518659378999998</v>
      </c>
      <c r="M57" s="303">
        <f>755910.28/(10^8)</f>
        <v>7.5591028000000001E-3</v>
      </c>
      <c r="N57" s="303">
        <f>5549609.6/(10^8)</f>
        <v>5.5496095999999995E-2</v>
      </c>
      <c r="O57" s="303" t="s">
        <v>414</v>
      </c>
      <c r="P57" s="303">
        <f>165283144.01/(10^8)</f>
        <v>1.6528314400999999</v>
      </c>
      <c r="Q57" s="303">
        <f>3177371.83/(10^8)</f>
        <v>3.1773718300000003E-2</v>
      </c>
      <c r="R57" s="303">
        <f>1093071.06/(10^8)</f>
        <v>1.0930710600000001E-2</v>
      </c>
      <c r="S57" s="303">
        <f>9170874.98/(10^8)</f>
        <v>9.1708749800000003E-2</v>
      </c>
      <c r="T57" s="303">
        <f>0/(10^8)</f>
        <v>0</v>
      </c>
      <c r="U57" s="303" t="s">
        <v>414</v>
      </c>
      <c r="V57" s="303">
        <f>181096699.65/(10^8)</f>
        <v>1.8109669965000001</v>
      </c>
      <c r="W57" s="303">
        <f>938696.92/(10^8)</f>
        <v>9.3869692000000012E-3</v>
      </c>
      <c r="X57" s="299">
        <v>0.18820000000000001</v>
      </c>
      <c r="Y57" s="271"/>
      <c r="Z57" s="271"/>
      <c r="AA57" s="271"/>
      <c r="AB57" s="271"/>
      <c r="AC57" s="271"/>
      <c r="AD57" s="271"/>
      <c r="AE57" s="271"/>
      <c r="AF57" s="271"/>
      <c r="AG57" s="271"/>
      <c r="AH57" s="271"/>
      <c r="AI57" s="271"/>
      <c r="AJ57" s="271"/>
      <c r="AK57" s="271"/>
      <c r="AL57" s="271"/>
      <c r="AM57" s="271"/>
    </row>
    <row r="58" spans="1:39" ht="14.25" customHeight="1">
      <c r="A58" s="271"/>
      <c r="B58" s="297" t="s">
        <v>971</v>
      </c>
      <c r="C58" s="298" t="s">
        <v>892</v>
      </c>
      <c r="D58" s="303">
        <f>13314502.79/(10^8)</f>
        <v>0.13314502789999999</v>
      </c>
      <c r="E58" s="303" t="s">
        <v>414</v>
      </c>
      <c r="F58" s="303">
        <f>261326000.31/(10^8)</f>
        <v>2.6132600031000002</v>
      </c>
      <c r="G58" s="303">
        <f>29175998.43/(10^8)</f>
        <v>0.2917599843</v>
      </c>
      <c r="H58" s="303">
        <f>81157128.86/(10^8)</f>
        <v>0.81157128859999994</v>
      </c>
      <c r="I58" s="303">
        <f>27850875.44/(10^8)</f>
        <v>0.2785087544</v>
      </c>
      <c r="J58" s="303" t="s">
        <v>414</v>
      </c>
      <c r="K58" s="303">
        <f>967936.45/(10^8)</f>
        <v>9.6793644999999991E-3</v>
      </c>
      <c r="L58" s="303">
        <f>384616443.85/(10^8)</f>
        <v>3.8461644385000002</v>
      </c>
      <c r="M58" s="303">
        <f>80355095.41/(10^8)</f>
        <v>0.80355095409999999</v>
      </c>
      <c r="N58" s="303">
        <f>13305556.4/(10^8)</f>
        <v>0.13305556400000002</v>
      </c>
      <c r="O58" s="303" t="s">
        <v>414</v>
      </c>
      <c r="P58" s="303">
        <f>239077174.72/(10^8)</f>
        <v>2.3907717472000001</v>
      </c>
      <c r="Q58" s="303">
        <f>27327702.96/(10^8)</f>
        <v>0.2732770296</v>
      </c>
      <c r="R58" s="303">
        <f>72751586.67/(10^8)</f>
        <v>0.72751586670000001</v>
      </c>
      <c r="S58" s="303">
        <f>25894141.04/(10^8)</f>
        <v>0.25894141040000002</v>
      </c>
      <c r="T58" s="303" t="s">
        <v>414</v>
      </c>
      <c r="U58" s="303">
        <f>591923.44/(10^8)</f>
        <v>5.919234399999999E-3</v>
      </c>
      <c r="V58" s="303">
        <f>351620382.27/(10^8)</f>
        <v>3.5162038226999996</v>
      </c>
      <c r="W58" s="303">
        <f>72089170.02/(10^8)</f>
        <v>0.72089170019999993</v>
      </c>
      <c r="X58" s="299">
        <v>9.3799999999999994E-2</v>
      </c>
      <c r="Y58" s="271"/>
      <c r="Z58" s="271"/>
      <c r="AA58" s="271"/>
      <c r="AB58" s="271"/>
      <c r="AC58" s="271"/>
      <c r="AD58" s="271"/>
      <c r="AE58" s="271"/>
      <c r="AF58" s="271"/>
      <c r="AG58" s="271"/>
      <c r="AH58" s="271"/>
      <c r="AI58" s="271"/>
      <c r="AJ58" s="271"/>
      <c r="AK58" s="271"/>
      <c r="AL58" s="271"/>
      <c r="AM58" s="271"/>
    </row>
    <row r="59" spans="1:39" ht="14.25" customHeight="1">
      <c r="A59" s="271"/>
      <c r="B59" s="297" t="s">
        <v>972</v>
      </c>
      <c r="C59" s="298" t="s">
        <v>893</v>
      </c>
      <c r="D59" s="303">
        <f>670039.61/(10^8)</f>
        <v>6.7003960999999996E-3</v>
      </c>
      <c r="E59" s="303" t="s">
        <v>414</v>
      </c>
      <c r="F59" s="303">
        <f>139201672.82/(10^8)</f>
        <v>1.3920167282</v>
      </c>
      <c r="G59" s="303">
        <f>4389/(10^8)</f>
        <v>4.3890000000000002E-5</v>
      </c>
      <c r="H59" s="303">
        <f>217093.98/(10^8)</f>
        <v>2.1709398E-3</v>
      </c>
      <c r="I59" s="303" t="s">
        <v>414</v>
      </c>
      <c r="J59" s="303" t="s">
        <v>414</v>
      </c>
      <c r="K59" s="303" t="s">
        <v>414</v>
      </c>
      <c r="L59" s="303">
        <f>140088806.41/(10^8)</f>
        <v>1.4008880640999999</v>
      </c>
      <c r="M59" s="303">
        <f>217093.98/(10^8)</f>
        <v>2.1709398E-3</v>
      </c>
      <c r="N59" s="303">
        <f>485628.82/(10^8)</f>
        <v>4.8562882000000003E-3</v>
      </c>
      <c r="O59" s="303" t="s">
        <v>414</v>
      </c>
      <c r="P59" s="303">
        <f>98985971.98/(10^8)</f>
        <v>0.98985971980000009</v>
      </c>
      <c r="Q59" s="303">
        <f>401496.95/(10^8)</f>
        <v>4.0149694999999999E-3</v>
      </c>
      <c r="R59" s="303">
        <f>3388444.9/(10^8)</f>
        <v>3.3884448999999997E-2</v>
      </c>
      <c r="S59" s="303" t="s">
        <v>414</v>
      </c>
      <c r="T59" s="303" t="s">
        <v>414</v>
      </c>
      <c r="U59" s="303" t="s">
        <v>414</v>
      </c>
      <c r="V59" s="303">
        <f>102860045.7/(10^8)</f>
        <v>1.028600457</v>
      </c>
      <c r="W59" s="303">
        <f>3388444.9/(10^8)</f>
        <v>3.3884448999999997E-2</v>
      </c>
      <c r="X59" s="299">
        <v>0.3619</v>
      </c>
      <c r="Y59" s="271"/>
      <c r="Z59" s="271"/>
      <c r="AA59" s="271"/>
      <c r="AB59" s="271"/>
      <c r="AC59" s="271"/>
      <c r="AD59" s="271"/>
      <c r="AE59" s="271"/>
      <c r="AF59" s="271"/>
      <c r="AG59" s="271"/>
      <c r="AH59" s="271"/>
      <c r="AI59" s="271"/>
      <c r="AJ59" s="271"/>
      <c r="AK59" s="271"/>
      <c r="AL59" s="271"/>
      <c r="AM59" s="271"/>
    </row>
    <row r="60" spans="1:39" ht="14.25" customHeight="1">
      <c r="A60" s="271"/>
      <c r="B60" s="297" t="s">
        <v>973</v>
      </c>
      <c r="C60" s="298" t="s">
        <v>894</v>
      </c>
      <c r="D60" s="303">
        <f>0/(10^8)</f>
        <v>0</v>
      </c>
      <c r="E60" s="303" t="s">
        <v>414</v>
      </c>
      <c r="F60" s="303">
        <f>3187783519.36/(10^8)</f>
        <v>31.877835193600003</v>
      </c>
      <c r="G60" s="303">
        <f>650335832.77/(10^8)</f>
        <v>6.5033583277</v>
      </c>
      <c r="H60" s="303" t="s">
        <v>414</v>
      </c>
      <c r="I60" s="303" t="s">
        <v>414</v>
      </c>
      <c r="J60" s="303" t="s">
        <v>414</v>
      </c>
      <c r="K60" s="303" t="s">
        <v>414</v>
      </c>
      <c r="L60" s="303">
        <f>3187783519.36/(10^8)</f>
        <v>31.877835193600003</v>
      </c>
      <c r="M60" s="303" t="s">
        <v>414</v>
      </c>
      <c r="N60" s="303">
        <f>0/(10^8)</f>
        <v>0</v>
      </c>
      <c r="O60" s="303" t="s">
        <v>414</v>
      </c>
      <c r="P60" s="303">
        <f>2987389774.16/(10^8)</f>
        <v>29.873897741599997</v>
      </c>
      <c r="Q60" s="303">
        <f>877373836.82/(10^8)</f>
        <v>8.7737383682000001</v>
      </c>
      <c r="R60" s="303" t="s">
        <v>414</v>
      </c>
      <c r="S60" s="303" t="s">
        <v>414</v>
      </c>
      <c r="T60" s="303" t="s">
        <v>414</v>
      </c>
      <c r="U60" s="303" t="s">
        <v>414</v>
      </c>
      <c r="V60" s="303">
        <f>2987389774.16/(10^8)</f>
        <v>29.873897741599997</v>
      </c>
      <c r="W60" s="303" t="s">
        <v>414</v>
      </c>
      <c r="X60" s="299">
        <v>6.7100000000000007E-2</v>
      </c>
      <c r="Y60" s="271"/>
      <c r="Z60" s="271"/>
      <c r="AA60" s="271"/>
      <c r="AB60" s="271"/>
      <c r="AC60" s="271"/>
      <c r="AD60" s="271"/>
      <c r="AE60" s="271"/>
      <c r="AF60" s="271"/>
      <c r="AG60" s="271"/>
      <c r="AH60" s="271"/>
      <c r="AI60" s="271"/>
      <c r="AJ60" s="271"/>
      <c r="AK60" s="271"/>
      <c r="AL60" s="271"/>
      <c r="AM60" s="271"/>
    </row>
    <row r="61" spans="1:39" ht="14.25" customHeight="1">
      <c r="A61" s="271"/>
      <c r="B61" s="297" t="s">
        <v>974</v>
      </c>
      <c r="C61" s="298" t="s">
        <v>895</v>
      </c>
      <c r="D61" s="303">
        <f>287619292.02/(10^8)</f>
        <v>2.8761929201999998</v>
      </c>
      <c r="E61" s="303" t="s">
        <v>414</v>
      </c>
      <c r="F61" s="303">
        <f>10389606040.35/(10^8)</f>
        <v>103.8960604035</v>
      </c>
      <c r="G61" s="303">
        <f>92936876.14/(10^8)</f>
        <v>0.92936876140000002</v>
      </c>
      <c r="H61" s="303">
        <f>566891223.88/(10^8)</f>
        <v>5.6689122387999999</v>
      </c>
      <c r="I61" s="303">
        <f>290940773.44/(10^8)</f>
        <v>2.9094077343999998</v>
      </c>
      <c r="J61" s="303">
        <f>63251286.99/(10^8)</f>
        <v>0.6325128699</v>
      </c>
      <c r="K61" s="303">
        <f>90146772.69/(10^8)</f>
        <v>0.90146772689999999</v>
      </c>
      <c r="L61" s="303">
        <f>11688455389.37/(10^8)</f>
        <v>116.8845538937</v>
      </c>
      <c r="M61" s="303">
        <f>515572598.59/(10^8)</f>
        <v>5.1557259858999993</v>
      </c>
      <c r="N61" s="303">
        <f>271931756.76/(10^8)</f>
        <v>2.7193175676000001</v>
      </c>
      <c r="O61" s="303" t="s">
        <v>414</v>
      </c>
      <c r="P61" s="303">
        <f>9774640078.63/(10^8)</f>
        <v>97.746400786299986</v>
      </c>
      <c r="Q61" s="303">
        <f>263536364.96/(10^8)</f>
        <v>2.6353636495999999</v>
      </c>
      <c r="R61" s="303">
        <f>521707241.26/(10^8)</f>
        <v>5.2170724126000003</v>
      </c>
      <c r="S61" s="303">
        <f>273009213.5/(10^8)</f>
        <v>2.730092135</v>
      </c>
      <c r="T61" s="303">
        <f>55186732.22/(10^8)</f>
        <v>0.55186732220000001</v>
      </c>
      <c r="U61" s="303">
        <f>77200143.52/(10^8)</f>
        <v>0.77200143519999997</v>
      </c>
      <c r="V61" s="303">
        <f>10973675165.89/(10^8)</f>
        <v>109.73675165889999</v>
      </c>
      <c r="W61" s="303">
        <f>472021357.5/(10^8)</f>
        <v>4.7202135749999998</v>
      </c>
      <c r="X61" s="299">
        <v>6.5100000000000005E-2</v>
      </c>
      <c r="Y61" s="271"/>
      <c r="Z61" s="271"/>
      <c r="AA61" s="271"/>
      <c r="AB61" s="271"/>
      <c r="AC61" s="271"/>
      <c r="AD61" s="271"/>
      <c r="AE61" s="271"/>
      <c r="AF61" s="271"/>
      <c r="AG61" s="271"/>
      <c r="AH61" s="271"/>
      <c r="AI61" s="271"/>
      <c r="AJ61" s="271"/>
      <c r="AK61" s="271"/>
      <c r="AL61" s="271"/>
      <c r="AM61" s="271"/>
    </row>
    <row r="62" spans="1:39" ht="14.25" customHeight="1">
      <c r="A62" s="271"/>
      <c r="B62" s="297" t="s">
        <v>64</v>
      </c>
      <c r="C62" s="298" t="s">
        <v>896</v>
      </c>
      <c r="D62" s="303">
        <f>150955799.37/(10^8)</f>
        <v>1.5095579937000001</v>
      </c>
      <c r="E62" s="303" t="s">
        <v>414</v>
      </c>
      <c r="F62" s="303">
        <f>5590945013.13/(10^8)</f>
        <v>55.909450131299998</v>
      </c>
      <c r="G62" s="303">
        <f>107009869.12/(10^8)</f>
        <v>1.0700986912000001</v>
      </c>
      <c r="H62" s="303">
        <f>11050973869.42/(10^8)</f>
        <v>110.5097386942</v>
      </c>
      <c r="I62" s="303">
        <f>243776570.81/(10^8)</f>
        <v>2.4377657081000002</v>
      </c>
      <c r="J62" s="303">
        <f>3324141479.62/(10^8)</f>
        <v>33.241414796199997</v>
      </c>
      <c r="K62" s="303">
        <f>314812412.1/(10^8)</f>
        <v>3.1481241210000004</v>
      </c>
      <c r="L62" s="303">
        <f>20675605144.45/(10^8)</f>
        <v>206.7560514445</v>
      </c>
      <c r="M62" s="303">
        <f>28929901373.1/(10^8)</f>
        <v>289.299013731</v>
      </c>
      <c r="N62" s="303">
        <f>130812851.64/(10^8)</f>
        <v>1.3081285164000001</v>
      </c>
      <c r="O62" s="303" t="s">
        <v>414</v>
      </c>
      <c r="P62" s="303">
        <f>5195321082.81/(10^8)</f>
        <v>51.953210828100005</v>
      </c>
      <c r="Q62" s="303">
        <f>634789612.92/(10^8)</f>
        <v>6.3478961291999996</v>
      </c>
      <c r="R62" s="303">
        <f>7059425855.52/(10^8)</f>
        <v>70.5942585552</v>
      </c>
      <c r="S62" s="303">
        <f>38983512.54/(10^8)</f>
        <v>0.38983512539999998</v>
      </c>
      <c r="T62" s="303">
        <f>2156642468.35/(10^8)</f>
        <v>21.566424683499999</v>
      </c>
      <c r="U62" s="303">
        <f>327471741.41/(10^8)</f>
        <v>3.2747174141000004</v>
      </c>
      <c r="V62" s="303">
        <f>14908657512.27/(10^8)</f>
        <v>149.0865751227</v>
      </c>
      <c r="W62" s="303">
        <f>16734579956.95/(10^8)</f>
        <v>167.3457995695</v>
      </c>
      <c r="X62" s="299">
        <v>0.38679999999999998</v>
      </c>
      <c r="Y62" s="271"/>
      <c r="Z62" s="271"/>
      <c r="AA62" s="271"/>
      <c r="AB62" s="271"/>
      <c r="AC62" s="271"/>
      <c r="AD62" s="271"/>
      <c r="AE62" s="271"/>
      <c r="AF62" s="271"/>
      <c r="AG62" s="271"/>
      <c r="AH62" s="271"/>
      <c r="AI62" s="271"/>
      <c r="AJ62" s="271"/>
      <c r="AK62" s="271"/>
      <c r="AL62" s="271"/>
      <c r="AM62" s="271"/>
    </row>
    <row r="63" spans="1:39" ht="14.25" customHeight="1">
      <c r="A63" s="271"/>
      <c r="B63" s="300" t="s">
        <v>975</v>
      </c>
      <c r="C63" s="298" t="s">
        <v>897</v>
      </c>
      <c r="D63" s="303">
        <f>18142296026/(10^8)</f>
        <v>181.42296026</v>
      </c>
      <c r="E63" s="303">
        <f>1224356581473.4/(10^8)</f>
        <v>12243.565814733998</v>
      </c>
      <c r="F63" s="303">
        <f>643996773003.03/(10^8)</f>
        <v>6439.9677300303001</v>
      </c>
      <c r="G63" s="303">
        <f>56465786606.31/(10^8)</f>
        <v>564.65786606309996</v>
      </c>
      <c r="H63" s="303">
        <f>64711883004.43/(10^8)</f>
        <v>647.11883004430001</v>
      </c>
      <c r="I63" s="303">
        <f>14038785542.38/(10^8)</f>
        <v>140.3878554238</v>
      </c>
      <c r="J63" s="303">
        <f>6098418755.78/(10^8)</f>
        <v>60.984187557799999</v>
      </c>
      <c r="K63" s="303">
        <f>4055822393.94/(10^8)</f>
        <v>40.558223939400001</v>
      </c>
      <c r="L63" s="303">
        <f>1975400560198.96/(10^8)</f>
        <v>19754.0056019896</v>
      </c>
      <c r="M63" s="303">
        <f>60961467065.35/(10^8)</f>
        <v>609.61467065349996</v>
      </c>
      <c r="N63" s="303">
        <f>17132037031.51/(10^8)</f>
        <v>171.32037031510001</v>
      </c>
      <c r="O63" s="303">
        <f>1257183973374.47/(10^8)</f>
        <v>12571.8397337447</v>
      </c>
      <c r="P63" s="303">
        <f>605429825478.71/(10^8)</f>
        <v>6054.2982547870997</v>
      </c>
      <c r="Q63" s="303">
        <f>56272788548.61/(10^8)</f>
        <v>562.72788548610004</v>
      </c>
      <c r="R63" s="303">
        <f>52451012031.03/(10^8)</f>
        <v>524.51012031029995</v>
      </c>
      <c r="S63" s="303">
        <f>12834121653.96/(10^8)</f>
        <v>128.3412165396</v>
      </c>
      <c r="T63" s="303">
        <f>4917459633.52/(10^8)</f>
        <v>49.174596335200008</v>
      </c>
      <c r="U63" s="303">
        <f>3989483693.63/(10^8)</f>
        <v>39.894836936300003</v>
      </c>
      <c r="V63" s="303">
        <f>1953937912896.83/(10^8)</f>
        <v>19539.379128968299</v>
      </c>
      <c r="W63" s="303">
        <f>47606216238.31/(10^8)</f>
        <v>476.06216238309997</v>
      </c>
      <c r="X63" s="299">
        <v>1.0999999999999999E-2</v>
      </c>
      <c r="Y63" s="271"/>
      <c r="Z63" s="271"/>
      <c r="AA63" s="271"/>
      <c r="AB63" s="271"/>
      <c r="AC63" s="271"/>
      <c r="AD63" s="271"/>
      <c r="AE63" s="271"/>
      <c r="AF63" s="271"/>
      <c r="AG63" s="271"/>
      <c r="AH63" s="271"/>
      <c r="AI63" s="271"/>
      <c r="AJ63" s="271"/>
      <c r="AK63" s="271"/>
      <c r="AL63" s="271"/>
      <c r="AM63" s="271"/>
    </row>
    <row r="64" spans="1:39" ht="14.25" customHeight="1">
      <c r="A64" s="271"/>
      <c r="B64" s="301" t="s">
        <v>976</v>
      </c>
      <c r="C64" s="298" t="s">
        <v>898</v>
      </c>
      <c r="D64" s="303">
        <f>3344906172.73/(10^8)</f>
        <v>33.449061727299998</v>
      </c>
      <c r="E64" s="303" t="s">
        <v>414</v>
      </c>
      <c r="F64" s="303">
        <f>165844551733.82/(10^8)</f>
        <v>1658.4455173382</v>
      </c>
      <c r="G64" s="303">
        <f>20096184620.6/(10^8)</f>
        <v>200.96184620599999</v>
      </c>
      <c r="H64" s="303">
        <f>47437291558.6/(10^8)</f>
        <v>474.37291558599998</v>
      </c>
      <c r="I64" s="303">
        <f>6641603179.17/(10^8)</f>
        <v>66.416031791700007</v>
      </c>
      <c r="J64" s="303" t="s">
        <v>414</v>
      </c>
      <c r="K64" s="303">
        <f>1927268630.27/(10^8)</f>
        <v>19.272686302699999</v>
      </c>
      <c r="L64" s="303">
        <f>225195621274.59/(10^8)</f>
        <v>2251.9562127458998</v>
      </c>
      <c r="M64" s="303">
        <f>44216192045.73/(10^8)</f>
        <v>442.16192045730003</v>
      </c>
      <c r="N64" s="303">
        <f>3122991426.95/(10^8)</f>
        <v>31.229914269499996</v>
      </c>
      <c r="O64" s="303" t="s">
        <v>414</v>
      </c>
      <c r="P64" s="303">
        <f>163449962100.32/(10^8)</f>
        <v>1634.4996210032</v>
      </c>
      <c r="Q64" s="303">
        <f>22192906615.32/(10^8)</f>
        <v>221.92906615319998</v>
      </c>
      <c r="R64" s="303">
        <f>36231628755.21/(10^8)</f>
        <v>362.31628755209999</v>
      </c>
      <c r="S64" s="303">
        <f>5750326656.43/(10^8)</f>
        <v>57.503266564300006</v>
      </c>
      <c r="T64" s="303" t="s">
        <v>414</v>
      </c>
      <c r="U64" s="303">
        <f>1953150101.56/(10^8)</f>
        <v>19.5315010156</v>
      </c>
      <c r="V64" s="303">
        <f>210508059040.47/(10^8)</f>
        <v>2105.0805904047002</v>
      </c>
      <c r="W64" s="303">
        <f>32432502131.91/(10^8)</f>
        <v>324.32502131910002</v>
      </c>
      <c r="X64" s="299">
        <v>6.9800000000000001E-2</v>
      </c>
      <c r="Y64" s="271"/>
      <c r="Z64" s="271"/>
      <c r="AA64" s="271"/>
      <c r="AB64" s="271"/>
      <c r="AC64" s="271"/>
      <c r="AD64" s="271"/>
      <c r="AE64" s="271"/>
      <c r="AF64" s="271"/>
      <c r="AG64" s="271"/>
      <c r="AH64" s="271"/>
      <c r="AI64" s="271"/>
      <c r="AJ64" s="271"/>
      <c r="AK64" s="271"/>
      <c r="AL64" s="271"/>
      <c r="AM64" s="271"/>
    </row>
    <row r="65" spans="1:39" ht="14.25" customHeight="1">
      <c r="A65" s="271"/>
      <c r="B65" s="301" t="s">
        <v>977</v>
      </c>
      <c r="C65" s="298" t="s">
        <v>899</v>
      </c>
      <c r="D65" s="303" t="s">
        <v>414</v>
      </c>
      <c r="E65" s="303" t="s">
        <v>414</v>
      </c>
      <c r="F65" s="303" t="s">
        <v>414</v>
      </c>
      <c r="G65" s="303" t="s">
        <v>414</v>
      </c>
      <c r="H65" s="303">
        <f>187338332.5/(10^8)</f>
        <v>1.873383325</v>
      </c>
      <c r="I65" s="303" t="s">
        <v>414</v>
      </c>
      <c r="J65" s="303" t="s">
        <v>414</v>
      </c>
      <c r="K65" s="303" t="s">
        <v>414</v>
      </c>
      <c r="L65" s="303">
        <f>187338332.5/(10^8)</f>
        <v>1.873383325</v>
      </c>
      <c r="M65" s="303">
        <f>181196870.57/(10^8)</f>
        <v>1.8119687057</v>
      </c>
      <c r="N65" s="303" t="s">
        <v>414</v>
      </c>
      <c r="O65" s="303" t="s">
        <v>414</v>
      </c>
      <c r="P65" s="303" t="s">
        <v>414</v>
      </c>
      <c r="Q65" s="303" t="s">
        <v>414</v>
      </c>
      <c r="R65" s="303">
        <f>154781663.33/(10^8)</f>
        <v>1.5478166333000001</v>
      </c>
      <c r="S65" s="303" t="s">
        <v>414</v>
      </c>
      <c r="T65" s="303" t="s">
        <v>414</v>
      </c>
      <c r="U65" s="303" t="s">
        <v>414</v>
      </c>
      <c r="V65" s="303">
        <f>154781663.33/(10^8)</f>
        <v>1.5478166333000001</v>
      </c>
      <c r="W65" s="303">
        <f>130233044.88/(10^8)</f>
        <v>1.3023304488</v>
      </c>
      <c r="X65" s="299">
        <v>0.21029999999999999</v>
      </c>
      <c r="Y65" s="271"/>
      <c r="Z65" s="271"/>
      <c r="AA65" s="271"/>
      <c r="AB65" s="271"/>
      <c r="AC65" s="271"/>
      <c r="AD65" s="271"/>
      <c r="AE65" s="271"/>
      <c r="AF65" s="271"/>
      <c r="AG65" s="271"/>
      <c r="AH65" s="271"/>
      <c r="AI65" s="271"/>
      <c r="AJ65" s="271"/>
      <c r="AK65" s="271"/>
      <c r="AL65" s="271"/>
      <c r="AM65" s="271"/>
    </row>
    <row r="66" spans="1:39" ht="14.25" customHeight="1">
      <c r="A66" s="271"/>
      <c r="B66" s="301" t="s">
        <v>978</v>
      </c>
      <c r="C66" s="298" t="s">
        <v>900</v>
      </c>
      <c r="D66" s="303">
        <f>0/(10^8)</f>
        <v>0</v>
      </c>
      <c r="E66" s="303" t="s">
        <v>414</v>
      </c>
      <c r="F66" s="303">
        <f>0/(10^8)</f>
        <v>0</v>
      </c>
      <c r="G66" s="303">
        <f>0/(10^8)</f>
        <v>0</v>
      </c>
      <c r="H66" s="303">
        <f>171344608.25/(10^8)</f>
        <v>1.7134460825</v>
      </c>
      <c r="I66" s="303">
        <f>0/(10^8)</f>
        <v>0</v>
      </c>
      <c r="J66" s="303">
        <f>0/(10^8)</f>
        <v>0</v>
      </c>
      <c r="K66" s="303">
        <f>0/(10^8)</f>
        <v>0</v>
      </c>
      <c r="L66" s="303">
        <f>171344608.25/(10^8)</f>
        <v>1.7134460825</v>
      </c>
      <c r="M66" s="303">
        <f>0/(10^8)</f>
        <v>0</v>
      </c>
      <c r="N66" s="303">
        <f>0/(10^8)</f>
        <v>0</v>
      </c>
      <c r="O66" s="303" t="s">
        <v>414</v>
      </c>
      <c r="P66" s="303">
        <f>0/(10^8)</f>
        <v>0</v>
      </c>
      <c r="Q66" s="303">
        <f>0/(10^8)</f>
        <v>0</v>
      </c>
      <c r="R66" s="303">
        <f>200552588.72/(10^8)</f>
        <v>2.0055258872000001</v>
      </c>
      <c r="S66" s="303">
        <f>0/(10^8)</f>
        <v>0</v>
      </c>
      <c r="T66" s="303">
        <f>0/(10^8)</f>
        <v>0</v>
      </c>
      <c r="U66" s="303">
        <f>0/(10^8)</f>
        <v>0</v>
      </c>
      <c r="V66" s="303">
        <f>200552588.72/(10^8)</f>
        <v>2.0055258872000001</v>
      </c>
      <c r="W66" s="303">
        <f>0/(10^8)</f>
        <v>0</v>
      </c>
      <c r="X66" s="299">
        <v>-0.14560000000000001</v>
      </c>
      <c r="Y66" s="271"/>
      <c r="Z66" s="271"/>
      <c r="AA66" s="271"/>
      <c r="AB66" s="271"/>
      <c r="AC66" s="271"/>
      <c r="AD66" s="271"/>
      <c r="AE66" s="271"/>
      <c r="AF66" s="271"/>
      <c r="AG66" s="271"/>
      <c r="AH66" s="271"/>
      <c r="AI66" s="271"/>
      <c r="AJ66" s="271"/>
      <c r="AK66" s="271"/>
      <c r="AL66" s="271"/>
      <c r="AM66" s="271"/>
    </row>
    <row r="67" spans="1:39" ht="14.25" customHeight="1">
      <c r="A67" s="271"/>
      <c r="B67" s="280"/>
      <c r="C67" s="280"/>
      <c r="D67" s="280"/>
      <c r="E67" s="280"/>
      <c r="F67" s="302"/>
      <c r="G67" s="271"/>
      <c r="H67" s="302"/>
      <c r="I67" s="302"/>
      <c r="J67" s="302"/>
      <c r="K67" s="302"/>
      <c r="L67" s="302"/>
      <c r="M67" s="271"/>
      <c r="N67" s="302"/>
      <c r="O67" s="302"/>
      <c r="P67" s="271"/>
      <c r="Q67" s="302"/>
      <c r="R67" s="302"/>
      <c r="S67" s="302"/>
      <c r="T67" s="302"/>
      <c r="U67" s="302"/>
      <c r="V67" s="302"/>
      <c r="W67" s="271"/>
      <c r="X67" s="302"/>
      <c r="Y67" s="271"/>
      <c r="Z67" s="271"/>
      <c r="AA67" s="271"/>
      <c r="AB67" s="271"/>
      <c r="AC67" s="271"/>
      <c r="AD67" s="271"/>
      <c r="AE67" s="271"/>
      <c r="AF67" s="271"/>
      <c r="AG67" s="271"/>
      <c r="AH67" s="271"/>
      <c r="AI67" s="271"/>
      <c r="AJ67" s="271"/>
      <c r="AK67" s="271"/>
      <c r="AL67" s="271"/>
      <c r="AM67" s="271"/>
    </row>
    <row r="68" spans="1:39" ht="14.25" customHeight="1">
      <c r="B68" s="218"/>
      <c r="C68" s="218"/>
      <c r="D68" s="218"/>
      <c r="E68" s="218"/>
      <c r="F68" s="302"/>
      <c r="G68" s="271"/>
      <c r="H68" s="302"/>
      <c r="I68" s="302"/>
      <c r="J68" s="302"/>
      <c r="K68" s="302"/>
      <c r="L68" s="302"/>
      <c r="M68" s="271"/>
      <c r="N68" s="302"/>
      <c r="O68" s="302"/>
      <c r="P68" s="271"/>
      <c r="Q68" s="302"/>
      <c r="R68" s="302"/>
      <c r="S68" s="302"/>
      <c r="T68" s="302"/>
      <c r="U68" s="302"/>
      <c r="V68" s="302"/>
      <c r="W68" s="271"/>
      <c r="X68" s="302"/>
    </row>
    <row r="69" spans="1:39" ht="14.25" customHeight="1">
      <c r="B69" s="306" t="s">
        <v>980</v>
      </c>
      <c r="C69" s="306"/>
      <c r="D69" s="306" t="s">
        <v>433</v>
      </c>
      <c r="E69" s="306" t="s">
        <v>986</v>
      </c>
      <c r="F69" s="343" t="s">
        <v>987</v>
      </c>
      <c r="G69" s="344" t="s">
        <v>988</v>
      </c>
      <c r="H69" s="343" t="s">
        <v>1027</v>
      </c>
      <c r="I69" s="343" t="s">
        <v>985</v>
      </c>
      <c r="J69" s="302"/>
      <c r="K69" s="302"/>
      <c r="L69" s="302"/>
      <c r="M69" s="271"/>
      <c r="N69" s="302"/>
      <c r="O69" s="302"/>
      <c r="P69" s="271"/>
      <c r="Q69" s="302"/>
      <c r="R69" s="302"/>
      <c r="S69" s="302"/>
      <c r="T69" s="302"/>
      <c r="U69" s="302"/>
      <c r="V69" s="302"/>
      <c r="W69" s="271"/>
      <c r="X69" s="302"/>
    </row>
    <row r="70" spans="1:39" ht="14.25" customHeight="1">
      <c r="B70" s="345" t="s">
        <v>981</v>
      </c>
      <c r="C70" s="346"/>
      <c r="D70" s="347"/>
      <c r="E70" s="346"/>
      <c r="F70" s="346">
        <f>F14</f>
        <v>1084.0639120619999</v>
      </c>
      <c r="G70" s="346"/>
      <c r="H70" s="330">
        <f>F70</f>
        <v>1084.0639120619999</v>
      </c>
      <c r="I70" s="348"/>
      <c r="J70" s="302"/>
      <c r="K70" s="302"/>
      <c r="L70" s="302"/>
      <c r="M70" s="271"/>
      <c r="N70" s="302"/>
      <c r="O70" s="302"/>
      <c r="P70" s="271"/>
      <c r="Q70" s="302"/>
      <c r="R70" s="302"/>
      <c r="S70" s="302"/>
      <c r="T70" s="302"/>
      <c r="U70" s="302"/>
      <c r="V70" s="302"/>
      <c r="W70" s="271"/>
      <c r="X70" s="302"/>
    </row>
    <row r="71" spans="1:39" ht="14.25" customHeight="1">
      <c r="B71" s="345" t="s">
        <v>982</v>
      </c>
      <c r="C71" s="346"/>
      <c r="D71" s="347"/>
      <c r="E71" s="346"/>
      <c r="F71" s="346">
        <f>F10</f>
        <v>1110.2249571753998</v>
      </c>
      <c r="G71" s="346">
        <f>G10</f>
        <v>30.874695903400003</v>
      </c>
      <c r="H71" s="330">
        <f>F71-G71</f>
        <v>1079.3502612719999</v>
      </c>
      <c r="I71" s="348"/>
      <c r="J71" s="302"/>
      <c r="K71" s="302"/>
      <c r="L71" s="302"/>
      <c r="M71" s="271"/>
      <c r="N71" s="302"/>
      <c r="O71" s="302"/>
      <c r="P71" s="271"/>
      <c r="Q71" s="302"/>
      <c r="R71" s="302"/>
      <c r="S71" s="302"/>
      <c r="T71" s="302"/>
      <c r="U71" s="302"/>
      <c r="V71" s="302"/>
      <c r="W71" s="271"/>
      <c r="X71" s="302"/>
    </row>
    <row r="72" spans="1:39" ht="14.25" customHeight="1">
      <c r="B72" s="345" t="s">
        <v>989</v>
      </c>
      <c r="C72" s="346"/>
      <c r="D72" s="347"/>
      <c r="E72" s="346"/>
      <c r="F72" s="346">
        <f>F26</f>
        <v>126.5568472259</v>
      </c>
      <c r="G72" s="346">
        <f>G26</f>
        <v>2.1508469699999999</v>
      </c>
      <c r="H72" s="330">
        <f>F72-G72</f>
        <v>124.4060002559</v>
      </c>
      <c r="I72" s="348"/>
      <c r="J72" s="302"/>
      <c r="K72" s="302"/>
      <c r="L72" s="302"/>
      <c r="M72" s="271"/>
      <c r="N72" s="302"/>
      <c r="O72" s="302"/>
      <c r="P72" s="271"/>
      <c r="Q72" s="302"/>
      <c r="R72" s="302"/>
      <c r="S72" s="302"/>
      <c r="T72" s="302"/>
      <c r="U72" s="302"/>
      <c r="V72" s="302"/>
      <c r="W72" s="271"/>
      <c r="X72" s="302"/>
    </row>
    <row r="73" spans="1:39" ht="14.25" customHeight="1">
      <c r="B73" s="345" t="s">
        <v>990</v>
      </c>
      <c r="C73" s="346"/>
      <c r="D73" s="347"/>
      <c r="E73" s="346"/>
      <c r="F73" s="346">
        <f>F61+F19</f>
        <v>481.80500716699999</v>
      </c>
      <c r="G73" s="346">
        <f>G61+G19</f>
        <v>9.6915772917999981</v>
      </c>
      <c r="H73" s="330">
        <f>F73-G73</f>
        <v>472.11342987519998</v>
      </c>
      <c r="I73" s="348" t="s">
        <v>984</v>
      </c>
      <c r="J73" s="302"/>
      <c r="K73" s="302"/>
      <c r="L73" s="302"/>
      <c r="M73" s="271"/>
      <c r="N73" s="302"/>
      <c r="O73" s="302"/>
      <c r="P73" s="271"/>
      <c r="Q73" s="302"/>
      <c r="R73" s="302"/>
      <c r="S73" s="302"/>
      <c r="T73" s="302"/>
      <c r="U73" s="302"/>
      <c r="V73" s="302"/>
      <c r="W73" s="271"/>
      <c r="X73" s="302"/>
    </row>
    <row r="74" spans="1:39" ht="14.25" customHeight="1">
      <c r="B74" s="345" t="s">
        <v>991</v>
      </c>
      <c r="C74" s="346"/>
      <c r="D74" s="347"/>
      <c r="E74" s="346"/>
      <c r="F74" s="346">
        <f>F31+F32</f>
        <v>23.884424808199999</v>
      </c>
      <c r="G74" s="346">
        <f>G31+G32</f>
        <v>5.3113207466999999</v>
      </c>
      <c r="H74" s="330">
        <f>F74-G74</f>
        <v>18.573104061499997</v>
      </c>
      <c r="I74" s="348" t="s">
        <v>992</v>
      </c>
      <c r="J74" s="302"/>
      <c r="K74" s="302"/>
      <c r="L74" s="302"/>
      <c r="M74" s="271"/>
      <c r="N74" s="302"/>
      <c r="O74" s="302"/>
      <c r="P74" s="271"/>
      <c r="Q74" s="302"/>
      <c r="R74" s="302"/>
      <c r="S74" s="302"/>
      <c r="T74" s="302"/>
      <c r="U74" s="302"/>
      <c r="V74" s="302"/>
      <c r="W74" s="271"/>
      <c r="X74" s="302"/>
    </row>
    <row r="75" spans="1:39" ht="14.25" customHeight="1">
      <c r="B75" s="345" t="s">
        <v>513</v>
      </c>
      <c r="C75" s="346"/>
      <c r="D75" s="347"/>
      <c r="E75" s="346"/>
      <c r="F75" s="346"/>
      <c r="G75" s="346">
        <f>SUM(G71:G74)</f>
        <v>48.028440911899999</v>
      </c>
      <c r="H75" s="330">
        <f>G75</f>
        <v>48.028440911899999</v>
      </c>
      <c r="I75" s="348"/>
      <c r="J75" s="302"/>
      <c r="K75" s="302"/>
      <c r="L75" s="302"/>
      <c r="M75" s="271"/>
      <c r="N75" s="302"/>
      <c r="O75" s="302"/>
      <c r="P75" s="271"/>
      <c r="Q75" s="302"/>
      <c r="R75" s="302"/>
      <c r="S75" s="302"/>
      <c r="T75" s="302"/>
      <c r="U75" s="302"/>
      <c r="V75" s="302"/>
      <c r="W75" s="271"/>
      <c r="X75" s="302"/>
    </row>
    <row r="76" spans="1:39" ht="14.25" customHeight="1">
      <c r="B76" s="345" t="s">
        <v>979</v>
      </c>
      <c r="C76" s="346"/>
      <c r="D76" s="347"/>
      <c r="E76" s="346"/>
      <c r="F76" s="346">
        <f>F11</f>
        <v>2540.4178257912999</v>
      </c>
      <c r="G76" s="346"/>
      <c r="H76" s="330">
        <f>F76</f>
        <v>2540.4178257912999</v>
      </c>
      <c r="I76" s="348"/>
      <c r="J76" s="302"/>
      <c r="K76" s="302"/>
      <c r="L76" s="302"/>
      <c r="M76" s="271"/>
      <c r="N76" s="302"/>
      <c r="O76" s="302"/>
      <c r="P76" s="271"/>
      <c r="Q76" s="302"/>
      <c r="R76" s="302"/>
      <c r="S76" s="302"/>
      <c r="T76" s="302"/>
      <c r="U76" s="302"/>
      <c r="V76" s="302"/>
      <c r="W76" s="271"/>
      <c r="X76" s="302"/>
    </row>
    <row r="77" spans="1:39" ht="14.25" customHeight="1">
      <c r="B77" s="349" t="s">
        <v>632</v>
      </c>
      <c r="C77" s="350"/>
      <c r="D77" s="350"/>
      <c r="E77" s="350"/>
      <c r="F77" s="346">
        <f>L11</f>
        <v>2654.3694063321</v>
      </c>
      <c r="G77" s="305"/>
      <c r="H77" s="330">
        <f>F77</f>
        <v>2654.3694063321</v>
      </c>
      <c r="I77" s="348"/>
      <c r="J77" s="302"/>
      <c r="K77" s="302"/>
      <c r="L77" s="302"/>
      <c r="M77" s="271"/>
      <c r="N77" s="302"/>
      <c r="O77" s="302"/>
      <c r="P77" s="271"/>
      <c r="Q77" s="302"/>
      <c r="R77" s="302"/>
      <c r="S77" s="302"/>
      <c r="T77" s="302"/>
      <c r="U77" s="302"/>
      <c r="V77" s="302"/>
      <c r="W77" s="271"/>
      <c r="X77" s="302"/>
    </row>
    <row r="78" spans="1:39" ht="14.25" customHeight="1">
      <c r="B78" s="349" t="s">
        <v>983</v>
      </c>
      <c r="C78" s="350"/>
      <c r="D78" s="346">
        <f>D63</f>
        <v>181.42296026</v>
      </c>
      <c r="E78" s="350"/>
      <c r="F78" s="348"/>
      <c r="G78" s="305"/>
      <c r="H78" s="330">
        <f>D78</f>
        <v>181.42296026</v>
      </c>
      <c r="I78" s="348"/>
      <c r="J78" s="302"/>
      <c r="K78" s="302"/>
      <c r="L78" s="302"/>
      <c r="M78" s="271"/>
      <c r="N78" s="302"/>
      <c r="O78" s="302"/>
      <c r="P78" s="271"/>
      <c r="Q78" s="302"/>
      <c r="R78" s="302"/>
      <c r="S78" s="302"/>
      <c r="T78" s="302"/>
      <c r="U78" s="302"/>
      <c r="V78" s="302"/>
      <c r="W78" s="271"/>
      <c r="X78" s="302"/>
    </row>
    <row r="79" spans="1:39" ht="14.25" customHeight="1">
      <c r="B79" s="218"/>
      <c r="C79" s="218"/>
      <c r="D79" s="218"/>
      <c r="E79" s="218"/>
      <c r="F79" s="302"/>
      <c r="G79" s="271"/>
      <c r="H79" s="302"/>
      <c r="I79" s="302"/>
      <c r="J79" s="302"/>
      <c r="K79" s="302"/>
      <c r="L79" s="302"/>
      <c r="M79" s="271"/>
      <c r="N79" s="302"/>
      <c r="O79" s="302"/>
      <c r="P79" s="271"/>
      <c r="Q79" s="302"/>
      <c r="R79" s="302"/>
      <c r="S79" s="302"/>
      <c r="T79" s="302"/>
      <c r="U79" s="302"/>
      <c r="V79" s="302"/>
      <c r="W79" s="271"/>
      <c r="X79" s="302"/>
    </row>
    <row r="80" spans="1:39" ht="14.25" customHeight="1">
      <c r="B80" s="218"/>
      <c r="C80" s="218"/>
      <c r="D80" s="218"/>
      <c r="E80" s="218"/>
      <c r="F80" s="302"/>
      <c r="G80" s="271"/>
      <c r="H80" s="302"/>
      <c r="I80" s="302"/>
      <c r="J80" s="302"/>
      <c r="K80" s="302"/>
      <c r="L80" s="302"/>
      <c r="M80" s="271"/>
      <c r="N80" s="302"/>
      <c r="O80" s="302"/>
      <c r="P80" s="271"/>
      <c r="Q80" s="302"/>
      <c r="R80" s="302"/>
      <c r="S80" s="302"/>
      <c r="T80" s="302"/>
      <c r="U80" s="302"/>
      <c r="V80" s="302"/>
      <c r="W80" s="271"/>
      <c r="X80" s="302"/>
    </row>
    <row r="81" spans="2:24" ht="14.25" customHeight="1">
      <c r="B81" s="218"/>
      <c r="C81" s="218"/>
      <c r="D81" s="218"/>
      <c r="E81" s="218"/>
      <c r="F81" s="302">
        <f>F63-F10-F11-F14</f>
        <v>1705.2610350016002</v>
      </c>
      <c r="G81" s="271"/>
      <c r="H81" s="302"/>
      <c r="I81" s="302"/>
      <c r="J81" s="302"/>
      <c r="K81" s="302"/>
      <c r="L81" s="302"/>
      <c r="M81" s="271"/>
      <c r="N81" s="302"/>
      <c r="O81" s="302"/>
      <c r="P81" s="271"/>
      <c r="Q81" s="302"/>
      <c r="R81" s="302"/>
      <c r="S81" s="302"/>
      <c r="T81" s="302"/>
      <c r="U81" s="302"/>
      <c r="V81" s="302"/>
      <c r="W81" s="271"/>
      <c r="X81" s="302"/>
    </row>
    <row r="82" spans="2:24" ht="14.25" customHeight="1">
      <c r="B82" s="218"/>
      <c r="C82" s="218"/>
      <c r="D82" s="218"/>
      <c r="E82" s="218"/>
      <c r="F82" s="302"/>
      <c r="G82" s="271"/>
      <c r="H82" s="302"/>
      <c r="I82" s="302"/>
      <c r="J82" s="302"/>
      <c r="K82" s="302"/>
      <c r="L82" s="302"/>
      <c r="M82" s="271"/>
      <c r="N82" s="302"/>
      <c r="O82" s="302"/>
      <c r="P82" s="271"/>
      <c r="Q82" s="302"/>
      <c r="R82" s="302"/>
      <c r="S82" s="302"/>
      <c r="T82" s="302"/>
      <c r="U82" s="302"/>
      <c r="V82" s="302"/>
      <c r="W82" s="271"/>
      <c r="X82" s="302"/>
    </row>
    <row r="83" spans="2:24" ht="14.25" customHeight="1">
      <c r="B83" s="218"/>
      <c r="C83" s="218"/>
      <c r="D83" s="218"/>
      <c r="E83" s="218"/>
      <c r="F83" s="302"/>
      <c r="G83" s="271"/>
      <c r="H83" s="302"/>
      <c r="I83" s="302"/>
      <c r="J83" s="302"/>
      <c r="K83" s="302"/>
      <c r="L83" s="302"/>
      <c r="M83" s="271"/>
      <c r="N83" s="302"/>
      <c r="O83" s="302"/>
      <c r="P83" s="271"/>
      <c r="Q83" s="302"/>
      <c r="R83" s="302"/>
      <c r="S83" s="302"/>
      <c r="T83" s="302"/>
      <c r="U83" s="302"/>
      <c r="V83" s="302"/>
      <c r="W83" s="271"/>
      <c r="X83" s="302"/>
    </row>
    <row r="84" spans="2:24" ht="14.25" customHeight="1">
      <c r="B84" s="218"/>
      <c r="C84" s="218"/>
      <c r="D84" s="218"/>
      <c r="E84" s="218"/>
      <c r="F84" s="302"/>
      <c r="G84" s="271"/>
      <c r="H84" s="302"/>
      <c r="I84" s="302"/>
      <c r="J84" s="302"/>
      <c r="K84" s="302"/>
      <c r="L84" s="302"/>
      <c r="M84" s="271"/>
      <c r="N84" s="302"/>
      <c r="O84" s="302"/>
      <c r="P84" s="271"/>
      <c r="Q84" s="302"/>
      <c r="R84" s="302"/>
      <c r="S84" s="302"/>
      <c r="T84" s="302"/>
      <c r="U84" s="302"/>
      <c r="V84" s="302"/>
      <c r="W84" s="271"/>
      <c r="X84" s="302"/>
    </row>
    <row r="85" spans="2:24" ht="14.25" customHeight="1">
      <c r="B85" s="218"/>
      <c r="C85" s="218"/>
      <c r="D85" s="218"/>
      <c r="E85" s="218"/>
      <c r="F85" s="302"/>
      <c r="G85" s="271"/>
      <c r="H85" s="302"/>
      <c r="I85" s="302"/>
      <c r="J85" s="302"/>
      <c r="K85" s="302"/>
      <c r="L85" s="302"/>
      <c r="M85" s="271"/>
      <c r="N85" s="302"/>
      <c r="O85" s="302"/>
      <c r="P85" s="271"/>
      <c r="Q85" s="302"/>
      <c r="R85" s="302"/>
      <c r="S85" s="302"/>
      <c r="T85" s="302"/>
      <c r="U85" s="302"/>
      <c r="V85" s="302"/>
      <c r="W85" s="271"/>
      <c r="X85" s="302"/>
    </row>
    <row r="86" spans="2:24" ht="14.25" customHeight="1">
      <c r="B86" s="218"/>
      <c r="C86" s="218"/>
      <c r="D86" s="218"/>
      <c r="E86" s="218"/>
      <c r="F86" s="302"/>
      <c r="G86" s="271"/>
      <c r="H86" s="302"/>
      <c r="I86" s="302"/>
      <c r="J86" s="302"/>
      <c r="K86" s="302"/>
      <c r="L86" s="302"/>
      <c r="M86" s="271"/>
      <c r="N86" s="302"/>
      <c r="O86" s="302"/>
      <c r="P86" s="271"/>
      <c r="Q86" s="302"/>
      <c r="R86" s="302"/>
      <c r="S86" s="302"/>
      <c r="T86" s="302"/>
      <c r="U86" s="302"/>
      <c r="V86" s="302"/>
      <c r="W86" s="271"/>
      <c r="X86" s="302"/>
    </row>
    <row r="87" spans="2:24" ht="14.25" customHeight="1">
      <c r="B87" s="218"/>
      <c r="C87" s="218"/>
      <c r="D87" s="218"/>
      <c r="E87" s="218"/>
      <c r="F87" s="302"/>
      <c r="G87" s="271"/>
      <c r="H87" s="302"/>
      <c r="I87" s="302"/>
      <c r="J87" s="302"/>
      <c r="K87" s="302"/>
      <c r="L87" s="302"/>
      <c r="M87" s="271"/>
      <c r="N87" s="302"/>
      <c r="O87" s="302"/>
      <c r="P87" s="271"/>
      <c r="Q87" s="302"/>
      <c r="R87" s="302"/>
      <c r="S87" s="302"/>
      <c r="T87" s="302"/>
      <c r="U87" s="302"/>
      <c r="V87" s="302"/>
      <c r="W87" s="271"/>
      <c r="X87" s="302"/>
    </row>
    <row r="88" spans="2:24" ht="14.25" customHeight="1">
      <c r="B88" s="218"/>
      <c r="C88" s="218"/>
      <c r="D88" s="218"/>
      <c r="E88" s="218"/>
      <c r="F88" s="302"/>
      <c r="G88" s="271"/>
      <c r="H88" s="302"/>
      <c r="I88" s="302"/>
      <c r="J88" s="302"/>
      <c r="K88" s="302"/>
      <c r="L88" s="302"/>
      <c r="M88" s="271"/>
      <c r="N88" s="302"/>
      <c r="O88" s="302"/>
      <c r="P88" s="271"/>
      <c r="Q88" s="302"/>
      <c r="R88" s="302"/>
      <c r="S88" s="302"/>
      <c r="T88" s="302"/>
      <c r="U88" s="302"/>
      <c r="V88" s="302"/>
      <c r="W88" s="271"/>
      <c r="X88" s="302"/>
    </row>
    <row r="89" spans="2:24" ht="14.25" customHeight="1">
      <c r="B89" s="218"/>
      <c r="C89" s="218"/>
      <c r="D89" s="218"/>
      <c r="E89" s="218"/>
      <c r="F89" s="302"/>
      <c r="G89" s="271"/>
      <c r="H89" s="302"/>
      <c r="I89" s="302"/>
      <c r="J89" s="302"/>
      <c r="K89" s="302"/>
      <c r="L89" s="302"/>
      <c r="M89" s="271"/>
      <c r="N89" s="302"/>
      <c r="O89" s="302"/>
      <c r="P89" s="271"/>
      <c r="Q89" s="302"/>
      <c r="R89" s="302"/>
      <c r="S89" s="302"/>
      <c r="T89" s="302"/>
      <c r="U89" s="302"/>
      <c r="V89" s="302"/>
      <c r="W89" s="271"/>
      <c r="X89" s="302"/>
    </row>
    <row r="90" spans="2:24" ht="14.25" customHeight="1">
      <c r="B90" s="218"/>
      <c r="C90" s="218"/>
      <c r="D90" s="218"/>
      <c r="E90" s="218"/>
      <c r="F90" s="302"/>
      <c r="G90" s="271"/>
      <c r="H90" s="302"/>
      <c r="I90" s="302"/>
      <c r="J90" s="302"/>
      <c r="K90" s="302"/>
      <c r="L90" s="302"/>
      <c r="M90" s="271"/>
      <c r="N90" s="302"/>
      <c r="O90" s="302"/>
      <c r="P90" s="271"/>
      <c r="Q90" s="302"/>
      <c r="R90" s="302"/>
      <c r="S90" s="302"/>
      <c r="T90" s="302"/>
      <c r="U90" s="302"/>
      <c r="V90" s="302"/>
      <c r="W90" s="271"/>
      <c r="X90" s="302"/>
    </row>
    <row r="91" spans="2:24" ht="14.25" customHeight="1">
      <c r="B91" s="218"/>
      <c r="C91" s="218"/>
      <c r="D91" s="218"/>
      <c r="E91" s="218"/>
      <c r="F91" s="302"/>
      <c r="G91" s="271"/>
      <c r="H91" s="302"/>
      <c r="I91" s="302"/>
      <c r="J91" s="302"/>
      <c r="K91" s="302"/>
      <c r="L91" s="302"/>
      <c r="M91" s="271"/>
      <c r="N91" s="302"/>
      <c r="O91" s="302"/>
      <c r="P91" s="271"/>
      <c r="Q91" s="302"/>
      <c r="R91" s="302"/>
      <c r="S91" s="302"/>
      <c r="T91" s="302"/>
      <c r="U91" s="302"/>
      <c r="V91" s="302"/>
      <c r="W91" s="271"/>
      <c r="X91" s="302"/>
    </row>
  </sheetData>
  <mergeCells count="26">
    <mergeCell ref="T6:T7"/>
    <mergeCell ref="U6:U7"/>
    <mergeCell ref="V6:V7"/>
    <mergeCell ref="W6:W7"/>
    <mergeCell ref="M6:M7"/>
    <mergeCell ref="N6:N7"/>
    <mergeCell ref="O6:O7"/>
    <mergeCell ref="P6:P7"/>
    <mergeCell ref="R6:R7"/>
    <mergeCell ref="S6:S7"/>
    <mergeCell ref="L6:L7"/>
    <mergeCell ref="B2:X2"/>
    <mergeCell ref="B4:E4"/>
    <mergeCell ref="K4:N4"/>
    <mergeCell ref="B5:B7"/>
    <mergeCell ref="C5:C7"/>
    <mergeCell ref="D5:M5"/>
    <mergeCell ref="N5:W5"/>
    <mergeCell ref="X5:X7"/>
    <mergeCell ref="D6:D7"/>
    <mergeCell ref="E6:E7"/>
    <mergeCell ref="F6:F7"/>
    <mergeCell ref="H6:H7"/>
    <mergeCell ref="I6:I7"/>
    <mergeCell ref="J6:J7"/>
    <mergeCell ref="K6:K7"/>
  </mergeCells>
  <phoneticPr fontId="20" type="noConversion"/>
  <printOptions horizontalCentered="1"/>
  <pageMargins left="0.59527777777777779" right="0.27777777777777779" top="0.47625000000000001" bottom="0.19847222222222222" header="0" footer="0.19847222222222222"/>
  <pageSetup paperSize="9" scale="53" pageOrder="overThenDown" orientation="landscape" blackAndWhite="1" useFirstPageNumber="1"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60</vt:i4>
      </vt:variant>
      <vt:variant>
        <vt:lpstr>命名范围</vt:lpstr>
      </vt:variant>
      <vt:variant>
        <vt:i4>21</vt:i4>
      </vt:variant>
    </vt:vector>
  </HeadingPairs>
  <TitlesOfParts>
    <vt:vector size="81" baseType="lpstr">
      <vt:lpstr>封面</vt:lpstr>
      <vt:lpstr>模型框架</vt:lpstr>
      <vt:lpstr>修改记录</vt:lpstr>
      <vt:lpstr>=&gt;第一部分</vt:lpstr>
      <vt:lpstr>多维联动分析</vt:lpstr>
      <vt:lpstr>Sheet1</vt:lpstr>
      <vt:lpstr>经济活动分析</vt:lpstr>
      <vt:lpstr>动因指标对成果指标影响分析</vt:lpstr>
      <vt:lpstr>动态展示</vt:lpstr>
      <vt:lpstr>关键业绩指标滚动预判</vt:lpstr>
      <vt:lpstr>动因指标和成果指标内部影响分析</vt:lpstr>
      <vt:lpstr>核价与实际情况对比分析</vt:lpstr>
      <vt:lpstr>投资能力规划</vt:lpstr>
      <vt:lpstr>敏感性分析</vt:lpstr>
      <vt:lpstr>=&gt;预算管理、风险监控</vt:lpstr>
      <vt:lpstr>损益预算完成情况</vt:lpstr>
      <vt:lpstr>资产负债预算完成情况</vt:lpstr>
      <vt:lpstr>净资产收益率完成情况</vt:lpstr>
      <vt:lpstr>预算完成风险预警</vt:lpstr>
      <vt:lpstr>购售电分析</vt:lpstr>
      <vt:lpstr>购售电分析图表</vt:lpstr>
      <vt:lpstr>税金预测</vt:lpstr>
      <vt:lpstr>=&gt;第二部分</vt:lpstr>
      <vt:lpstr>=&gt;数据输入区</vt:lpstr>
      <vt:lpstr>长期债务表</vt:lpstr>
      <vt:lpstr>假设</vt:lpstr>
      <vt:lpstr>固定资产结构及折旧参数</vt:lpstr>
      <vt:lpstr>发展投入</vt:lpstr>
      <vt:lpstr>输配电价测算参数</vt:lpstr>
      <vt:lpstr>投资与电量关系测算数据</vt:lpstr>
      <vt:lpstr>=&gt;分析测算区</vt:lpstr>
      <vt:lpstr>=&gt;结果输出区</vt:lpstr>
      <vt:lpstr>输配电价测算模型</vt:lpstr>
      <vt:lpstr>损益表</vt:lpstr>
      <vt:lpstr>资产负债表</vt:lpstr>
      <vt:lpstr>现金流量表</vt:lpstr>
      <vt:lpstr>主要评级指标表</vt:lpstr>
      <vt:lpstr>主要经济指标表</vt:lpstr>
      <vt:lpstr>国资委考核指标</vt:lpstr>
      <vt:lpstr>变动统计</vt:lpstr>
      <vt:lpstr>变动统计2</vt:lpstr>
      <vt:lpstr>=&gt;测算过程区</vt:lpstr>
      <vt:lpstr>准许收入假设</vt:lpstr>
      <vt:lpstr>实际情况下输配电价Ⅰ</vt:lpstr>
      <vt:lpstr>电量电价</vt:lpstr>
      <vt:lpstr>实际收入</vt:lpstr>
      <vt:lpstr>固定资产</vt:lpstr>
      <vt:lpstr>债务</vt:lpstr>
      <vt:lpstr>现金缺口测算</vt:lpstr>
      <vt:lpstr>=&gt;历史数据区</vt:lpstr>
      <vt:lpstr>历史资产负债表</vt:lpstr>
      <vt:lpstr>历史利润表</vt:lpstr>
      <vt:lpstr>历史现金流量表</vt:lpstr>
      <vt:lpstr>关键参数底稿</vt:lpstr>
      <vt:lpstr>历史发展投入</vt:lpstr>
      <vt:lpstr>=&gt;明细信息区</vt:lpstr>
      <vt:lpstr>17分部</vt:lpstr>
      <vt:lpstr>17成本</vt:lpstr>
      <vt:lpstr>16分部</vt:lpstr>
      <vt:lpstr>16成本</vt:lpstr>
      <vt:lpstr>'16成本'!Print_Area</vt:lpstr>
      <vt:lpstr>'17成本'!Print_Area</vt:lpstr>
      <vt:lpstr>历史利润表!Print_Area</vt:lpstr>
      <vt:lpstr>历史资产负债表!Print_Area</vt:lpstr>
      <vt:lpstr>敏感性分析!Print_Area</vt:lpstr>
      <vt:lpstr>实际收入!Print_Area</vt:lpstr>
      <vt:lpstr>长期债务表!Print_Area</vt:lpstr>
      <vt:lpstr>'16成本'!Print_Titles</vt:lpstr>
      <vt:lpstr>'17成本'!Print_Titles</vt:lpstr>
      <vt:lpstr>固定资产!Print_Titles</vt:lpstr>
      <vt:lpstr>假设!Print_Titles</vt:lpstr>
      <vt:lpstr>资产负债表!Print_Titles</vt:lpstr>
      <vt:lpstr>测算模式</vt:lpstr>
      <vt:lpstr>测算年份</vt:lpstr>
      <vt:lpstr>电网投资变动</vt:lpstr>
      <vt:lpstr>售电量变动</vt:lpstr>
      <vt:lpstr>输配电价变动</vt:lpstr>
      <vt:lpstr>循环开关</vt:lpstr>
      <vt:lpstr>预测对象</vt:lpstr>
      <vt:lpstr>运维费变动</vt:lpstr>
      <vt:lpstr>折旧率变动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Junmin ZHANG</dc:creator>
  <cp:lastModifiedBy>DCT</cp:lastModifiedBy>
  <cp:lastPrinted>2018-02-03T13:28:22Z</cp:lastPrinted>
  <dcterms:created xsi:type="dcterms:W3CDTF">2017-04-13T11:57:10Z</dcterms:created>
  <dcterms:modified xsi:type="dcterms:W3CDTF">2018-06-28T09:46:08Z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5</vt:i4>
  </property>
</Properties>
</file>