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75f947a81b6fffb/Área de Trabalho/TCC/"/>
    </mc:Choice>
  </mc:AlternateContent>
  <xr:revisionPtr revIDLastSave="204" documentId="13_ncr:1_{418B783C-5814-4C29-AEF5-85E41C5F8B34}" xr6:coauthVersionLast="47" xr6:coauthVersionMax="47" xr10:uidLastSave="{24F4278F-2DC9-4E77-AEE0-2208D3CD618A}"/>
  <bookViews>
    <workbookView minimized="1" xWindow="396" yWindow="432" windowWidth="12816" windowHeight="8880" xr2:uid="{99860CCA-2CA6-4159-B3DA-3301245269B4}"/>
  </bookViews>
  <sheets>
    <sheet name="Linhas" sheetId="1" r:id="rId1"/>
    <sheet name="Equipamentos" sheetId="2" r:id="rId2"/>
  </sheets>
  <definedNames>
    <definedName name="_xleta.ABS" hidden="1" xlm="1">#NAME?</definedName>
    <definedName name="_xleta.EXP" hidden="1" xlm="1">#NAME?</definedName>
    <definedName name="_xleta.LN" hidden="1" xlm="1">#NAME?</definedName>
    <definedName name="_xleta.REPLACE" hidden="1" xlm="1">#NAME?</definedName>
    <definedName name="solver_adj" localSheetId="0" hidden="1">Linhas!$F$8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Linhas!$B$31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2" l="1"/>
  <c r="E26" i="2"/>
  <c r="E25" i="2"/>
  <c r="E24" i="2"/>
  <c r="E23" i="2"/>
  <c r="E22" i="2"/>
  <c r="D27" i="2"/>
  <c r="C27" i="2"/>
  <c r="B27" i="2"/>
  <c r="AM30" i="1"/>
  <c r="AK30" i="1"/>
  <c r="AE30" i="1"/>
  <c r="AF30" i="1"/>
  <c r="AG30" i="1"/>
  <c r="AH30" i="1"/>
  <c r="AC30" i="1"/>
  <c r="AK29" i="1"/>
  <c r="AM29" i="1" s="1"/>
  <c r="AH29" i="1"/>
  <c r="AG29" i="1"/>
  <c r="AF29" i="1"/>
  <c r="AE29" i="1"/>
  <c r="AC29" i="1"/>
  <c r="V30" i="1"/>
  <c r="R30" i="1"/>
  <c r="B30" i="1"/>
  <c r="V29" i="1"/>
  <c r="B29" i="1"/>
  <c r="R29" i="1" s="1"/>
  <c r="F17" i="2" l="1"/>
  <c r="AL23" i="1" l="1"/>
  <c r="AM4" i="1"/>
  <c r="AM5" i="1"/>
  <c r="AM6" i="1"/>
  <c r="AM7" i="1"/>
  <c r="AM8" i="1"/>
  <c r="AM9" i="1"/>
  <c r="AM10" i="1"/>
  <c r="AM11" i="1"/>
  <c r="AM17" i="1"/>
  <c r="AM18" i="1"/>
  <c r="AM19" i="1"/>
  <c r="AM20" i="1"/>
  <c r="AM21" i="1"/>
  <c r="AM22" i="1"/>
  <c r="AL14" i="1"/>
  <c r="F15" i="2"/>
  <c r="F12" i="2"/>
  <c r="F13" i="2"/>
  <c r="F11" i="2"/>
  <c r="E10" i="2"/>
  <c r="AI15" i="1" l="1"/>
  <c r="AI23" i="1"/>
  <c r="V28" i="1"/>
  <c r="V27" i="1"/>
  <c r="B26" i="1"/>
  <c r="R26" i="1" s="1"/>
  <c r="P27" i="1"/>
  <c r="Q27" i="1"/>
  <c r="N27" i="1"/>
  <c r="R16" i="1"/>
  <c r="V26" i="1"/>
  <c r="C26" i="1"/>
  <c r="D26" i="1"/>
  <c r="E26" i="1"/>
  <c r="F26" i="1"/>
  <c r="G26" i="1"/>
  <c r="H26" i="1"/>
  <c r="I26" i="1"/>
  <c r="J26" i="1"/>
  <c r="P25" i="1"/>
  <c r="D25" i="1"/>
  <c r="E25" i="1"/>
  <c r="F25" i="1"/>
  <c r="G25" i="1"/>
  <c r="H25" i="1"/>
  <c r="I25" i="1"/>
  <c r="J25" i="1"/>
  <c r="K25" i="1"/>
  <c r="L25" i="1"/>
  <c r="V25" i="1" s="1"/>
  <c r="X26" i="1" l="1"/>
  <c r="Y40" i="1" l="1"/>
  <c r="O3" i="1" l="1"/>
  <c r="O25" i="1" s="1"/>
  <c r="AD16" i="1" l="1"/>
  <c r="AC16" i="1"/>
  <c r="V15" i="1"/>
  <c r="V16" i="1"/>
  <c r="V18" i="1"/>
  <c r="V20" i="1"/>
  <c r="V21" i="1"/>
  <c r="V22" i="1"/>
  <c r="M23" i="1"/>
  <c r="O23" i="1"/>
  <c r="P23" i="1"/>
  <c r="Q23" i="1"/>
  <c r="L23" i="1"/>
  <c r="F16" i="2" s="1"/>
  <c r="N15" i="1"/>
  <c r="N23" i="1" s="1"/>
  <c r="M17" i="1"/>
  <c r="L17" i="1"/>
  <c r="V17" i="1" s="1"/>
  <c r="M24" i="1"/>
  <c r="L24" i="1"/>
  <c r="M19" i="1"/>
  <c r="L19" i="1"/>
  <c r="V19" i="1" s="1"/>
  <c r="P13" i="1"/>
  <c r="P24" i="1" s="1"/>
  <c r="V14" i="1"/>
  <c r="Q14" i="1" s="1"/>
  <c r="Q17" i="1" s="1"/>
  <c r="V13" i="1"/>
  <c r="N13" i="1" s="1"/>
  <c r="N24" i="1" s="1"/>
  <c r="V12" i="1"/>
  <c r="B22" i="2"/>
  <c r="B11" i="2"/>
  <c r="E11" i="2" s="1"/>
  <c r="B6" i="2"/>
  <c r="M11" i="1"/>
  <c r="L11" i="1"/>
  <c r="N3" i="1"/>
  <c r="N25" i="1" s="1"/>
  <c r="X16" i="1"/>
  <c r="B3" i="1"/>
  <c r="R3" i="1" s="1"/>
  <c r="F9" i="1"/>
  <c r="F11" i="1" s="1"/>
  <c r="C31" i="1"/>
  <c r="C21" i="1"/>
  <c r="C24" i="1" s="1"/>
  <c r="E13" i="1"/>
  <c r="I13" i="1"/>
  <c r="I31" i="1" s="1"/>
  <c r="J13" i="1"/>
  <c r="J31" i="1" s="1"/>
  <c r="D13" i="1"/>
  <c r="D21" i="1" s="1"/>
  <c r="D24" i="1" s="1"/>
  <c r="C22" i="1"/>
  <c r="C23" i="1" s="1"/>
  <c r="D22" i="1"/>
  <c r="D23" i="1" s="1"/>
  <c r="E22" i="1"/>
  <c r="E23" i="1" s="1"/>
  <c r="G22" i="1"/>
  <c r="G23" i="1" s="1"/>
  <c r="I22" i="1"/>
  <c r="I23" i="1" s="1"/>
  <c r="J22" i="1"/>
  <c r="J23" i="1" s="1"/>
  <c r="G14" i="1"/>
  <c r="G13" i="1" s="1"/>
  <c r="C19" i="1"/>
  <c r="C20" i="1" s="1"/>
  <c r="C27" i="1" s="1"/>
  <c r="D19" i="1"/>
  <c r="D20" i="1" s="1"/>
  <c r="D27" i="1" s="1"/>
  <c r="E19" i="1"/>
  <c r="E20" i="1" s="1"/>
  <c r="E27" i="1" s="1"/>
  <c r="I19" i="1"/>
  <c r="I20" i="1" s="1"/>
  <c r="I27" i="1" s="1"/>
  <c r="J19" i="1"/>
  <c r="J20" i="1" s="1"/>
  <c r="J27" i="1" s="1"/>
  <c r="F14" i="1"/>
  <c r="B17" i="1"/>
  <c r="B18" i="1" s="1"/>
  <c r="C9" i="1"/>
  <c r="V23" i="1" l="1"/>
  <c r="V24" i="1"/>
  <c r="F14" i="2"/>
  <c r="P14" i="1"/>
  <c r="P17" i="1" s="1"/>
  <c r="B25" i="2"/>
  <c r="B28" i="1"/>
  <c r="R28" i="1" s="1"/>
  <c r="Q13" i="1"/>
  <c r="Q24" i="1" s="1"/>
  <c r="C4" i="2"/>
  <c r="D4" i="2" s="1"/>
  <c r="B4" i="1"/>
  <c r="B25" i="1"/>
  <c r="R25" i="1" s="1"/>
  <c r="B15" i="2"/>
  <c r="B4" i="2"/>
  <c r="B21" i="2"/>
  <c r="B8" i="2"/>
  <c r="E8" i="2" s="1"/>
  <c r="AC3" i="1"/>
  <c r="AE3" i="1"/>
  <c r="AF3" i="1" s="1"/>
  <c r="AG3" i="1" s="1"/>
  <c r="AH3" i="1" s="1"/>
  <c r="AK3" i="1" s="1"/>
  <c r="AM3" i="1" s="1"/>
  <c r="D21" i="2" s="1"/>
  <c r="V11" i="1"/>
  <c r="AE16" i="1"/>
  <c r="AF16" i="1" s="1"/>
  <c r="AG16" i="1" s="1"/>
  <c r="AH16" i="1" s="1"/>
  <c r="AK16" i="1" s="1"/>
  <c r="AM16" i="1" s="1"/>
  <c r="N14" i="1"/>
  <c r="N17" i="1" s="1"/>
  <c r="D17" i="1"/>
  <c r="D18" i="1" s="1"/>
  <c r="D28" i="1" s="1"/>
  <c r="F17" i="1"/>
  <c r="F18" i="1" s="1"/>
  <c r="F28" i="1" s="1"/>
  <c r="I17" i="1"/>
  <c r="I18" i="1" s="1"/>
  <c r="I28" i="1" s="1"/>
  <c r="C17" i="1"/>
  <c r="J21" i="1"/>
  <c r="J24" i="1" s="1"/>
  <c r="I21" i="1"/>
  <c r="I24" i="1" s="1"/>
  <c r="D31" i="1"/>
  <c r="E21" i="1"/>
  <c r="E24" i="1" s="1"/>
  <c r="E31" i="1"/>
  <c r="E17" i="1"/>
  <c r="E18" i="1" s="1"/>
  <c r="E28" i="1" s="1"/>
  <c r="J17" i="1"/>
  <c r="J18" i="1" s="1"/>
  <c r="J28" i="1" s="1"/>
  <c r="H14" i="1"/>
  <c r="O14" i="1" s="1"/>
  <c r="G21" i="1"/>
  <c r="G24" i="1" s="1"/>
  <c r="G17" i="1"/>
  <c r="G18" i="1" s="1"/>
  <c r="G28" i="1" s="1"/>
  <c r="C3" i="1"/>
  <c r="C25" i="1" s="1"/>
  <c r="X25" i="1" s="1"/>
  <c r="AE28" i="1" l="1"/>
  <c r="AF28" i="1" s="1"/>
  <c r="AG28" i="1" s="1"/>
  <c r="AH28" i="1" s="1"/>
  <c r="AK28" i="1" s="1"/>
  <c r="AM28" i="1" s="1"/>
  <c r="AC28" i="1"/>
  <c r="B3" i="2"/>
  <c r="B10" i="2"/>
  <c r="AC25" i="1"/>
  <c r="AE25" i="1"/>
  <c r="AF25" i="1" s="1"/>
  <c r="AG25" i="1" s="1"/>
  <c r="AH25" i="1" s="1"/>
  <c r="AK25" i="1" s="1"/>
  <c r="AM25" i="1" s="1"/>
  <c r="C21" i="2" s="1"/>
  <c r="E21" i="2" s="1"/>
  <c r="Q11" i="1"/>
  <c r="P18" i="1"/>
  <c r="E15" i="2" s="1"/>
  <c r="Q18" i="1"/>
  <c r="R14" i="1"/>
  <c r="O17" i="1"/>
  <c r="N18" i="1"/>
  <c r="C5" i="1"/>
  <c r="X3" i="1"/>
  <c r="H17" i="1"/>
  <c r="H18" i="1" s="1"/>
  <c r="H28" i="1" s="1"/>
  <c r="X14" i="1"/>
  <c r="C18" i="1"/>
  <c r="C28" i="1" s="1"/>
  <c r="B5" i="1"/>
  <c r="D4" i="1"/>
  <c r="X28" i="1" l="1"/>
  <c r="X5" i="1"/>
  <c r="P5" i="1" s="1"/>
  <c r="O18" i="1"/>
  <c r="R17" i="1"/>
  <c r="B29" i="2" s="1"/>
  <c r="C29" i="2" s="1"/>
  <c r="Q3" i="1"/>
  <c r="Q25" i="1" s="1"/>
  <c r="C6" i="2"/>
  <c r="D6" i="2" s="1"/>
  <c r="AC14" i="1"/>
  <c r="AE14" i="1"/>
  <c r="AF14" i="1" s="1"/>
  <c r="AG14" i="1" s="1"/>
  <c r="AH14" i="1" s="1"/>
  <c r="AK14" i="1" s="1"/>
  <c r="AM14" i="1" s="1"/>
  <c r="X17" i="1"/>
  <c r="X18" i="1"/>
  <c r="D6" i="1"/>
  <c r="D7" i="1" s="1"/>
  <c r="C7" i="1"/>
  <c r="B6" i="1"/>
  <c r="E4" i="1"/>
  <c r="E6" i="1" s="1"/>
  <c r="E7" i="1" s="1"/>
  <c r="E8" i="1" s="1"/>
  <c r="E9" i="1" s="1"/>
  <c r="E10" i="1" s="1"/>
  <c r="O5" i="1" l="1"/>
  <c r="R5" i="1" s="1"/>
  <c r="N5" i="1"/>
  <c r="Q5" i="1" s="1"/>
  <c r="D8" i="1"/>
  <c r="D9" i="1" s="1"/>
  <c r="R18" i="1"/>
  <c r="AC17" i="1"/>
  <c r="AE17" i="1"/>
  <c r="AF17" i="1" s="1"/>
  <c r="AG17" i="1" s="1"/>
  <c r="AH17" i="1" s="1"/>
  <c r="AK17" i="1" s="1"/>
  <c r="H8" i="1"/>
  <c r="H9" i="1" s="1"/>
  <c r="H11" i="1" s="1"/>
  <c r="I8" i="1"/>
  <c r="I9" i="1" s="1"/>
  <c r="I10" i="1" s="1"/>
  <c r="G8" i="1"/>
  <c r="G9" i="1" s="1"/>
  <c r="G11" i="1" s="1"/>
  <c r="G12" i="1" s="1"/>
  <c r="J8" i="1"/>
  <c r="J9" i="1" s="1"/>
  <c r="J10" i="1" s="1"/>
  <c r="X6" i="1"/>
  <c r="O6" i="1" s="1"/>
  <c r="R6" i="1" s="1"/>
  <c r="X4" i="1"/>
  <c r="O4" i="1" s="1"/>
  <c r="B7" i="1"/>
  <c r="B8" i="1" l="1"/>
  <c r="P8" i="1" s="1"/>
  <c r="AC6" i="1"/>
  <c r="AE6" i="1"/>
  <c r="AF6" i="1" s="1"/>
  <c r="AG6" i="1" s="1"/>
  <c r="AH6" i="1" s="1"/>
  <c r="AK6" i="1" s="1"/>
  <c r="X7" i="1"/>
  <c r="B9" i="2"/>
  <c r="P7" i="1"/>
  <c r="AC18" i="1"/>
  <c r="AE18" i="1"/>
  <c r="AF18" i="1" s="1"/>
  <c r="AG18" i="1" s="1"/>
  <c r="AH18" i="1" s="1"/>
  <c r="AK18" i="1" s="1"/>
  <c r="N7" i="1"/>
  <c r="R4" i="1"/>
  <c r="Q7" i="1"/>
  <c r="AE5" i="1"/>
  <c r="AF5" i="1" s="1"/>
  <c r="AG5" i="1" s="1"/>
  <c r="AH5" i="1" s="1"/>
  <c r="AK5" i="1" s="1"/>
  <c r="AC5" i="1"/>
  <c r="O7" i="1"/>
  <c r="D10" i="1"/>
  <c r="AC26" i="1" l="1"/>
  <c r="AE26" i="1"/>
  <c r="AF26" i="1" s="1"/>
  <c r="AG26" i="1" s="1"/>
  <c r="AH26" i="1" s="1"/>
  <c r="AK26" i="1" s="1"/>
  <c r="AM26" i="1" s="1"/>
  <c r="K8" i="1"/>
  <c r="N8" i="1"/>
  <c r="Q8" i="1"/>
  <c r="X8" i="1"/>
  <c r="B9" i="1"/>
  <c r="X9" i="1" s="1"/>
  <c r="B10" i="1"/>
  <c r="Q10" i="1" s="1"/>
  <c r="O8" i="1"/>
  <c r="R8" i="1" s="1"/>
  <c r="B12" i="2"/>
  <c r="E12" i="2" s="1"/>
  <c r="O9" i="1"/>
  <c r="R9" i="1" s="1"/>
  <c r="R7" i="1"/>
  <c r="AE4" i="1"/>
  <c r="AF4" i="1" s="1"/>
  <c r="AG4" i="1" s="1"/>
  <c r="AH4" i="1" s="1"/>
  <c r="AK4" i="1" s="1"/>
  <c r="AC4" i="1"/>
  <c r="D22" i="2" l="1"/>
  <c r="C22" i="2"/>
  <c r="K10" i="1"/>
  <c r="K9" i="1"/>
  <c r="B11" i="1"/>
  <c r="N11" i="1" s="1"/>
  <c r="X10" i="1"/>
  <c r="O10" i="1"/>
  <c r="R10" i="1" s="1"/>
  <c r="AC10" i="1" s="1"/>
  <c r="P10" i="1"/>
  <c r="N9" i="1"/>
  <c r="Q9" i="1"/>
  <c r="P9" i="1"/>
  <c r="N10" i="1"/>
  <c r="AE9" i="1"/>
  <c r="AF9" i="1" s="1"/>
  <c r="AC9" i="1"/>
  <c r="AC7" i="1"/>
  <c r="AE7" i="1"/>
  <c r="AF7" i="1" s="1"/>
  <c r="AG7" i="1" s="1"/>
  <c r="AH7" i="1" s="1"/>
  <c r="AK7" i="1" s="1"/>
  <c r="AE8" i="1"/>
  <c r="AF8" i="1" s="1"/>
  <c r="AG8" i="1" s="1"/>
  <c r="AH8" i="1" s="1"/>
  <c r="AK8" i="1" s="1"/>
  <c r="AC8" i="1"/>
  <c r="G31" i="1"/>
  <c r="K11" i="1" l="1"/>
  <c r="B18" i="2"/>
  <c r="B17" i="2"/>
  <c r="E17" i="2" s="1"/>
  <c r="AG9" i="1"/>
  <c r="AH9" i="1" s="1"/>
  <c r="AK9" i="1" s="1"/>
  <c r="O11" i="1"/>
  <c r="R11" i="1" s="1"/>
  <c r="P11" i="1"/>
  <c r="B12" i="1"/>
  <c r="X11" i="1"/>
  <c r="AE10" i="1"/>
  <c r="AF10" i="1" s="1"/>
  <c r="AG10" i="1" s="1"/>
  <c r="AH10" i="1" s="1"/>
  <c r="AK10" i="1" s="1"/>
  <c r="B5" i="2"/>
  <c r="B19" i="1"/>
  <c r="B13" i="1"/>
  <c r="B21" i="1" s="1"/>
  <c r="G19" i="1"/>
  <c r="G20" i="1" s="1"/>
  <c r="G27" i="1" s="1"/>
  <c r="B14" i="2" l="1"/>
  <c r="E14" i="2" s="1"/>
  <c r="R21" i="1"/>
  <c r="B19" i="2"/>
  <c r="AC11" i="1"/>
  <c r="AE11" i="1"/>
  <c r="AF11" i="1" s="1"/>
  <c r="AG11" i="1" s="1"/>
  <c r="AH11" i="1" s="1"/>
  <c r="AK11" i="1" s="1"/>
  <c r="B24" i="1"/>
  <c r="B15" i="1"/>
  <c r="B20" i="1"/>
  <c r="B27" i="1" s="1"/>
  <c r="R27" i="1" l="1"/>
  <c r="R20" i="1"/>
  <c r="B23" i="2"/>
  <c r="B13" i="2"/>
  <c r="E13" i="2" s="1"/>
  <c r="B24" i="2"/>
  <c r="AE21" i="1"/>
  <c r="AF21" i="1" s="1"/>
  <c r="AG21" i="1" s="1"/>
  <c r="AH21" i="1" s="1"/>
  <c r="AK21" i="1" s="1"/>
  <c r="AC21" i="1"/>
  <c r="R15" i="1"/>
  <c r="B7" i="2"/>
  <c r="F15" i="1"/>
  <c r="B22" i="1"/>
  <c r="AC27" i="1" l="1"/>
  <c r="AE27" i="1"/>
  <c r="AF27" i="1" s="1"/>
  <c r="AG27" i="1" s="1"/>
  <c r="AH27" i="1" s="1"/>
  <c r="AK27" i="1" s="1"/>
  <c r="AM27" i="1" s="1"/>
  <c r="D25" i="2" s="1"/>
  <c r="C7" i="2"/>
  <c r="D7" i="2" s="1"/>
  <c r="AE15" i="1"/>
  <c r="AF15" i="1" s="1"/>
  <c r="AG15" i="1" s="1"/>
  <c r="AH15" i="1" s="1"/>
  <c r="AK15" i="1" s="1"/>
  <c r="AM15" i="1" s="1"/>
  <c r="AC15" i="1"/>
  <c r="B16" i="2"/>
  <c r="E16" i="2" s="1"/>
  <c r="R22" i="1"/>
  <c r="AC20" i="1"/>
  <c r="AE20" i="1"/>
  <c r="AF20" i="1" s="1"/>
  <c r="AG20" i="1" s="1"/>
  <c r="AH20" i="1" s="1"/>
  <c r="AK20" i="1" s="1"/>
  <c r="B23" i="1"/>
  <c r="R23" i="1" s="1"/>
  <c r="H15" i="1"/>
  <c r="X15" i="1" s="1"/>
  <c r="F13" i="1"/>
  <c r="F22" i="1"/>
  <c r="F23" i="1" s="1"/>
  <c r="B26" i="2" l="1"/>
  <c r="AC22" i="1"/>
  <c r="AE22" i="1"/>
  <c r="AF22" i="1" s="1"/>
  <c r="AG22" i="1" s="1"/>
  <c r="AH22" i="1" s="1"/>
  <c r="AK22" i="1" s="1"/>
  <c r="F21" i="1"/>
  <c r="F12" i="1"/>
  <c r="H13" i="1"/>
  <c r="O13" i="1" s="1"/>
  <c r="H22" i="1"/>
  <c r="H23" i="1" s="1"/>
  <c r="X23" i="1" s="1"/>
  <c r="X22" i="1" l="1"/>
  <c r="O24" i="1"/>
  <c r="R13" i="1"/>
  <c r="P12" i="1"/>
  <c r="P19" i="1" s="1"/>
  <c r="N12" i="1"/>
  <c r="N19" i="1" s="1"/>
  <c r="Q12" i="1"/>
  <c r="Q19" i="1" s="1"/>
  <c r="AE23" i="1"/>
  <c r="AF23" i="1" s="1"/>
  <c r="AG23" i="1" s="1"/>
  <c r="AH23" i="1" s="1"/>
  <c r="AK23" i="1" s="1"/>
  <c r="AM23" i="1" s="1"/>
  <c r="AC23" i="1"/>
  <c r="H12" i="1"/>
  <c r="O12" i="1" s="1"/>
  <c r="H21" i="1"/>
  <c r="H24" i="1" s="1"/>
  <c r="F19" i="1"/>
  <c r="X12" i="1"/>
  <c r="F31" i="1"/>
  <c r="F24" i="1"/>
  <c r="X13" i="1"/>
  <c r="D26" i="2" l="1"/>
  <c r="C26" i="2"/>
  <c r="X24" i="1"/>
  <c r="AC13" i="1"/>
  <c r="AE13" i="1"/>
  <c r="AF13" i="1" s="1"/>
  <c r="AG13" i="1" s="1"/>
  <c r="AH13" i="1" s="1"/>
  <c r="AK13" i="1" s="1"/>
  <c r="AM13" i="1" s="1"/>
  <c r="D24" i="2" s="1"/>
  <c r="R24" i="1"/>
  <c r="O19" i="1"/>
  <c r="R12" i="1"/>
  <c r="X21" i="1"/>
  <c r="F20" i="1"/>
  <c r="F27" i="1" s="1"/>
  <c r="H19" i="1"/>
  <c r="H20" i="1" s="1"/>
  <c r="H27" i="1" s="1"/>
  <c r="H31" i="1"/>
  <c r="B31" i="1" s="1"/>
  <c r="X27" i="1" l="1"/>
  <c r="AE24" i="1"/>
  <c r="AF24" i="1" s="1"/>
  <c r="AG24" i="1" s="1"/>
  <c r="AH24" i="1" s="1"/>
  <c r="AK24" i="1" s="1"/>
  <c r="AM24" i="1" s="1"/>
  <c r="C24" i="2" s="1"/>
  <c r="AC24" i="1"/>
  <c r="C5" i="2"/>
  <c r="D5" i="2" s="1"/>
  <c r="AC12" i="1"/>
  <c r="AE12" i="1"/>
  <c r="AF12" i="1" s="1"/>
  <c r="AG12" i="1" s="1"/>
  <c r="R19" i="1"/>
  <c r="B28" i="2" s="1"/>
  <c r="C28" i="2" s="1"/>
  <c r="X19" i="1"/>
  <c r="X20" i="1"/>
  <c r="AH12" i="1" l="1"/>
  <c r="AK12" i="1" s="1"/>
  <c r="AM12" i="1" s="1"/>
  <c r="AC19" i="1"/>
  <c r="AE19" i="1"/>
  <c r="AF19" i="1" s="1"/>
  <c r="AG19" i="1" s="1"/>
  <c r="AH19" i="1" s="1"/>
  <c r="AK19" i="1" s="1"/>
  <c r="C25" i="2" l="1"/>
  <c r="D23" i="2"/>
  <c r="C23" i="2"/>
</calcChain>
</file>

<file path=xl/sharedStrings.xml><?xml version="1.0" encoding="utf-8"?>
<sst xmlns="http://schemas.openxmlformats.org/spreadsheetml/2006/main" count="195" uniqueCount="112">
  <si>
    <t>Linhas</t>
  </si>
  <si>
    <t>Vazão</t>
  </si>
  <si>
    <t>Naftaleno</t>
  </si>
  <si>
    <t>Oxigênio</t>
  </si>
  <si>
    <t>Anidrido Ftálico</t>
  </si>
  <si>
    <t>Anidrido Maleico</t>
  </si>
  <si>
    <t>Naftoquinona</t>
  </si>
  <si>
    <t>Dióxido de Carbono</t>
  </si>
  <si>
    <t>Monóxido de carbono</t>
  </si>
  <si>
    <t>Composição em fração</t>
  </si>
  <si>
    <t>100% Naftaleno</t>
  </si>
  <si>
    <t>Temperatura</t>
  </si>
  <si>
    <t>°C</t>
  </si>
  <si>
    <t>kg/h</t>
  </si>
  <si>
    <t>Pressão</t>
  </si>
  <si>
    <t>atm</t>
  </si>
  <si>
    <t>Viscosidade</t>
  </si>
  <si>
    <t>cP</t>
  </si>
  <si>
    <t>Densidade</t>
  </si>
  <si>
    <t>kg/m³</t>
  </si>
  <si>
    <t>BTU/(Lb°F)</t>
  </si>
  <si>
    <t>Calor específico</t>
  </si>
  <si>
    <t>Condutividade Térmica</t>
  </si>
  <si>
    <t>W/(mK)</t>
  </si>
  <si>
    <t>99,8% Naftaleno</t>
  </si>
  <si>
    <t>100% Ar</t>
  </si>
  <si>
    <t>Nitrogênio</t>
  </si>
  <si>
    <t>92,62% Ar e 7,38% Naftaleno</t>
  </si>
  <si>
    <t>Vasão escolhida (t/dia)</t>
  </si>
  <si>
    <t>Prova real
linha 9</t>
  </si>
  <si>
    <t>Nome da corrente</t>
  </si>
  <si>
    <t>Vazão volumétrica</t>
  </si>
  <si>
    <t>m³/h</t>
  </si>
  <si>
    <t>Pc</t>
  </si>
  <si>
    <t>Tc</t>
  </si>
  <si>
    <t>K</t>
  </si>
  <si>
    <t>Tr</t>
  </si>
  <si>
    <t>kg/kmol</t>
  </si>
  <si>
    <t>Massa Molar</t>
  </si>
  <si>
    <t>Vc</t>
  </si>
  <si>
    <t>m³</t>
  </si>
  <si>
    <t>Equipamento</t>
  </si>
  <si>
    <t>C-01</t>
  </si>
  <si>
    <t>V-01</t>
  </si>
  <si>
    <t>TQ-01</t>
  </si>
  <si>
    <t>TQ-02</t>
  </si>
  <si>
    <t>TQ-03</t>
  </si>
  <si>
    <t>F-01</t>
  </si>
  <si>
    <t>R-01</t>
  </si>
  <si>
    <t>TC-01</t>
  </si>
  <si>
    <t>TC-02</t>
  </si>
  <si>
    <t>TC-03</t>
  </si>
  <si>
    <t>TC-04</t>
  </si>
  <si>
    <t>TC-05</t>
  </si>
  <si>
    <t>TC-06</t>
  </si>
  <si>
    <t>TC-07</t>
  </si>
  <si>
    <t>CL-01</t>
  </si>
  <si>
    <t>CL-02</t>
  </si>
  <si>
    <t>TR-01</t>
  </si>
  <si>
    <t>B-01</t>
  </si>
  <si>
    <t>B-02</t>
  </si>
  <si>
    <t>B-03</t>
  </si>
  <si>
    <t>B-04</t>
  </si>
  <si>
    <t>B-05</t>
  </si>
  <si>
    <t>B-06</t>
  </si>
  <si>
    <t>B-07</t>
  </si>
  <si>
    <t>Vasão</t>
  </si>
  <si>
    <t>Diâmetro</t>
  </si>
  <si>
    <t>Altura</t>
  </si>
  <si>
    <t>m</t>
  </si>
  <si>
    <t>Qrec</t>
  </si>
  <si>
    <t>BTU/h</t>
  </si>
  <si>
    <t>-</t>
  </si>
  <si>
    <t>L</t>
  </si>
  <si>
    <t>Liga pro Flávio</t>
  </si>
  <si>
    <t>2 a 4</t>
  </si>
  <si>
    <t>65 a 140</t>
  </si>
  <si>
    <t>Schedule</t>
  </si>
  <si>
    <t>3 a 5</t>
  </si>
  <si>
    <t>10S</t>
  </si>
  <si>
    <t>40S</t>
  </si>
  <si>
    <t>65 a 170</t>
  </si>
  <si>
    <t>XS</t>
  </si>
  <si>
    <t>2,5 a 3,5</t>
  </si>
  <si>
    <t>5S</t>
  </si>
  <si>
    <t>1,5 a 2,5</t>
  </si>
  <si>
    <t>ST</t>
  </si>
  <si>
    <t>in</t>
  </si>
  <si>
    <t>Dnominal</t>
  </si>
  <si>
    <t>ft/s</t>
  </si>
  <si>
    <t>velocidade adotada</t>
  </si>
  <si>
    <t>velocidade real</t>
  </si>
  <si>
    <t>velocidade recomendada</t>
  </si>
  <si>
    <t>m/s</t>
  </si>
  <si>
    <t>Dint</t>
  </si>
  <si>
    <t>V-02</t>
  </si>
  <si>
    <t>V-03</t>
  </si>
  <si>
    <t>Re</t>
  </si>
  <si>
    <t>f(Darcy)</t>
  </si>
  <si>
    <t>LMDT</t>
  </si>
  <si>
    <t>AMT (m)</t>
  </si>
  <si>
    <t>Pbomba</t>
  </si>
  <si>
    <t>Leq</t>
  </si>
  <si>
    <t>Lw</t>
  </si>
  <si>
    <r>
      <t>Δ</t>
    </r>
    <r>
      <rPr>
        <sz val="9.35"/>
        <color theme="1"/>
        <rFont val="Aptos Narrow"/>
        <family val="2"/>
      </rPr>
      <t>Z</t>
    </r>
  </si>
  <si>
    <t>NPSHd (m)</t>
  </si>
  <si>
    <t>BHP (hp)</t>
  </si>
  <si>
    <t>Motor (hp)</t>
  </si>
  <si>
    <t>Rendimento(%)</t>
  </si>
  <si>
    <t>CS-01</t>
  </si>
  <si>
    <t>3 a 6</t>
  </si>
  <si>
    <t>4 a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</si>
</sst>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#,000.00"/>
    <numFmt numFmtId="165" formatCode="#,000.00000"/>
    <numFmt numFmtId="166" formatCode="#,000,000.00"/>
    <numFmt numFmtId="167" formatCode="0.000000"/>
    <numFmt numFmtId="168" formatCode="0.00000"/>
    <numFmt numFmtId="169" formatCode="0.000"/>
    <numFmt numFmtId="170" formatCode="#,000,000.000"/>
    <numFmt numFmtId="171" formatCode="#0,000.000"/>
    <numFmt numFmtId="172" formatCode="#000"/>
    <numFmt numFmtId="173" formatCode="0.0"/>
  </numFmts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</font>
    <font>
      <sz val="9.35"/>
      <color theme="1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/>
    <xf numFmtId="0" fontId="0" fillId="0" borderId="1" xfId="0" applyBorder="1" applyAlignment="1">
      <alignment horizontal="center" wrapText="1"/>
    </xf>
    <xf numFmtId="0" fontId="0" fillId="0" borderId="6" xfId="0" applyBorder="1" applyAlignment="1">
      <alignment horizontal="center"/>
    </xf>
    <xf numFmtId="166" fontId="0" fillId="0" borderId="1" xfId="0" applyNumberFormat="1" applyBorder="1"/>
    <xf numFmtId="166" fontId="0" fillId="0" borderId="4" xfId="0" applyNumberFormat="1" applyBorder="1"/>
    <xf numFmtId="166" fontId="0" fillId="0" borderId="3" xfId="0" applyNumberFormat="1" applyBorder="1"/>
    <xf numFmtId="166" fontId="0" fillId="2" borderId="2" xfId="0" applyNumberFormat="1" applyFill="1" applyBorder="1"/>
    <xf numFmtId="166" fontId="0" fillId="0" borderId="5" xfId="0" applyNumberFormat="1" applyBorder="1"/>
    <xf numFmtId="166" fontId="0" fillId="0" borderId="6" xfId="0" applyNumberFormat="1" applyBorder="1"/>
    <xf numFmtId="166" fontId="0" fillId="0" borderId="2" xfId="0" applyNumberFormat="1" applyBorder="1"/>
    <xf numFmtId="0" fontId="0" fillId="0" borderId="7" xfId="0" applyBorder="1" applyAlignment="1">
      <alignment horizontal="center" wrapText="1"/>
    </xf>
    <xf numFmtId="166" fontId="0" fillId="3" borderId="8" xfId="0" applyNumberFormat="1" applyFill="1" applyBorder="1"/>
    <xf numFmtId="0" fontId="0" fillId="0" borderId="1" xfId="0" applyBorder="1" applyAlignment="1">
      <alignment wrapText="1"/>
    </xf>
    <xf numFmtId="167" fontId="0" fillId="0" borderId="1" xfId="0" applyNumberFormat="1" applyBorder="1"/>
    <xf numFmtId="168" fontId="0" fillId="0" borderId="1" xfId="0" applyNumberFormat="1" applyBorder="1"/>
    <xf numFmtId="169" fontId="0" fillId="0" borderId="1" xfId="0" applyNumberFormat="1" applyBorder="1"/>
    <xf numFmtId="2" fontId="0" fillId="0" borderId="1" xfId="0" applyNumberFormat="1" applyBorder="1"/>
    <xf numFmtId="0" fontId="0" fillId="0" borderId="9" xfId="0" applyBorder="1"/>
    <xf numFmtId="167" fontId="0" fillId="0" borderId="0" xfId="0" applyNumberFormat="1"/>
    <xf numFmtId="170" fontId="0" fillId="0" borderId="1" xfId="0" applyNumberFormat="1" applyBorder="1"/>
    <xf numFmtId="166" fontId="0" fillId="2" borderId="1" xfId="0" applyNumberFormat="1" applyFill="1" applyBorder="1"/>
    <xf numFmtId="171" fontId="0" fillId="0" borderId="1" xfId="0" applyNumberFormat="1" applyBorder="1"/>
    <xf numFmtId="172" fontId="0" fillId="0" borderId="1" xfId="0" applyNumberFormat="1" applyBorder="1"/>
    <xf numFmtId="169" fontId="0" fillId="0" borderId="1" xfId="0" applyNumberFormat="1" applyBorder="1" applyAlignment="1">
      <alignment wrapText="1"/>
    </xf>
    <xf numFmtId="2" fontId="0" fillId="0" borderId="1" xfId="0" applyNumberFormat="1" applyBorder="1" applyAlignment="1">
      <alignment wrapText="1"/>
    </xf>
    <xf numFmtId="173" fontId="0" fillId="0" borderId="1" xfId="0" applyNumberFormat="1" applyBorder="1" applyAlignment="1">
      <alignment wrapText="1"/>
    </xf>
    <xf numFmtId="0" fontId="0" fillId="0" borderId="1" xfId="0" applyBorder="1" applyAlignment="1">
      <alignment horizontal="left" wrapText="1"/>
    </xf>
    <xf numFmtId="0" fontId="0" fillId="0" borderId="0" xfId="0" quotePrefix="1"/>
    <xf numFmtId="0" fontId="0" fillId="0" borderId="7" xfId="0" applyBorder="1" applyAlignment="1">
      <alignment horizontal="center"/>
    </xf>
    <xf numFmtId="166" fontId="0" fillId="0" borderId="0" xfId="0" applyNumberFormat="1"/>
    <xf numFmtId="172" fontId="0" fillId="0" borderId="0" xfId="0" applyNumberFormat="1"/>
    <xf numFmtId="2" fontId="0" fillId="0" borderId="0" xfId="0" applyNumberFormat="1"/>
    <xf numFmtId="168" fontId="0" fillId="0" borderId="0" xfId="0" applyNumberFormat="1"/>
    <xf numFmtId="171" fontId="0" fillId="0" borderId="0" xfId="0" applyNumberFormat="1"/>
    <xf numFmtId="0" fontId="1" fillId="4" borderId="0" xfId="0" applyFont="1" applyFill="1" applyAlignment="1">
      <alignment horizontal="center"/>
    </xf>
    <xf numFmtId="0" fontId="1" fillId="4" borderId="0" xfId="0" applyFont="1" applyFill="1"/>
    <xf numFmtId="0" fontId="1" fillId="4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wrapText="1"/>
    </xf>
    <xf numFmtId="172" fontId="0" fillId="0" borderId="4" xfId="0" applyNumberFormat="1" applyBorder="1"/>
    <xf numFmtId="2" fontId="0" fillId="0" borderId="4" xfId="0" applyNumberFormat="1" applyBorder="1"/>
    <xf numFmtId="168" fontId="0" fillId="0" borderId="4" xfId="0" applyNumberFormat="1" applyBorder="1"/>
    <xf numFmtId="171" fontId="0" fillId="0" borderId="4" xfId="0" applyNumberFormat="1" applyBorder="1"/>
    <xf numFmtId="167" fontId="0" fillId="0" borderId="4" xfId="0" applyNumberFormat="1" applyBorder="1"/>
    <xf numFmtId="170" fontId="0" fillId="0" borderId="4" xfId="0" applyNumberFormat="1" applyBorder="1"/>
    <xf numFmtId="170" fontId="0" fillId="0" borderId="3" xfId="0" applyNumberFormat="1" applyBorder="1"/>
    <xf numFmtId="0" fontId="1" fillId="4" borderId="0" xfId="0" applyFont="1" applyFill="1" applyBorder="1"/>
    <xf numFmtId="0" fontId="0" fillId="0" borderId="1" xfId="0" quotePrefix="1" applyBorder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445170</xdr:colOff>
      <xdr:row>6</xdr:row>
      <xdr:rowOff>38100</xdr:rowOff>
    </xdr:from>
    <xdr:to>
      <xdr:col>14</xdr:col>
      <xdr:colOff>503525</xdr:colOff>
      <xdr:row>29</xdr:row>
      <xdr:rowOff>137160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215D0E-DB47-FD63-8821-C83C9C229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350" y="1135380"/>
          <a:ext cx="3106355" cy="4305300"/>
        </a:xfrm>
        <a:prstGeom prst="rect">
          <a:avLst/>
        </a:prstGeom>
      </xdr:spPr>
    </xdr:pic>
    <xdr:clientData/>
  </xdr:twoCellAnchor>
  <xdr:twoCellAnchor editAs="oneCell">
    <xdr:from>
      <xdr:col>4</xdr:col>
      <xdr:colOff>83820</xdr:colOff>
      <xdr:row>29</xdr:row>
      <xdr:rowOff>175260</xdr:rowOff>
    </xdr:from>
    <xdr:to>
      <xdr:col>11</xdr:col>
      <xdr:colOff>403860</xdr:colOff>
      <xdr:row>49</xdr:row>
      <xdr:rowOff>153676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4E999CD-4B7A-FD08-CD97-59452C018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60000">
          <a:off x="2991143" y="5263075"/>
          <a:ext cx="5237871" cy="3612570"/>
        </a:xfrm>
        <a:prstGeom prst="rect">
          <a:avLst/>
        </a:prstGeom>
      </xdr:spPr>
    </xdr:pic>
    <xdr:clientData/>
  </xdr:twoCellAnchor>
  <xdr:twoCellAnchor>
    <xdr:from>
      <xdr:col>3</xdr:col>
      <xdr:colOff>556766</xdr:colOff>
      <xdr:row>44</xdr:row>
      <xdr:rowOff>173420</xdr:rowOff>
    </xdr:from>
    <xdr:to>
      <xdr:col>12</xdr:col>
      <xdr:colOff>488186</xdr:colOff>
      <xdr:row>44</xdr:row>
      <xdr:rowOff>173420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37F7872E-A25D-AF7A-B109-69682BD1BAD8}"/>
            </a:ext>
          </a:extLst>
        </xdr:cNvPr>
        <xdr:cNvCxnSpPr/>
      </xdr:nvCxnSpPr>
      <xdr:spPr>
        <a:xfrm>
          <a:off x="2707951" y="7986851"/>
          <a:ext cx="6214989" cy="0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363527</xdr:colOff>
      <xdr:row>28</xdr:row>
      <xdr:rowOff>125729</xdr:rowOff>
    </xdr:from>
    <xdr:to>
      <xdr:col>6</xdr:col>
      <xdr:colOff>363527</xdr:colOff>
      <xdr:row>62</xdr:row>
      <xdr:rowOff>118109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FC5D638F-7F6E-4E19-9729-D3DEF8A363C5}"/>
            </a:ext>
          </a:extLst>
        </xdr:cNvPr>
        <xdr:cNvCxnSpPr/>
      </xdr:nvCxnSpPr>
      <xdr:spPr>
        <a:xfrm rot="5400000">
          <a:off x="1670619" y="8214885"/>
          <a:ext cx="6246035" cy="0"/>
        </a:xfrm>
        <a:prstGeom prst="line">
          <a:avLst/>
        </a:prstGeom>
        <a:ln>
          <a:solidFill>
            <a:srgbClr val="FF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722A9-A57E-444F-B759-0E6138B13CDA}">
  <sheetPr codeName="Sheet1"/>
  <dimension ref="A1:AM56"/>
  <sheetViews>
    <sheetView tabSelected="1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S1" sqref="S1:S1048576"/>
    </sheetView>
  </sheetViews>
  <sheetFormatPr defaultRowHeight="14.4" x14ac:dyDescent="0.3"/>
  <cols>
    <col min="1" max="1" width="6.33203125" style="1" customWidth="1"/>
    <col min="2" max="2" width="12.6640625" customWidth="1"/>
    <col min="3" max="7" width="10.109375" customWidth="1"/>
    <col min="8" max="8" width="11.88671875" customWidth="1"/>
    <col min="9" max="9" width="10.109375" customWidth="1"/>
    <col min="10" max="10" width="11" customWidth="1"/>
    <col min="11" max="11" width="24.5546875" hidden="1" customWidth="1"/>
    <col min="12" max="12" width="11.33203125" customWidth="1"/>
    <col min="13" max="13" width="10.109375" customWidth="1"/>
    <col min="14" max="15" width="12" customWidth="1"/>
    <col min="16" max="16" width="14.109375" customWidth="1"/>
    <col min="17" max="17" width="12.44140625" customWidth="1"/>
    <col min="18" max="18" width="11.109375" customWidth="1"/>
    <col min="19" max="19" width="15.109375" hidden="1" customWidth="1"/>
    <col min="20" max="23" width="15.109375" customWidth="1"/>
    <col min="24" max="24" width="17.33203125" customWidth="1"/>
    <col min="25" max="25" width="21" customWidth="1"/>
    <col min="26" max="26" width="12.21875" customWidth="1"/>
    <col min="27" max="27" width="23.5546875" customWidth="1"/>
    <col min="28" max="28" width="8.88671875" customWidth="1"/>
    <col min="29" max="29" width="7.5546875" customWidth="1"/>
    <col min="30" max="30" width="8.88671875" customWidth="1"/>
    <col min="31" max="31" width="10.5546875" customWidth="1"/>
    <col min="32" max="32" width="8.88671875" customWidth="1"/>
    <col min="33" max="33" width="12" bestFit="1" customWidth="1"/>
    <col min="34" max="34" width="9.5546875" bestFit="1" customWidth="1"/>
    <col min="39" max="39" width="10.44140625" customWidth="1"/>
  </cols>
  <sheetData>
    <row r="1" spans="1:39" x14ac:dyDescent="0.3">
      <c r="B1" t="s">
        <v>13</v>
      </c>
      <c r="C1" t="s">
        <v>13</v>
      </c>
      <c r="D1" t="s">
        <v>13</v>
      </c>
      <c r="E1" t="s">
        <v>13</v>
      </c>
      <c r="F1" t="s">
        <v>13</v>
      </c>
      <c r="G1" t="s">
        <v>13</v>
      </c>
      <c r="H1" t="s">
        <v>13</v>
      </c>
      <c r="I1" t="s">
        <v>13</v>
      </c>
      <c r="J1" t="s">
        <v>13</v>
      </c>
      <c r="L1" t="s">
        <v>12</v>
      </c>
      <c r="M1" t="s">
        <v>15</v>
      </c>
      <c r="N1" t="s">
        <v>17</v>
      </c>
      <c r="O1" t="s">
        <v>19</v>
      </c>
      <c r="P1" t="s">
        <v>20</v>
      </c>
      <c r="Q1" t="s">
        <v>23</v>
      </c>
      <c r="R1" t="s">
        <v>32</v>
      </c>
      <c r="T1" t="s">
        <v>15</v>
      </c>
      <c r="U1" t="s">
        <v>35</v>
      </c>
      <c r="W1" t="s">
        <v>40</v>
      </c>
      <c r="X1" t="s">
        <v>37</v>
      </c>
      <c r="Y1" t="s">
        <v>28</v>
      </c>
      <c r="Z1" t="s">
        <v>89</v>
      </c>
      <c r="AA1" t="s">
        <v>89</v>
      </c>
      <c r="AC1" t="s">
        <v>87</v>
      </c>
      <c r="AD1" t="s">
        <v>87</v>
      </c>
      <c r="AE1" t="s">
        <v>89</v>
      </c>
      <c r="AF1" t="s">
        <v>93</v>
      </c>
      <c r="AI1" t="s">
        <v>69</v>
      </c>
      <c r="AJ1" t="s">
        <v>69</v>
      </c>
      <c r="AK1" t="s">
        <v>69</v>
      </c>
      <c r="AL1" t="s">
        <v>69</v>
      </c>
      <c r="AM1" t="s">
        <v>69</v>
      </c>
    </row>
    <row r="2" spans="1:39" ht="28.8" customHeight="1" x14ac:dyDescent="0.3">
      <c r="A2" s="6" t="s">
        <v>0</v>
      </c>
      <c r="B2" s="17" t="s">
        <v>1</v>
      </c>
      <c r="C2" s="17" t="s">
        <v>2</v>
      </c>
      <c r="D2" s="17" t="s">
        <v>3</v>
      </c>
      <c r="E2" s="17" t="s">
        <v>26</v>
      </c>
      <c r="F2" s="17" t="s">
        <v>4</v>
      </c>
      <c r="G2" s="17" t="s">
        <v>5</v>
      </c>
      <c r="H2" s="17" t="s">
        <v>6</v>
      </c>
      <c r="I2" s="17" t="s">
        <v>7</v>
      </c>
      <c r="J2" s="17" t="s">
        <v>8</v>
      </c>
      <c r="K2" t="s">
        <v>9</v>
      </c>
      <c r="L2" s="3" t="s">
        <v>11</v>
      </c>
      <c r="M2" s="3" t="s">
        <v>14</v>
      </c>
      <c r="N2" s="3" t="s">
        <v>16</v>
      </c>
      <c r="O2" s="3" t="s">
        <v>18</v>
      </c>
      <c r="P2" s="3" t="s">
        <v>21</v>
      </c>
      <c r="Q2" s="17" t="s">
        <v>22</v>
      </c>
      <c r="R2" s="17" t="s">
        <v>31</v>
      </c>
      <c r="S2" t="s">
        <v>30</v>
      </c>
      <c r="T2" t="s">
        <v>33</v>
      </c>
      <c r="U2" t="s">
        <v>34</v>
      </c>
      <c r="V2" t="s">
        <v>36</v>
      </c>
      <c r="W2" t="s">
        <v>39</v>
      </c>
      <c r="X2" t="s">
        <v>38</v>
      </c>
      <c r="Y2" s="4">
        <v>520</v>
      </c>
      <c r="Z2" s="17" t="s">
        <v>92</v>
      </c>
      <c r="AA2" s="17" t="s">
        <v>90</v>
      </c>
      <c r="AB2" s="17" t="s">
        <v>77</v>
      </c>
      <c r="AC2" s="17" t="s">
        <v>94</v>
      </c>
      <c r="AD2" s="17" t="s">
        <v>88</v>
      </c>
      <c r="AE2" s="17" t="s">
        <v>91</v>
      </c>
      <c r="AF2" s="17" t="s">
        <v>91</v>
      </c>
      <c r="AG2" s="17" t="s">
        <v>97</v>
      </c>
      <c r="AH2" s="17" t="s">
        <v>98</v>
      </c>
      <c r="AI2" s="17" t="s">
        <v>73</v>
      </c>
      <c r="AJ2" s="17" t="s">
        <v>102</v>
      </c>
      <c r="AK2" s="17" t="s">
        <v>103</v>
      </c>
      <c r="AL2" s="42" t="s">
        <v>104</v>
      </c>
      <c r="AM2" s="17" t="s">
        <v>101</v>
      </c>
    </row>
    <row r="3" spans="1:39" x14ac:dyDescent="0.3">
      <c r="A3" s="4">
        <v>1</v>
      </c>
      <c r="B3" s="8">
        <f>(F8*128/148)/0.7</f>
        <v>26931.21319702598</v>
      </c>
      <c r="C3" s="8">
        <f>B3</f>
        <v>26931.21319702598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22" t="s">
        <v>10</v>
      </c>
      <c r="L3" s="27">
        <v>200</v>
      </c>
      <c r="M3" s="21">
        <v>0.8</v>
      </c>
      <c r="N3" s="19">
        <f>-3.536+(0.002517)/(L3+273)+(0.01098)*(L3+273)+(-0.000005876)*(L3+273)^2</f>
        <v>0.34291371735306608</v>
      </c>
      <c r="O3" s="26">
        <f>(((0.33593-0.33953*V3+1.51941*V3^2-2.02512*V3^3+1.11422*V3^4)*(1-(0.302*(0.29607-0.09045*V3-0.04842*V3^2)))*(0.08206*U3/T3*(0.292-0.0967*0.302)))^-1*128)/1</f>
        <v>860.63925705524537</v>
      </c>
      <c r="P3" s="19">
        <v>0.51</v>
      </c>
      <c r="Q3" s="18">
        <f>(((0.0345*491.1^1.2)/(X3^1*U3^0.167))*(1-V3)^0.38)/V3^(1/6)</f>
        <v>0.11175544615463463</v>
      </c>
      <c r="R3" s="24">
        <f>B3/O3</f>
        <v>31.292104068287042</v>
      </c>
      <c r="T3" s="3">
        <v>40</v>
      </c>
      <c r="U3" s="3">
        <v>748.4</v>
      </c>
      <c r="V3" s="3">
        <v>0.63200000000000001</v>
      </c>
      <c r="W3" s="3">
        <v>413</v>
      </c>
      <c r="X3" s="3">
        <f>128*C3/B3+32*D3/B3+28*E3/B3+148*F3/B3+98*G3/B3+158*H3/B3+44*I3/B3+28*J3/B3</f>
        <v>128</v>
      </c>
      <c r="Z3" s="17" t="s">
        <v>78</v>
      </c>
      <c r="AA3" s="30">
        <v>4</v>
      </c>
      <c r="AB3" s="17" t="s">
        <v>79</v>
      </c>
      <c r="AC3" s="28">
        <f>((0.408*R3/0.227124)/(AA3))^0.5</f>
        <v>3.7487454767798214</v>
      </c>
      <c r="AD3" s="29">
        <v>4</v>
      </c>
      <c r="AE3" s="29">
        <f>(0.408*R3/0.227124)/(AD3^2)</f>
        <v>3.513273162419293</v>
      </c>
      <c r="AF3" s="3">
        <f>AE3/3.28084</f>
        <v>1.0708456256383405</v>
      </c>
      <c r="AG3" s="3">
        <f>(AD3*0.0254)*O3*AF3/(N3*0.001)</f>
        <v>273059.23467765067</v>
      </c>
      <c r="AH3" s="18">
        <f>1.6364/(LN(0.135*0.00005/(AD3*0.0254)+6.5*AG3))^2</f>
        <v>7.9033894644122693E-3</v>
      </c>
      <c r="AI3" s="3">
        <v>8</v>
      </c>
      <c r="AJ3" s="3">
        <v>0</v>
      </c>
      <c r="AK3" s="3">
        <f>AH3*(AI3+AJ3)*AF3^2/((AD3*0.0254)*2*9.81)</f>
        <v>3.6371766436831952E-2</v>
      </c>
      <c r="AL3" s="3">
        <v>0</v>
      </c>
      <c r="AM3" s="3">
        <f>IF(AI3=0,0,AK3+(M3*10.33*(1000/O3))+AL3+AF3^2/(2*9.81))</f>
        <v>9.6969825816837165</v>
      </c>
    </row>
    <row r="4" spans="1:39" x14ac:dyDescent="0.3">
      <c r="A4" s="4">
        <v>2</v>
      </c>
      <c r="B4" s="8">
        <f>((B3*0.05)*224/128+(B3*0.15)*384/128+(B3*0.01)*48/128+(B3*0.09)*192/128+(F8*128/148)*144/128)*1.8/0.21</f>
        <v>337890.542718401</v>
      </c>
      <c r="C4" s="8">
        <v>0</v>
      </c>
      <c r="D4" s="8">
        <f>B4*0.21</f>
        <v>70957.013970864209</v>
      </c>
      <c r="E4" s="8">
        <f>B4*0.79</f>
        <v>266933.52874753682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22" t="s">
        <v>25</v>
      </c>
      <c r="L4" s="27">
        <v>25</v>
      </c>
      <c r="M4" s="21">
        <v>1.01</v>
      </c>
      <c r="N4" s="19">
        <v>1.4999999999999999E-2</v>
      </c>
      <c r="O4" s="26">
        <f>(1+M4)*X4/(0.08206*(L4+273))</f>
        <v>2.3705195249179276</v>
      </c>
      <c r="P4" s="19">
        <v>0.25</v>
      </c>
      <c r="Q4" s="18">
        <v>2.3E-2</v>
      </c>
      <c r="R4" s="24">
        <f>B4/O4</f>
        <v>142538.60352831284</v>
      </c>
      <c r="T4" s="3">
        <v>40</v>
      </c>
      <c r="U4" s="3">
        <v>748.4</v>
      </c>
      <c r="V4" s="3">
        <v>0.63200000000000001</v>
      </c>
      <c r="W4" s="3">
        <v>413</v>
      </c>
      <c r="X4" s="3">
        <f t="shared" ref="X4:X24" si="0">128*C4/B4+32*D4/B4+28*E4/B4+148*F4/B4+98*G4/B4+158*H4/B4+44*I4/B4+28*J4/B4</f>
        <v>28.840000000000003</v>
      </c>
      <c r="Z4" s="17" t="s">
        <v>81</v>
      </c>
      <c r="AA4" s="30">
        <v>140</v>
      </c>
      <c r="AB4" s="17" t="s">
        <v>82</v>
      </c>
      <c r="AC4" s="28">
        <f t="shared" ref="AC4:AC24" si="1">((0.408*R4/0.227124)/(AA4))^0.5</f>
        <v>42.766213470695263</v>
      </c>
      <c r="AD4" s="29">
        <v>40</v>
      </c>
      <c r="AE4" s="29">
        <f>(0.408*R4/0.227124)/(AD4^2)</f>
        <v>160.0330387793442</v>
      </c>
      <c r="AF4" s="3">
        <f t="shared" ref="AF4:AF30" si="2">AE4/3.28084</f>
        <v>48.778068659045914</v>
      </c>
      <c r="AG4" s="3">
        <f t="shared" ref="AG4:AG25" si="3">(AD4*0.0254)*O4*AF4/(N4*0.001)</f>
        <v>7831962.2646906972</v>
      </c>
      <c r="AH4" s="18">
        <f t="shared" ref="AH4:AH25" si="4">1.6364/(LN(0.135*0.00005/(AD4*0.0254)+6.5*AG4))^2</f>
        <v>5.1965095015378045E-3</v>
      </c>
      <c r="AI4" s="3"/>
      <c r="AJ4" s="3"/>
      <c r="AK4" s="3">
        <f>AH4*(AI4+AJ4)*AF4^2/((AD4*0.0254)*2*9.81)</f>
        <v>0</v>
      </c>
      <c r="AL4" s="3">
        <v>0</v>
      </c>
      <c r="AM4" s="3">
        <f t="shared" ref="AM4:AM22" si="5">IF(AI4=0,0,AK4+(M4*10.33*(1000/O4))+AL4)</f>
        <v>0</v>
      </c>
    </row>
    <row r="5" spans="1:39" x14ac:dyDescent="0.3">
      <c r="A5" s="4">
        <v>3</v>
      </c>
      <c r="B5" s="8">
        <f>B3</f>
        <v>26931.21319702598</v>
      </c>
      <c r="C5" s="8">
        <f>C3</f>
        <v>26931.21319702598</v>
      </c>
      <c r="D5" s="8">
        <v>0</v>
      </c>
      <c r="E5" s="8">
        <v>0</v>
      </c>
      <c r="F5" s="8">
        <v>0</v>
      </c>
      <c r="G5" s="8">
        <v>0</v>
      </c>
      <c r="H5" s="8">
        <v>0</v>
      </c>
      <c r="I5" s="8">
        <v>0</v>
      </c>
      <c r="J5" s="8">
        <v>0</v>
      </c>
      <c r="K5" s="22" t="s">
        <v>10</v>
      </c>
      <c r="L5" s="27">
        <v>400</v>
      </c>
      <c r="M5" s="21">
        <v>2.85</v>
      </c>
      <c r="N5" s="19">
        <f>40.785*(1-0.2756*0.302+0.059035*0^4+0)*(X5*(L5+273))^0.5/((W5)^(2/3)*(1.16145*(1.2593*(L5+273)/U5)^-0.14874+0.52487*EXP(-0.7732*(1.2593*(L5+273)/U5))+2.16178*EXP(-2.43787*(1.2593*(L5+273)/U5))))/10000</f>
        <v>1.323131592660879E-2</v>
      </c>
      <c r="O5" s="26">
        <f>(1+M5)*X5/(0.08206*(L5+273))</f>
        <v>8.9232718132168003</v>
      </c>
      <c r="P5" s="19">
        <f>(-68.8+0.8499*(273+L5)-0.0006506*(273+L5)^2+0.0000001981*(273+L5)^3)/(X5*4.18668)</f>
        <v>0.50176276251353258</v>
      </c>
      <c r="Q5" s="18">
        <f>(N5/1000)*((P5*(X5*4.18668)-8.314)/0.148)*(1.15+2.03*0.08206/(P5*(X5*4.18668)-8.314))</f>
        <v>2.6805169509744937E-2</v>
      </c>
      <c r="R5" s="24">
        <f>B5/O5</f>
        <v>3018.0872846590332</v>
      </c>
      <c r="T5" s="3">
        <v>40</v>
      </c>
      <c r="U5" s="3">
        <v>748.4</v>
      </c>
      <c r="V5" s="3">
        <v>0.63200000000000001</v>
      </c>
      <c r="W5" s="3">
        <v>413</v>
      </c>
      <c r="X5" s="3">
        <f>128*C5/B5+32*D5/B5+28*E5/B5+148*F5/B5+98*G5/B5+158*H5/B5+44*I5/B5+28*J5/B5</f>
        <v>128</v>
      </c>
      <c r="Z5" s="17" t="s">
        <v>81</v>
      </c>
      <c r="AA5" s="30">
        <v>65</v>
      </c>
      <c r="AB5" s="17" t="s">
        <v>79</v>
      </c>
      <c r="AC5" s="28">
        <f t="shared" si="1"/>
        <v>9.1328807489710737</v>
      </c>
      <c r="AD5" s="29">
        <v>9</v>
      </c>
      <c r="AE5" s="29">
        <f t="shared" ref="AE5:AE29" si="6">(0.408*R5/0.227124)/(AD5^2)</f>
        <v>66.93355802926196</v>
      </c>
      <c r="AF5" s="3">
        <f t="shared" si="2"/>
        <v>20.401347834475914</v>
      </c>
      <c r="AG5" s="3">
        <f t="shared" si="3"/>
        <v>3145257.2313298569</v>
      </c>
      <c r="AH5" s="18">
        <f t="shared" si="4"/>
        <v>5.7750489524918108E-3</v>
      </c>
      <c r="AI5" s="3"/>
      <c r="AJ5" s="3"/>
      <c r="AK5" s="3">
        <f t="shared" ref="AK5:AK24" si="7">AH5*(AI5+AJ5)*AF5^2/((AD5*0.0254)*2*9.81)</f>
        <v>0</v>
      </c>
      <c r="AL5" s="3">
        <v>0</v>
      </c>
      <c r="AM5" s="3">
        <f t="shared" si="5"/>
        <v>0</v>
      </c>
    </row>
    <row r="6" spans="1:39" x14ac:dyDescent="0.3">
      <c r="A6" s="4">
        <v>4</v>
      </c>
      <c r="B6" s="8">
        <f>B4</f>
        <v>337890.542718401</v>
      </c>
      <c r="C6" s="8">
        <v>0</v>
      </c>
      <c r="D6" s="8">
        <f>D4</f>
        <v>70957.013970864209</v>
      </c>
      <c r="E6" s="8">
        <f>E4</f>
        <v>266933.52874753682</v>
      </c>
      <c r="F6" s="8">
        <v>0</v>
      </c>
      <c r="G6" s="8">
        <v>0</v>
      </c>
      <c r="H6" s="8">
        <v>0</v>
      </c>
      <c r="I6" s="8">
        <v>0</v>
      </c>
      <c r="J6" s="8">
        <v>0</v>
      </c>
      <c r="K6" s="22" t="s">
        <v>25</v>
      </c>
      <c r="L6" s="27">
        <v>240</v>
      </c>
      <c r="M6" s="21">
        <v>2.85</v>
      </c>
      <c r="N6" s="19">
        <v>2.35E-2</v>
      </c>
      <c r="O6" s="26">
        <f>(1+M6)*X6/(0.08206*(L6+273))</f>
        <v>2.6375889082252852</v>
      </c>
      <c r="P6" s="19">
        <v>0.26</v>
      </c>
      <c r="Q6" s="18">
        <v>4.2000000000000003E-2</v>
      </c>
      <c r="R6" s="24">
        <f t="shared" ref="R6:R10" si="8">B6/O6</f>
        <v>128105.84002104875</v>
      </c>
      <c r="T6" s="3">
        <v>40</v>
      </c>
      <c r="U6" s="3">
        <v>748.4</v>
      </c>
      <c r="V6" s="3">
        <v>0.63200000000000001</v>
      </c>
      <c r="W6" s="3">
        <v>413</v>
      </c>
      <c r="X6" s="3">
        <f t="shared" si="0"/>
        <v>28.840000000000003</v>
      </c>
      <c r="Z6" s="17" t="s">
        <v>81</v>
      </c>
      <c r="AA6" s="30">
        <v>140</v>
      </c>
      <c r="AB6" s="17" t="s">
        <v>82</v>
      </c>
      <c r="AC6" s="28">
        <f t="shared" si="1"/>
        <v>40.543292433621765</v>
      </c>
      <c r="AD6" s="29">
        <v>40</v>
      </c>
      <c r="AE6" s="29">
        <f>(0.408*R6/0.227124)/(AD6^2)</f>
        <v>143.82887411884005</v>
      </c>
      <c r="AF6" s="3">
        <f t="shared" si="2"/>
        <v>43.839039428573187</v>
      </c>
      <c r="AG6" s="3">
        <f t="shared" si="3"/>
        <v>4999124.8498025732</v>
      </c>
      <c r="AH6" s="18">
        <f t="shared" si="4"/>
        <v>5.4697718508873207E-3</v>
      </c>
      <c r="AI6" s="3"/>
      <c r="AJ6" s="3"/>
      <c r="AK6" s="3">
        <f t="shared" si="7"/>
        <v>0</v>
      </c>
      <c r="AL6" s="3">
        <v>0</v>
      </c>
      <c r="AM6" s="3">
        <f t="shared" si="5"/>
        <v>0</v>
      </c>
    </row>
    <row r="7" spans="1:39" ht="15" thickBot="1" x14ac:dyDescent="0.35">
      <c r="A7" s="4">
        <v>5</v>
      </c>
      <c r="B7" s="8">
        <f t="shared" ref="B7" si="9">SUM(C7:J7)</f>
        <v>364821.755915427</v>
      </c>
      <c r="C7" s="8">
        <f>C5</f>
        <v>26931.21319702598</v>
      </c>
      <c r="D7" s="8">
        <f>D6</f>
        <v>70957.013970864209</v>
      </c>
      <c r="E7" s="8">
        <f>E6</f>
        <v>266933.52874753682</v>
      </c>
      <c r="F7" s="9">
        <v>0</v>
      </c>
      <c r="G7" s="8">
        <v>0</v>
      </c>
      <c r="H7" s="8">
        <v>0</v>
      </c>
      <c r="I7" s="8">
        <v>0</v>
      </c>
      <c r="J7" s="8">
        <v>0</v>
      </c>
      <c r="K7" s="22" t="s">
        <v>27</v>
      </c>
      <c r="L7" s="27">
        <v>263</v>
      </c>
      <c r="M7" s="21">
        <v>2.25</v>
      </c>
      <c r="N7" s="19">
        <f>(40.785*(1-0.2756*0.302+0.059035*0^4+0)*(X3*(L7+273))^0.5/((W7)^(2/3)*(1.16145*(1.2593*(L7+273)/U7)^-0.14874+0.52487*EXP(-0.7732*(1.2593*(L7+273)/U7))+2.16178*EXP(-2.43787*(1.2593*(L7+273)/U7))))/10000)*(C7/B7)+(1-C7/B7)*0.027</f>
        <v>2.5782553142605212E-2</v>
      </c>
      <c r="O7" s="26">
        <f>((1+M7)*28.97/(0.08206*(L7+273)))*(1-C7/B7)+((1+M7)*128/(0.08206*(L7+273)))*(C7/B7)</f>
        <v>2.6807683775530524</v>
      </c>
      <c r="P7" s="19">
        <f>((-6.88*10+0.8499*(L7+273)-0.0006506*(L7+273)^2+0.0000001981*(L7+273)^3)/128.174)*0.238846*(C7/B7)+(1-C7/B7)*0.255</f>
        <v>0.26786110859638745</v>
      </c>
      <c r="Q7" s="18">
        <f>(1-C7/B7)*0.0434+(C7/B7)*0.0223</f>
        <v>4.1842393883469553E-2</v>
      </c>
      <c r="R7" s="24">
        <f t="shared" si="8"/>
        <v>136088.50319565035</v>
      </c>
      <c r="T7" s="3">
        <v>40</v>
      </c>
      <c r="U7" s="3">
        <v>748.4</v>
      </c>
      <c r="V7" s="3">
        <v>0.63200000000000001</v>
      </c>
      <c r="W7" s="3">
        <v>413</v>
      </c>
      <c r="X7" s="3">
        <f t="shared" si="0"/>
        <v>36.160010545742153</v>
      </c>
      <c r="Z7" s="17" t="s">
        <v>81</v>
      </c>
      <c r="AA7" s="30">
        <v>140</v>
      </c>
      <c r="AB7" s="17" t="s">
        <v>82</v>
      </c>
      <c r="AC7" s="28">
        <f t="shared" si="1"/>
        <v>41.78739211141027</v>
      </c>
      <c r="AD7" s="29">
        <v>40</v>
      </c>
      <c r="AE7" s="29">
        <f t="shared" si="6"/>
        <v>152.79128720386589</v>
      </c>
      <c r="AF7" s="3">
        <f t="shared" si="2"/>
        <v>46.570782849473275</v>
      </c>
      <c r="AG7" s="3">
        <f t="shared" si="3"/>
        <v>4919722.6120652994</v>
      </c>
      <c r="AH7" s="18">
        <f t="shared" si="4"/>
        <v>5.4799122072985307E-3</v>
      </c>
      <c r="AI7" s="3"/>
      <c r="AJ7" s="3"/>
      <c r="AK7" s="3">
        <f t="shared" si="7"/>
        <v>0</v>
      </c>
      <c r="AL7" s="3">
        <v>0</v>
      </c>
      <c r="AM7" s="3">
        <f t="shared" si="5"/>
        <v>0</v>
      </c>
    </row>
    <row r="8" spans="1:39" ht="15" thickBot="1" x14ac:dyDescent="0.35">
      <c r="A8" s="4">
        <v>6</v>
      </c>
      <c r="B8" s="8">
        <f>SUM(C8:J8)</f>
        <v>355770.3434799891</v>
      </c>
      <c r="C8" s="8">
        <v>0</v>
      </c>
      <c r="D8" s="8">
        <f>D7-(((C7-C8)*0.05)*224/128+((C7-C8)*0.15)*384/128+((C7-C8)*0.01)*48/128+((C7-C8)*0.09)*192/128+((C7-C8)*0.7)*144/128)</f>
        <v>31536.450653717431</v>
      </c>
      <c r="E8" s="13">
        <f>E7</f>
        <v>266933.52874753682</v>
      </c>
      <c r="F8" s="11">
        <v>21797.4506813429</v>
      </c>
      <c r="G8" s="12">
        <f>(C7-C8)*0.09*196/128</f>
        <v>3711.4578187151428</v>
      </c>
      <c r="H8" s="8">
        <f>(C7-C8)*0.01*158/128</f>
        <v>332.43216290078948</v>
      </c>
      <c r="I8" s="8">
        <f>F8*88/148+(C7-C8)*0.09*88/128+(C7-C8)*0.15*440/128</f>
        <v>28513.421972351254</v>
      </c>
      <c r="J8" s="8">
        <f>(C7-C8)*0.05*280/128</f>
        <v>2945.6014434247168</v>
      </c>
      <c r="K8" t="str">
        <f>ROUND(100*D8/B8,2)&amp;"% de Oxigênio, "&amp;ROUND(100*E8/B8,2)&amp;"% de Nitrogênio, "&amp;ROUND(100*F8/B8,2)&amp;"% de anidrido ftálico, "&amp;ROUND(100*G8/B8,2)&amp;"% de anidrido maleico, "&amp;ROUND(100*H8/B8,2)&amp;"% de naftoquinona, "&amp;ROUND(100*I8/B8,2)&amp;"% de dióxido de carbono e "&amp;ROUND(100*J8/B8,2)&amp;"% de monóxido de carbono"</f>
        <v>8,86% de Oxigênio, 75,03% de Nitrogênio, 6,13% de anidrido ftálico, 1,04% de anidrido maleico, 0,09% de naftoquinona, 8,01% de dióxido de carbono e 0,83% de monóxido de carbono</v>
      </c>
      <c r="L8" s="27">
        <v>360</v>
      </c>
      <c r="M8" s="21">
        <v>2</v>
      </c>
      <c r="N8" s="19">
        <f>(40.785*(1-0.2756*0.302+0.059035*0^4+0)*(148.118*(L8+273))^0.5/((W8)^(2/3)*(1.16145*(1.2593*(L8+273)/U8)^-0.14874+0.52487*EXP(-0.7732*(1.2593*(L8+273)/U8))+2.16178*EXP(-2.43787*(1.2593*(L8+273)/U8))))/10000)*(F8/B8)+0.034*(D8/B8)+0.0285*(I8/B8)+0.032*(E8/B8)+0.022*(0.025)</f>
        <v>3.0708189012406528E-2</v>
      </c>
      <c r="O8" s="26">
        <f>((1+M8)*148/(0.08206*(L8+273)))*(F8/B8)+((1+M8)*98/(0.08206*(L8+273)))*(G8/B8)+((1+M8)*158/(0.08206*(L8+273)))*(H8/B8)+((1+M8)*28.97/(0.08206*(L8+273)))*((D8+E8)/B8)+((1+M8)*18/(0.08206*(L8+273)))*0.025+((1+M8)*44/(0.08206*(L8+273)))*(I8/B8)+((1+M8)*28/(0.08206*(L8+273)))*(J8/B8)</f>
        <v>2.2379892889567277</v>
      </c>
      <c r="P8" s="19">
        <f>((28.11-0.000003608*(L8+273)+0.00001746*(L8+273)^2-0.00000001065*(L8+273)^3)*(D8/B8)+(-4.455+0.654*(L8+273)-0.0004283*(L8+273)^2+0.0000001009*(L8+273)^3)*(F8/B8)+(3.115*10-0.01357*(L8+273)+0.0000268*(L8+273)^2-0.00000001168*(L8+273)^3)*(E8/B8)+(3.224*10+0.001924*(L8+273)+0.00001055*(L8+273)^2-0.000000003596*(L8+273)^3)*0.025+48.19*(I8/B8))/30.54*0.238846</f>
        <v>0.36412973818956429</v>
      </c>
      <c r="Q8" s="18">
        <f>(0.034/1000)*(((28.11-0.000003608*(L8+273)+0.00001746*(L8+273)^2-0.00000001065*(L8+273)^3)-8.314)/0.032)*(1.15+2.03*8.314/((28.11-0.000003608*(L8+273)+0.00001746*(L8+273)^2-0.00000001065*(L8+273)^3)-8.314))*(D8/B8)+(0.015/1000)*(((-4.455+0.654*(L8+273)-0.0004283*(L8+273)^2+0.0000001009*(L8+273)^3)-8.314)/0.148)*(1.15+2.03*8.314/((-4.455+0.654*(L8+273)-0.0004283*(L8+273)^2+0.0000001009*(L8+273)^3)-8.314))*(F8/B8)+(0.0285/1000)*(((48.19)-8.314)/0.044)*(1.15+2.03*8.314/((48.19)-8.314))*(I8/B8)+(0.032/1000)*(((3.115*10-0.01357*(L8+273)+0.0000268*(L8+273)^2-0.00000001168*(L8+273)^3)-8.314)/0.028)*(1.15+2.03*8.314/((3.115*10-0.01357*(L8+273)+0.0000268*(L8+273)^2-0.00000001168*(L8+273)^3)-8.314))*(E8/B8)+0.025*0.0581</f>
        <v>4.702323255849674E-2</v>
      </c>
      <c r="R8" s="24">
        <f t="shared" si="8"/>
        <v>158968.74271719003</v>
      </c>
      <c r="T8" s="3">
        <v>47.6</v>
      </c>
      <c r="U8" s="3">
        <v>810</v>
      </c>
      <c r="V8" s="3">
        <v>0.63200000000000001</v>
      </c>
      <c r="W8" s="3">
        <v>368</v>
      </c>
      <c r="X8" s="3">
        <f t="shared" si="0"/>
        <v>37.840822678402162</v>
      </c>
      <c r="Z8" s="17" t="s">
        <v>81</v>
      </c>
      <c r="AA8" s="30">
        <v>160</v>
      </c>
      <c r="AB8" s="17" t="s">
        <v>82</v>
      </c>
      <c r="AC8" s="28">
        <f t="shared" si="1"/>
        <v>42.246861003118774</v>
      </c>
      <c r="AD8" s="29">
        <v>45</v>
      </c>
      <c r="AE8" s="29">
        <f t="shared" si="6"/>
        <v>141.02101843886123</v>
      </c>
      <c r="AF8" s="3">
        <f t="shared" si="2"/>
        <v>42.983205044702345</v>
      </c>
      <c r="AG8" s="3">
        <f t="shared" si="3"/>
        <v>3580542.4298205348</v>
      </c>
      <c r="AH8" s="18">
        <f t="shared" si="4"/>
        <v>5.6871280008330216E-3</v>
      </c>
      <c r="AI8" s="3"/>
      <c r="AJ8" s="3"/>
      <c r="AK8" s="3">
        <f t="shared" si="7"/>
        <v>0</v>
      </c>
      <c r="AL8" s="3">
        <v>0</v>
      </c>
      <c r="AM8" s="3">
        <f t="shared" si="5"/>
        <v>0</v>
      </c>
    </row>
    <row r="9" spans="1:39" x14ac:dyDescent="0.3">
      <c r="A9" s="4">
        <v>7</v>
      </c>
      <c r="B9" s="8">
        <f>B8</f>
        <v>355770.3434799891</v>
      </c>
      <c r="C9" s="8">
        <f>C8</f>
        <v>0</v>
      </c>
      <c r="D9" s="8">
        <f>D8</f>
        <v>31536.450653717431</v>
      </c>
      <c r="E9" s="8">
        <f>E8</f>
        <v>266933.52874753682</v>
      </c>
      <c r="F9" s="10">
        <f>F8</f>
        <v>21797.4506813429</v>
      </c>
      <c r="G9" s="8">
        <f>G8</f>
        <v>3711.4578187151428</v>
      </c>
      <c r="H9" s="8">
        <f>H8</f>
        <v>332.43216290078948</v>
      </c>
      <c r="I9" s="8">
        <f>I8</f>
        <v>28513.421972351254</v>
      </c>
      <c r="J9" s="8">
        <f>J8</f>
        <v>2945.6014434247168</v>
      </c>
      <c r="K9" t="str">
        <f>ROUND(100*D9/B9,2)&amp;"% de Oxigênio, "&amp;ROUND(100*E9/B9,2)&amp;"% de Nitrogênio, "&amp;ROUND(100*F9/B9,2)&amp;"% de anidrido ftálico, "&amp;ROUND(100*G9/B9,2)&amp;"% de anidrido maleico, "&amp;ROUND(100*H9/B9,2)&amp;"% de naftoquinona, "&amp;ROUND(100*I9/B9,2)&amp;"% de dióxido de carbono e "&amp;ROUND(100*J9/B9,2)&amp;"% de monóxido de carbono"</f>
        <v>8,86% de Oxigênio, 75,03% de Nitrogênio, 6,13% de anidrido ftálico, 1,04% de anidrido maleico, 0,09% de naftoquinona, 8,01% de dióxido de carbono e 0,83% de monóxido de carbono</v>
      </c>
      <c r="L9" s="27">
        <v>160</v>
      </c>
      <c r="M9" s="21">
        <v>1.7</v>
      </c>
      <c r="N9" s="19">
        <f>0.027*(D9/B9)+(40.785*(1-0.2756*((3/7)*((560/U9)/(1-(560/U9)))*LOG10(T9)-1)+0.059035*(131.3*5.3/(W9*U9)^0.5)^4)*(148*(L9+273))^0.5/(W9^(2/3)*((1.16145*(1.2593*(L9+273)/U9)^(-0.14874))+0.52487*EXP(-0.7732*(1.2593*(L9+273)/U9))+2.16178*EXP(-2.43787*(1.2593*(L9+273)/U9))))/10000)*(F9/B9)+0.02*(I9/B9)+0.0235*(E9/B9)+0.0145*0.025</f>
        <v>2.2614488224093992E-2</v>
      </c>
      <c r="O9" s="26">
        <f>((M9+1)*28.97/(0.08206*(L9+273)))*((D9+E9)/B9)+((M9+1)*18/(0.08206*(L9+273)))*0.025+((M9+1)*148/(0.08206*(L9+273)))*(F9/B9)+((M9+1)*98/(0.08206*(L9+273)))*(G9/B9)+((M9+1)*158/(0.08206*(L9+273)))*(H9/B9)+((M9+1)*44/(0.08206*(L9+273)))*(I9/B9)+((M9+1)*28/(0.08206*(L9+273)))*(J9/B9)</f>
        <v>2.9445323277566926</v>
      </c>
      <c r="P9" s="19">
        <f>((28.11-0.000003608*(L9+273)+0.00001746*(L9+273)^2-0.00000001065*(L9+273)^3)*(D9/B9)+(-4.455+0.654*(L9+273)-0.0004283*(L9+273)^2+0.0000001009*(L9+273)^3)*(F9/B9)+(19.8+0.07344*(L9+273)-0.00005602*(L9+273)^2+0.00000001715*(L9+273)^3)*(I9/B9)+(31.15-0.01357*(L9+273)+0.0000268*(L9+273)^2-0.00000001168*(L9+273)^3)*(E9/B9)+(32.24+0.001924*(L9+273)+0.00001055*(L9+273)^2-0.000000003596*(L9+273)^3)*0.025)/30.54*0.238846</f>
        <v>0.32581444477807786</v>
      </c>
      <c r="Q9" s="18">
        <f>(0.027/1000)*(((28.11-0.000003608*(L9+273)+0.00001746*(L9+273)^2-0.00000001065*(L9+273)^3)-8.314)/0.032)*(1.15+2.03*8.314/((28.11-0.000003608*(L9+273)+0.00001746*(L9+273)^2-0.00000001065*(L9+273)^3)-8.314))*(D9/B9)+(0.01/1000)*(((-4.455+0.654*(L9+273)-0.0004283*(L9+273)^2+0.0000001009*(L9+273)^3)-8.314)/0.044)*(1.15+2.03*8.314/((-4.455+0.654*(L9+273)-0.0004283*(L9+273)^2+0.0000001009*(L9+273)^3)-8.314))*(F9/B9)+(0.0235/1000)*(((31.15-0.01357*(L9+273)+0.0000268*(L9+273)^2-0.00000001168*(L9+273)^3)-8.314)/0.028)*(1.15+2.03*8.314/((31.15-0.01357*(L9+273)+0.0000268*(L9+273)^2-0.00000001168*(L9+273)^3)-8.314))*(E9/B9)+0.025*0.0346</f>
        <v>3.3309632579163286E-2</v>
      </c>
      <c r="R9" s="24">
        <f t="shared" si="8"/>
        <v>120824.05756809421</v>
      </c>
      <c r="T9" s="3">
        <v>47.6</v>
      </c>
      <c r="U9" s="3">
        <v>819</v>
      </c>
      <c r="V9" s="3">
        <v>0.63200000000000001</v>
      </c>
      <c r="W9" s="3">
        <v>368</v>
      </c>
      <c r="X9" s="3">
        <f>128*C9/B9+32*D9/B9+28*E9/B9+148*F9/B9+98*G9/B9+158*H9/B9+44*I9/B9+28*J9/B9</f>
        <v>37.840822678402162</v>
      </c>
      <c r="Z9" s="17" t="s">
        <v>81</v>
      </c>
      <c r="AA9" s="30">
        <v>130</v>
      </c>
      <c r="AB9" s="17" t="s">
        <v>82</v>
      </c>
      <c r="AC9" s="28">
        <f t="shared" si="1"/>
        <v>40.860492734391642</v>
      </c>
      <c r="AD9" s="29">
        <v>40</v>
      </c>
      <c r="AE9" s="29">
        <f t="shared" si="6"/>
        <v>135.65336415290335</v>
      </c>
      <c r="AF9" s="3">
        <f t="shared" si="2"/>
        <v>41.347144070696331</v>
      </c>
      <c r="AG9" s="3">
        <f t="shared" si="3"/>
        <v>5469766.5137880733</v>
      </c>
      <c r="AH9" s="18">
        <f t="shared" si="4"/>
        <v>5.4133076519259568E-3</v>
      </c>
      <c r="AI9" s="3"/>
      <c r="AJ9" s="3"/>
      <c r="AK9" s="3">
        <f t="shared" si="7"/>
        <v>0</v>
      </c>
      <c r="AL9" s="3">
        <v>0</v>
      </c>
      <c r="AM9" s="3">
        <f t="shared" si="5"/>
        <v>0</v>
      </c>
    </row>
    <row r="10" spans="1:39" x14ac:dyDescent="0.3">
      <c r="A10" s="4">
        <v>8</v>
      </c>
      <c r="B10" s="8">
        <f>B8-F8-G8-H8</f>
        <v>329929.00281703024</v>
      </c>
      <c r="C10" s="8">
        <v>0</v>
      </c>
      <c r="D10" s="8">
        <f>D9</f>
        <v>31536.450653717431</v>
      </c>
      <c r="E10" s="8">
        <f>E9</f>
        <v>266933.52874753682</v>
      </c>
      <c r="F10" s="8">
        <v>0</v>
      </c>
      <c r="G10" s="8">
        <v>0</v>
      </c>
      <c r="H10" s="8">
        <v>0</v>
      </c>
      <c r="I10" s="8">
        <f>I9</f>
        <v>28513.421972351254</v>
      </c>
      <c r="J10" s="8">
        <f>J9</f>
        <v>2945.6014434247168</v>
      </c>
      <c r="K10" t="str">
        <f>ROUND(100*D10/B10,2)&amp;"% de Oxigênio, "&amp;ROUND(100*E10/B10,2)&amp;"% de Nitrogênio, "&amp;ROUND(100*F10/B10,2)&amp;"% de anidrido ftálico, "&amp;ROUND(100*G10/B10,2)&amp;"% de anidrido maleico, "&amp;ROUND(100*H10/B10,2)&amp;"% de naftoquinona, "&amp;ROUND(100*I10/B10,2)&amp;"% de dióxido de carbono e "&amp;ROUND(100*J10/B10,2)&amp;"% de monóxido de carbono"</f>
        <v>9,56% de Oxigênio, 80,91% de Nitrogênio, 0% de anidrido ftálico, 0% de anidrido maleico, 0% de naftoquinona, 8,64% de dióxido de carbono e 0,89% de monóxido de carbono</v>
      </c>
      <c r="L10" s="27">
        <v>131</v>
      </c>
      <c r="M10" s="21">
        <v>1.4</v>
      </c>
      <c r="N10" s="19">
        <f>0.0255*(D10/B10)+0.019*(I10/B10)+0.022*(E10/B10)+0.025*0.0138</f>
        <v>2.2223865089024773E-2</v>
      </c>
      <c r="O10" s="26">
        <f>((M10+1)*28.97/(0.08206*(L10+273)))*((D10+E10)/B10)+((M10+1)*18/(0.08206*(L10+273)))*0.025+((M10+1)*44/(0.08206*(L10+273)))*(I10/B10)+((M10+1)*28/(0.08206*(L10+273)))*(J10/B10)</f>
        <v>2.2232181771259789</v>
      </c>
      <c r="P10" s="19">
        <f>((28.11-0.000003608*(L10+273)+0.00001746*(L10+273)^2-0.00000001065*(L10+273)^3)*(D10/B10)+(19.8+0.07344*(L10+273)-0.00005602*(L10+273)^2+0.00000001715*(L10+273)^3)*(I10/B10)+(31.15-0.01357*(L10+273)+0.0000268*(L10+273)^2-0.00000001168*(L10+273)^3)*(E10/B10)+(32.24+0.001924*(L10+273)+0.0000000001055*(L10+273)^2-0.000000003596*(L10+273)^3)*0.025)/28.59*0.238846</f>
        <v>0.25878825017030915</v>
      </c>
      <c r="Q10" s="18">
        <f>(0.0255/1000)*(((30.256)-8.314)/0.032)*(1.15+2.03*8.314/((30.256)-8.314))*(D10/B10)+0.0256*(I10/B10)+(0.022/1000)*(((29.272)-8.314)/0.028)*(1.15+2.03*8.314/((29.272)-8.314))*(E10/B10)</f>
        <v>3.1470120190366505E-2</v>
      </c>
      <c r="R10" s="24">
        <f t="shared" si="8"/>
        <v>148401.54070867636</v>
      </c>
      <c r="T10" s="3">
        <v>47.6</v>
      </c>
      <c r="U10" s="3">
        <v>819</v>
      </c>
      <c r="V10" s="3">
        <v>0.63200000000000001</v>
      </c>
      <c r="W10" s="3">
        <v>368</v>
      </c>
      <c r="X10" s="3">
        <f t="shared" si="0"/>
        <v>29.765108702781891</v>
      </c>
      <c r="Z10" s="17" t="s">
        <v>76</v>
      </c>
      <c r="AA10" s="30">
        <v>140</v>
      </c>
      <c r="AB10" s="17" t="s">
        <v>82</v>
      </c>
      <c r="AC10" s="28">
        <f t="shared" si="1"/>
        <v>43.636886349423165</v>
      </c>
      <c r="AD10" s="29">
        <v>45</v>
      </c>
      <c r="AE10" s="29">
        <f t="shared" si="6"/>
        <v>131.64686372254141</v>
      </c>
      <c r="AF10" s="3">
        <f t="shared" si="2"/>
        <v>40.125962778599813</v>
      </c>
      <c r="AG10" s="3">
        <f t="shared" si="3"/>
        <v>4588113.8812015308</v>
      </c>
      <c r="AH10" s="18">
        <f t="shared" si="4"/>
        <v>5.5244401873009554E-3</v>
      </c>
      <c r="AI10" s="3"/>
      <c r="AJ10" s="3"/>
      <c r="AK10" s="3">
        <f t="shared" si="7"/>
        <v>0</v>
      </c>
      <c r="AL10" s="3">
        <v>0</v>
      </c>
      <c r="AM10" s="3">
        <f t="shared" si="5"/>
        <v>0</v>
      </c>
    </row>
    <row r="11" spans="1:39" x14ac:dyDescent="0.3">
      <c r="A11" s="4">
        <v>9</v>
      </c>
      <c r="B11" s="8">
        <f>B9-B10</f>
        <v>25841.340662958857</v>
      </c>
      <c r="C11" s="8">
        <v>0</v>
      </c>
      <c r="D11" s="8">
        <v>0</v>
      </c>
      <c r="E11" s="8">
        <v>0</v>
      </c>
      <c r="F11" s="8">
        <f>F9</f>
        <v>21797.4506813429</v>
      </c>
      <c r="G11" s="8">
        <f>G9</f>
        <v>3711.4578187151428</v>
      </c>
      <c r="H11" s="8">
        <f>H9</f>
        <v>332.43216290078948</v>
      </c>
      <c r="I11" s="8">
        <v>0</v>
      </c>
      <c r="J11" s="8">
        <v>0</v>
      </c>
      <c r="K11" t="str">
        <f>ROUND(100*D11/B11,2)&amp;"% de Oxigênio, "&amp;ROUND(100*E11/B11,2)&amp;"% de Nitrogênio, "&amp;ROUND(100*F11/B11,2)&amp;"% de anidrido ftálico, "&amp;ROUND(100*G11/B11,2)&amp;"% de anidrido maleico, "&amp;ROUND(100*H11/B11,2)&amp;"% de naftoquinona, "&amp;ROUND(100*I11/B11,2)&amp;"% de dióxido de carbono e "&amp;ROUND(100*J11/B11,2)&amp;"% de monóxido de carbono"</f>
        <v>0% de Oxigênio, 0% de Nitrogênio, 84,35% de anidrido ftálico, 14,36% de anidrido maleico, 1,29% de naftoquinona, 0% de dióxido de carbono e 0% de monóxido de carbono</v>
      </c>
      <c r="L11" s="27">
        <f>L10</f>
        <v>131</v>
      </c>
      <c r="M11" s="21">
        <f>M10</f>
        <v>1.4</v>
      </c>
      <c r="N11" s="19">
        <f>0.001*(2.648-3.725*V11+1.309*V11^2)+0.000608*(7.425-13.39*V11+5.933*V11^2)/(0.176*(U11/(148^3*T11^4))^(1/6))*(F11/B11)+(1.36*98)*EXP((-1*(6.95+0.21*4)-1+((275+99*4)+420)/(L11+273)))*(G11/B11)</f>
        <v>0.38342810705524871</v>
      </c>
      <c r="O11" s="26">
        <f>(148/((8.314*U11/T11*(0.292-0.0967*((3/7)*((560/U11)/(1-(560/U11)))*LOG10(T11)-1))/100)*((0.33593-0.33953*((L11+273)/U11)+1.51941*((L11+273)/U11)^2-2.02512*((L11+273)/U11)^3+1.11422*((L11+273)/U11)^4)*(1-((3/7)*((560/U11)/(1-(560/U11)))*LOG10(T11)-1)*(0.29607-0.09045*((L11+273)/U11)-0.04842*((L11+273)/U11)^2))))*(F11/B11)+1230*(G11/B11)+1420*(H11/B11))</f>
        <v>1419.0872952469108</v>
      </c>
      <c r="P11" s="19">
        <f>0.2627*(F11/B11)+0.396*(G11/B11)</f>
        <v>0.27846572219508198</v>
      </c>
      <c r="Q11" s="18">
        <f>((0.494*560^0)/(148^0.5*U11^(-0.167)))*(1-V11)^0.38/V11^(1/6)</f>
        <v>0.10731965896566691</v>
      </c>
      <c r="R11" s="24">
        <f>B11/O11</f>
        <v>18.209831593526214</v>
      </c>
      <c r="T11" s="3">
        <v>47.6</v>
      </c>
      <c r="U11" s="3">
        <v>810</v>
      </c>
      <c r="V11" s="20">
        <f>(L11+273)/(U11)</f>
        <v>0.49876543209876545</v>
      </c>
      <c r="W11" s="3">
        <v>368</v>
      </c>
      <c r="X11" s="3">
        <f t="shared" si="0"/>
        <v>140.94740270314267</v>
      </c>
      <c r="Z11" s="17" t="s">
        <v>78</v>
      </c>
      <c r="AA11" s="30">
        <v>4.5</v>
      </c>
      <c r="AB11" s="17" t="s">
        <v>80</v>
      </c>
      <c r="AC11" s="28">
        <f>((0.408*R11/0.227124)/(AA11))^0.5</f>
        <v>2.6961576038131887</v>
      </c>
      <c r="AD11" s="29">
        <v>3</v>
      </c>
      <c r="AE11" s="29">
        <f t="shared" si="6"/>
        <v>3.6346329122998378</v>
      </c>
      <c r="AF11" s="3">
        <f t="shared" si="2"/>
        <v>1.1078360762182362</v>
      </c>
      <c r="AG11" s="3">
        <f t="shared" si="3"/>
        <v>312432.0953268641</v>
      </c>
      <c r="AH11" s="18">
        <f t="shared" si="4"/>
        <v>7.7574735429156369E-3</v>
      </c>
      <c r="AI11" s="3"/>
      <c r="AJ11" s="3"/>
      <c r="AK11" s="3">
        <f t="shared" si="7"/>
        <v>0</v>
      </c>
      <c r="AL11" s="3">
        <v>0</v>
      </c>
      <c r="AM11" s="3">
        <f t="shared" si="5"/>
        <v>0</v>
      </c>
    </row>
    <row r="12" spans="1:39" x14ac:dyDescent="0.3">
      <c r="A12" s="4">
        <v>10</v>
      </c>
      <c r="B12" s="8">
        <f>(0.1436*B11-0.00014*B14)/0.974</f>
        <v>3806.7589186867476</v>
      </c>
      <c r="C12" s="8">
        <v>0</v>
      </c>
      <c r="D12" s="8">
        <v>0</v>
      </c>
      <c r="E12" s="8">
        <v>0</v>
      </c>
      <c r="F12" s="8">
        <f>F11-F13</f>
        <v>85.567286421199242</v>
      </c>
      <c r="G12" s="8">
        <f t="shared" ref="G12" si="10">G11-G13</f>
        <v>3708.4169506144244</v>
      </c>
      <c r="H12" s="8">
        <f>H11-H13</f>
        <v>12.774681651100991</v>
      </c>
      <c r="I12" s="8">
        <v>0</v>
      </c>
      <c r="J12" s="8">
        <v>0</v>
      </c>
      <c r="L12" s="27">
        <v>141</v>
      </c>
      <c r="M12" s="21">
        <v>0.11</v>
      </c>
      <c r="N12" s="19">
        <f>(0.001*(2.648-3.725*V12+1.309*V12^2)+0.000608*(7.425-13.39*V12+5.933*V12^2))/(0.176*(810/(148^3*47.6^4))^(1/6))*(F12/B12)+(EXP((-1*(6.95+0.21*4)-1)+((275+99*4)+420)/(L12+273))*1.36*98)*(G12/B12)</f>
        <v>0.29161593442706502</v>
      </c>
      <c r="O12" s="26">
        <f>((148/((0.33593-0.33953*V12+1.51941*V12^2-2.02512*V12^3+1.11422*V12^4)*(1-0.595*(0.29607-0.09042*V12-0.04842*V12^2))*(8.314*U12/T12*(0.292-0.0967*((3/7)*((560/U12)/(1-(560/U12)))*LOG10(T12)-1))/100)))*(F12/B12)+1219*(G12/B12)+1420*(H12/B12))</f>
        <v>1224.4751012279196</v>
      </c>
      <c r="P12" s="19">
        <f>0.2627*(F12/B12)+0.396*(G12/B12)</f>
        <v>0.39167482639024831</v>
      </c>
      <c r="Q12" s="18">
        <f>(((0.494*560^0)/(148^0.5*U11^(-0.167)))*(1-V11)^0.38/V11^(1/6))*(F12/B12)+0.163*(G12/B12)</f>
        <v>0.16120143882376192</v>
      </c>
      <c r="R12" s="24">
        <f>B12/O12</f>
        <v>3.1088904256765044</v>
      </c>
      <c r="T12" s="3">
        <v>47.6</v>
      </c>
      <c r="U12" s="3">
        <v>810</v>
      </c>
      <c r="V12" s="20">
        <f>(L12+273)/U12</f>
        <v>0.51111111111111107</v>
      </c>
      <c r="W12" s="3">
        <v>368</v>
      </c>
      <c r="X12" s="3">
        <f t="shared" si="0"/>
        <v>99.325233703494973</v>
      </c>
      <c r="Z12" s="17" t="s">
        <v>83</v>
      </c>
      <c r="AA12" s="30">
        <v>3</v>
      </c>
      <c r="AB12" s="17" t="s">
        <v>80</v>
      </c>
      <c r="AC12" s="28">
        <f t="shared" si="1"/>
        <v>1.3643966606269615</v>
      </c>
      <c r="AD12" s="29">
        <v>1.5</v>
      </c>
      <c r="AE12" s="29">
        <f t="shared" si="6"/>
        <v>2.4821043300400052</v>
      </c>
      <c r="AF12" s="3">
        <f t="shared" si="2"/>
        <v>0.75654537558674162</v>
      </c>
      <c r="AG12" s="3">
        <f t="shared" si="3"/>
        <v>121031.56924662618</v>
      </c>
      <c r="AH12" s="18">
        <f>1.6364/(LN(0.135*0.00005/(AD12*0.0254)+6.5*AG12))^2</f>
        <v>8.8791386350620411E-3</v>
      </c>
      <c r="AI12" s="3">
        <v>28</v>
      </c>
      <c r="AJ12" s="3">
        <v>0</v>
      </c>
      <c r="AK12" s="3">
        <f t="shared" si="7"/>
        <v>0.19035962978205839</v>
      </c>
      <c r="AL12" s="3">
        <v>8</v>
      </c>
      <c r="AM12" s="3">
        <f>IF(AI12=0,0,AK12+(M12*10.33*(1000/O12))+AL12+AF12^2/(2*9.81))</f>
        <v>9.1475214189385099</v>
      </c>
    </row>
    <row r="13" spans="1:39" ht="15" thickBot="1" x14ac:dyDescent="0.35">
      <c r="A13" s="4">
        <v>11</v>
      </c>
      <c r="B13" s="9">
        <f>B11-B12</f>
        <v>22034.581744272109</v>
      </c>
      <c r="C13" s="8">
        <v>0</v>
      </c>
      <c r="D13" s="8">
        <f>D14+D15</f>
        <v>0</v>
      </c>
      <c r="E13" s="8">
        <f t="shared" ref="E13:J13" si="11">E14+E15</f>
        <v>0</v>
      </c>
      <c r="F13" s="8">
        <f t="shared" si="11"/>
        <v>21711.883394921701</v>
      </c>
      <c r="G13" s="8">
        <f t="shared" si="11"/>
        <v>3.0408681007185914</v>
      </c>
      <c r="H13" s="8">
        <f>H14+H15</f>
        <v>319.65748124968849</v>
      </c>
      <c r="I13" s="8">
        <f t="shared" si="11"/>
        <v>0</v>
      </c>
      <c r="J13" s="8">
        <f t="shared" si="11"/>
        <v>0</v>
      </c>
      <c r="L13" s="27">
        <v>241</v>
      </c>
      <c r="M13" s="21">
        <v>0.3</v>
      </c>
      <c r="N13" s="19">
        <f>0.001*(2.648-3.725*V13+1.309*V13^2)+0.000608*(7.425-13.39*V13+5.933*V13^2)/(0.176*(U13/(148^3*T13^4))^(1/6))</f>
        <v>0.2389531051919801</v>
      </c>
      <c r="O13" s="26">
        <f>148/((0.33593-0.33953*V13+1.51941*V13^2-2.02512*V13^3+1.11422*V13^4)*(1-((3/7)*(560/U13)/(1-(560/U13))*(LOG10(T13))-1)*(0.29607-0.09045*V13-0.04842*V13^2))*((8.314*U11/T11*(0.292-0.0967*((3/7)*((560/U11)/(1-(560/U11)))*LOG10(T11)-1))/100)))*(F13/B13)+1513.44*(G13/B13)+1420*(H13/B13)</f>
        <v>1312.3570020250818</v>
      </c>
      <c r="P13" s="19">
        <f>(2*15.9+4*22+2*53+35)/148*0.238846</f>
        <v>0.42088538378378376</v>
      </c>
      <c r="Q13" s="18">
        <f>(((0.494*560^0)/(148^0.5*U13^(-0.167)))*(1-V13)^0.38/V13^(1/6))</f>
        <v>9.1432364080142201E-2</v>
      </c>
      <c r="R13" s="24">
        <f>B13/O13</f>
        <v>16.790082051050756</v>
      </c>
      <c r="T13" s="3">
        <v>47.6</v>
      </c>
      <c r="U13" s="3">
        <v>810</v>
      </c>
      <c r="V13" s="20">
        <f>(L13+273)/U13</f>
        <v>0.63456790123456785</v>
      </c>
      <c r="W13" s="3">
        <v>368</v>
      </c>
      <c r="X13" s="3">
        <f t="shared" si="0"/>
        <v>148.13817060123014</v>
      </c>
      <c r="Z13" s="17" t="s">
        <v>78</v>
      </c>
      <c r="AA13" s="30">
        <v>4</v>
      </c>
      <c r="AB13" s="17" t="s">
        <v>84</v>
      </c>
      <c r="AC13" s="28">
        <f t="shared" si="1"/>
        <v>2.7459648963563841</v>
      </c>
      <c r="AD13" s="29">
        <v>3</v>
      </c>
      <c r="AE13" s="29">
        <f t="shared" si="6"/>
        <v>3.3512547608984562</v>
      </c>
      <c r="AF13" s="3">
        <f t="shared" si="2"/>
        <v>1.021462418435052</v>
      </c>
      <c r="AG13" s="3">
        <f t="shared" si="3"/>
        <v>427480.86379502044</v>
      </c>
      <c r="AH13" s="18">
        <f t="shared" si="4"/>
        <v>7.43309938952234E-3</v>
      </c>
      <c r="AI13" s="3">
        <v>20</v>
      </c>
      <c r="AJ13" s="3">
        <v>0</v>
      </c>
      <c r="AK13" s="3">
        <f t="shared" si="7"/>
        <v>0.10375063097815396</v>
      </c>
      <c r="AL13" s="3">
        <v>8</v>
      </c>
      <c r="AM13" s="3">
        <f>IF(AI13=0,0,AK13+(M13*10.33*(1000/O13))+AL13+AF13^2/(2*9.81))</f>
        <v>10.518330452324179</v>
      </c>
    </row>
    <row r="14" spans="1:39" ht="15" thickBot="1" x14ac:dyDescent="0.35">
      <c r="A14" s="7">
        <v>12</v>
      </c>
      <c r="B14" s="14">
        <v>21666.66</v>
      </c>
      <c r="C14" s="12">
        <v>0</v>
      </c>
      <c r="D14" s="8">
        <v>0</v>
      </c>
      <c r="E14" s="8">
        <v>0</v>
      </c>
      <c r="F14" s="8">
        <f>0.998*B14</f>
        <v>21623.326679999998</v>
      </c>
      <c r="G14" s="8">
        <f>B14*(2.69/19166.67)</f>
        <v>3.0408681007185914</v>
      </c>
      <c r="H14" s="8">
        <f>B14-F14-G14</f>
        <v>40.292451899282959</v>
      </c>
      <c r="I14" s="8">
        <v>0</v>
      </c>
      <c r="J14" s="8">
        <v>0</v>
      </c>
      <c r="K14" t="s">
        <v>24</v>
      </c>
      <c r="L14" s="27">
        <v>190</v>
      </c>
      <c r="M14" s="21">
        <v>0.05</v>
      </c>
      <c r="N14" s="19">
        <f>((0.001*(2.648-3.725*V14+1.309*V14^2))+0.000608*(7.425-13.39*V14+5.933*V14^2))/(0.176*(U14/(148^3*T14^4))^(1/6))</f>
        <v>0.59053791261733646</v>
      </c>
      <c r="O14" s="26">
        <f>148/(((0.33593-0.33953*V14+1.51941*V14^2-2.02512*V14^3+1.11422*V14^4))*(1-((3/7)*(560/U14)/(1-(560/U14))*(LOG10(T14))-1)*(0.29607-0.09045*V14-0.04842*V14^2))*(8.314*U11/T11*(0.292-0.0967*((3/7)*((560/U11)/(1-(560/U11)))*LOG10(T11)-1))/100))*(F14/B14)+1363.3*(G14/B14)+1420*(H14/B14)</f>
        <v>1376.9054431446591</v>
      </c>
      <c r="P14" s="19">
        <f>P13</f>
        <v>0.42088538378378376</v>
      </c>
      <c r="Q14" s="18">
        <f>(((0.494*560^0)/(148^0.5*U14^(-0.167)))*(1-V14)^0.38/V14^(1/6))</f>
        <v>9.8832091773053507E-2</v>
      </c>
      <c r="R14" s="24">
        <f>B14/O14</f>
        <v>15.735764650996211</v>
      </c>
      <c r="T14" s="3">
        <v>47.6</v>
      </c>
      <c r="U14" s="3">
        <v>810</v>
      </c>
      <c r="V14" s="20">
        <f>(L14+273)/U14</f>
        <v>0.57160493827160497</v>
      </c>
      <c r="W14" s="3">
        <v>368</v>
      </c>
      <c r="X14" s="3">
        <f t="shared" si="0"/>
        <v>148.01157913189928</v>
      </c>
      <c r="Z14" s="17" t="s">
        <v>78</v>
      </c>
      <c r="AA14" s="30">
        <v>4</v>
      </c>
      <c r="AB14" s="17" t="s">
        <v>84</v>
      </c>
      <c r="AC14" s="28">
        <f t="shared" si="1"/>
        <v>2.6583520671004925</v>
      </c>
      <c r="AD14" s="29">
        <v>3</v>
      </c>
      <c r="AE14" s="29">
        <f t="shared" si="6"/>
        <v>3.1408158722922055</v>
      </c>
      <c r="AF14" s="3">
        <f t="shared" si="2"/>
        <v>0.95732064724040355</v>
      </c>
      <c r="AG14" s="3">
        <f t="shared" si="3"/>
        <v>170086.06326113359</v>
      </c>
      <c r="AH14" s="18">
        <f t="shared" si="4"/>
        <v>8.4502438764688867E-3</v>
      </c>
      <c r="AI14" s="3">
        <v>12</v>
      </c>
      <c r="AJ14" s="3">
        <v>0</v>
      </c>
      <c r="AK14" s="3">
        <f t="shared" si="7"/>
        <v>6.2160051582539441E-2</v>
      </c>
      <c r="AL14" s="3">
        <f>AL12</f>
        <v>8</v>
      </c>
      <c r="AM14" s="3">
        <f>IF(AI14=0,0,AK14+(M14*10.33*(1000/O14))+AL14+AF14^2/(2*9.81))</f>
        <v>8.4839872307184923</v>
      </c>
    </row>
    <row r="15" spans="1:39" x14ac:dyDescent="0.3">
      <c r="A15" s="4">
        <v>13</v>
      </c>
      <c r="B15" s="10">
        <f>B13-B14</f>
        <v>367.92174427210921</v>
      </c>
      <c r="C15" s="8">
        <v>0</v>
      </c>
      <c r="D15" s="8">
        <v>0</v>
      </c>
      <c r="E15" s="8">
        <v>0</v>
      </c>
      <c r="F15" s="8">
        <f>B15*(50.05/207.94)</f>
        <v>88.556714921703687</v>
      </c>
      <c r="G15" s="8">
        <v>0</v>
      </c>
      <c r="H15" s="8">
        <f>B15-F15</f>
        <v>279.36502935040551</v>
      </c>
      <c r="I15" s="8">
        <v>0</v>
      </c>
      <c r="J15" s="8">
        <v>0</v>
      </c>
      <c r="L15" s="27">
        <v>241</v>
      </c>
      <c r="M15" s="21">
        <v>0.2</v>
      </c>
      <c r="N15" s="19">
        <f>0.873</f>
        <v>0.873</v>
      </c>
      <c r="O15" s="26">
        <v>1393.5</v>
      </c>
      <c r="P15" s="19">
        <v>5.4600000000000003E-2</v>
      </c>
      <c r="Q15" s="18">
        <v>9.7199999999999995E-2</v>
      </c>
      <c r="R15" s="24">
        <f t="shared" ref="R15:R24" si="12">B15/O15</f>
        <v>0.26402708595056273</v>
      </c>
      <c r="T15" s="3">
        <v>47.6</v>
      </c>
      <c r="U15" s="3">
        <v>810</v>
      </c>
      <c r="V15" s="20">
        <f t="shared" ref="V15:V24" si="13">(L15+273)/U15</f>
        <v>0.63456790123456785</v>
      </c>
      <c r="W15" s="3">
        <v>368</v>
      </c>
      <c r="X15" s="3">
        <f t="shared" si="0"/>
        <v>155.5930556891411</v>
      </c>
      <c r="Z15" s="17" t="s">
        <v>85</v>
      </c>
      <c r="AA15" s="30">
        <v>1.5</v>
      </c>
      <c r="AB15" s="17" t="s">
        <v>79</v>
      </c>
      <c r="AC15" s="28">
        <f t="shared" si="1"/>
        <v>0.56231177665845977</v>
      </c>
      <c r="AD15" s="29">
        <v>0.5</v>
      </c>
      <c r="AE15" s="29">
        <f t="shared" si="6"/>
        <v>1.8971672050127613</v>
      </c>
      <c r="AF15" s="3">
        <f t="shared" si="2"/>
        <v>0.57825654558368023</v>
      </c>
      <c r="AG15" s="3">
        <f t="shared" si="3"/>
        <v>11722.412717800575</v>
      </c>
      <c r="AH15" s="18">
        <f t="shared" si="4"/>
        <v>1.2950153975338382E-2</v>
      </c>
      <c r="AI15" s="3">
        <f>AI14</f>
        <v>12</v>
      </c>
      <c r="AJ15" s="3">
        <v>0</v>
      </c>
      <c r="AK15" s="3">
        <f t="shared" si="7"/>
        <v>0.2085424969240936</v>
      </c>
      <c r="AL15" s="3">
        <v>6</v>
      </c>
      <c r="AM15" s="3">
        <f>IF(AI15=0,0,AK15+(M15*10.33*(1000/O15))+AL15+AF15^2/(2*9.81))</f>
        <v>7.7081831180035119</v>
      </c>
    </row>
    <row r="16" spans="1:39" x14ac:dyDescent="0.3">
      <c r="A16" s="4">
        <v>14</v>
      </c>
      <c r="B16" s="25">
        <v>457.98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L16" s="27">
        <v>350</v>
      </c>
      <c r="M16" s="21">
        <v>1</v>
      </c>
      <c r="N16" s="19">
        <v>1.7</v>
      </c>
      <c r="O16" s="26">
        <v>1980</v>
      </c>
      <c r="P16" s="19">
        <v>0.373</v>
      </c>
      <c r="Q16" s="18">
        <v>0.61</v>
      </c>
      <c r="R16" s="24">
        <f>B16/O16</f>
        <v>0.23130303030303032</v>
      </c>
      <c r="T16" s="3">
        <v>47.6</v>
      </c>
      <c r="U16" s="3">
        <v>810</v>
      </c>
      <c r="V16" s="20">
        <f t="shared" si="13"/>
        <v>0.76913580246913582</v>
      </c>
      <c r="W16" s="3">
        <v>368</v>
      </c>
      <c r="X16" s="3">
        <f t="shared" si="0"/>
        <v>0</v>
      </c>
      <c r="Z16" s="17" t="s">
        <v>75</v>
      </c>
      <c r="AA16" s="30">
        <v>3</v>
      </c>
      <c r="AB16" s="17" t="s">
        <v>80</v>
      </c>
      <c r="AC16" s="28">
        <f t="shared" si="1"/>
        <v>0.37215906449231173</v>
      </c>
      <c r="AD16" s="29">
        <f>3/8</f>
        <v>0.375</v>
      </c>
      <c r="AE16" s="29">
        <f t="shared" si="6"/>
        <v>2.9547172113875764</v>
      </c>
      <c r="AF16" s="3">
        <f t="shared" si="2"/>
        <v>0.90059777721180445</v>
      </c>
      <c r="AG16" s="3">
        <f t="shared" si="3"/>
        <v>9991.0728113682508</v>
      </c>
      <c r="AH16" s="18">
        <f t="shared" si="4"/>
        <v>1.3326374344668619E-2</v>
      </c>
      <c r="AI16" s="3">
        <v>8</v>
      </c>
      <c r="AJ16" s="3">
        <v>0</v>
      </c>
      <c r="AK16" s="3">
        <f t="shared" si="7"/>
        <v>0.46270026659452357</v>
      </c>
      <c r="AL16" s="3">
        <v>0</v>
      </c>
      <c r="AM16" s="3">
        <f>IF(AI16=0,0,AK16+(M16*10.33*(1000/O16))+AL16+AF16^2/(2*9.81))</f>
        <v>5.7212112475949279</v>
      </c>
    </row>
    <row r="17" spans="1:39" x14ac:dyDescent="0.3">
      <c r="A17" s="4">
        <v>15</v>
      </c>
      <c r="B17" s="8">
        <f>B14*2.43</f>
        <v>52649.983800000002</v>
      </c>
      <c r="C17" s="8">
        <f>C14*$B$17/$B$14</f>
        <v>0</v>
      </c>
      <c r="D17" s="8">
        <f t="shared" ref="D17:J17" si="14">D14*$B$17/$B$14</f>
        <v>0</v>
      </c>
      <c r="E17" s="8">
        <f t="shared" si="14"/>
        <v>0</v>
      </c>
      <c r="F17" s="8">
        <f>F14*$B$17/$B$14</f>
        <v>52544.683832399998</v>
      </c>
      <c r="G17" s="8">
        <f>G14*$B$17/$B$14</f>
        <v>7.3893094847461782</v>
      </c>
      <c r="H17" s="8">
        <f>H14*$B$17/$B$14</f>
        <v>97.91065811525759</v>
      </c>
      <c r="I17" s="8">
        <f t="shared" si="14"/>
        <v>0</v>
      </c>
      <c r="J17" s="8">
        <f t="shared" si="14"/>
        <v>0</v>
      </c>
      <c r="L17" s="27">
        <f>L14</f>
        <v>190</v>
      </c>
      <c r="M17" s="21">
        <f t="shared" ref="M17:Q17" si="15">M14</f>
        <v>0.05</v>
      </c>
      <c r="N17" s="19">
        <f t="shared" si="15"/>
        <v>0.59053791261733646</v>
      </c>
      <c r="O17" s="26">
        <f t="shared" si="15"/>
        <v>1376.9054431446591</v>
      </c>
      <c r="P17" s="19">
        <f t="shared" si="15"/>
        <v>0.42088538378378376</v>
      </c>
      <c r="Q17" s="18">
        <f t="shared" si="15"/>
        <v>9.8832091773053507E-2</v>
      </c>
      <c r="R17" s="24">
        <f t="shared" si="12"/>
        <v>38.237908101920794</v>
      </c>
      <c r="T17" s="3">
        <v>47.6</v>
      </c>
      <c r="U17" s="3">
        <v>810</v>
      </c>
      <c r="V17" s="20">
        <f t="shared" si="13"/>
        <v>0.57160493827160497</v>
      </c>
      <c r="W17" s="3">
        <v>368</v>
      </c>
      <c r="X17" s="3">
        <f t="shared" si="0"/>
        <v>148.01157913189931</v>
      </c>
      <c r="Z17" s="17" t="s">
        <v>78</v>
      </c>
      <c r="AA17" s="30">
        <v>4</v>
      </c>
      <c r="AB17" s="17" t="s">
        <v>80</v>
      </c>
      <c r="AC17" s="28">
        <f t="shared" si="1"/>
        <v>4.1439607601614226</v>
      </c>
      <c r="AD17" s="29">
        <v>4</v>
      </c>
      <c r="AE17" s="29">
        <f t="shared" si="6"/>
        <v>4.2931026954394085</v>
      </c>
      <c r="AF17" s="3">
        <f t="shared" si="2"/>
        <v>1.3085376596967266</v>
      </c>
      <c r="AG17" s="3">
        <f t="shared" si="3"/>
        <v>309981.85029341595</v>
      </c>
      <c r="AH17" s="18">
        <f t="shared" si="4"/>
        <v>7.7658910097607057E-3</v>
      </c>
      <c r="AI17" s="3"/>
      <c r="AJ17" s="3"/>
      <c r="AK17" s="3">
        <f t="shared" si="7"/>
        <v>0</v>
      </c>
      <c r="AL17" s="3">
        <v>0</v>
      </c>
      <c r="AM17" s="3">
        <f t="shared" si="5"/>
        <v>0</v>
      </c>
    </row>
    <row r="18" spans="1:39" x14ac:dyDescent="0.3">
      <c r="A18" s="4">
        <v>16</v>
      </c>
      <c r="B18" s="8">
        <f>B17+B14</f>
        <v>74316.643800000005</v>
      </c>
      <c r="C18" s="8">
        <f>C17+C14</f>
        <v>0</v>
      </c>
      <c r="D18" s="8">
        <f t="shared" ref="D18:J18" si="16">D17+D14</f>
        <v>0</v>
      </c>
      <c r="E18" s="8">
        <f t="shared" si="16"/>
        <v>0</v>
      </c>
      <c r="F18" s="8">
        <f t="shared" si="16"/>
        <v>74168.010512399997</v>
      </c>
      <c r="G18" s="8">
        <f t="shared" si="16"/>
        <v>10.430177585464769</v>
      </c>
      <c r="H18" s="8">
        <f t="shared" si="16"/>
        <v>138.20311001454056</v>
      </c>
      <c r="I18" s="8">
        <f t="shared" si="16"/>
        <v>0</v>
      </c>
      <c r="J18" s="8">
        <f t="shared" si="16"/>
        <v>0</v>
      </c>
      <c r="L18" s="27">
        <v>215</v>
      </c>
      <c r="M18" s="21">
        <v>0.25</v>
      </c>
      <c r="N18" s="19">
        <f>(40.785*(1-0.2756*0.302+0.059035*0^4+0)*(148.118*(L18+273))^0.5/((W18)^(2/3)*(1.16145*(1.2593*(L18+273)/U18)^-0.14874+0.52487*EXP(-0.7732*(1.2593*(L18+273)/U18))+2.16178*EXP(-2.43787*(1.2593*(L18+273)/U18))))/10000)*(F18/B18)+0.034*(D18/B18)+0.0285*(I18/B18)+0.032*(E18/B18)+0.022*(0.025)</f>
        <v>1.1155151365666327E-2</v>
      </c>
      <c r="O18" s="26">
        <f>(148/((8.314*U18/T18*(0.292-0.0967*((3/7)*((560/U18)/(1-(560/U18)))*LOG10(T18)-1))/100)*((0.33593-0.33953*((L18+273)/U18)+1.51941*((L18+273)/U18)^2-2.02512*((L18+273)/U18)^3+1.11422*((L18+273)/U18)^4)*(1-((3/7)*((560/U18)/(1-(560/U18)))*LOG10(T18)-1)*(0.29607-0.09045*((L18+273)/U18)-0.04842*((L18+273)/U18)^2))))*(F18/B18)+1230*(G18/B18)+1420*(H18/B18))/1000</f>
        <v>1.344875130530476</v>
      </c>
      <c r="P18" s="19">
        <f>((28.11-0.000003608*(L18+273)+0.00001746*(L18+273)^2-0.00000001065*(L18+273)^3)*(D18/B18)+(-4.455+0.654*(L18+273)-0.0004283*(L18+273)^2+0.0000001009*(L18+273)^3)*(F18/B18)+(3.115*10-0.01357*(L18+273)+0.0000268*(L18+273)^2-0.00000001168*(L18+273)^3)*(E18/B18)+(3.224*10+0.001924*(L18+273)+0.00001055*(L18+273)^2-0.000000003596*(L18+273)^3)*0.025+48.19*(I18/B18))/30.54*0.238846</f>
        <v>1.7585676376464203</v>
      </c>
      <c r="Q18" s="18">
        <f>(0.034/1000)*(((28.11-0.000003608*(L18+273)+0.00001746*(L18+273)^2-0.00000001065*(L18+273)^3)-8.314)/0.032)*(1.15+2.03*8.314/((28.11-0.000003608*(L18+273)+0.00001746*(L18+273)^2-0.00000001065*(L18+273)^3)-8.314))*(D18/B18)+(0.015/1000)*(((-4.455+0.654*(L18+273)-0.0004283*(L18+273)^2+0.0000001009*(L18+273)^3)-8.314)/0.148)*(1.15+2.03*8.314/((-4.455+0.654*(L18+273)-0.0004283*(L18+273)^2+0.0000001009*(L18+273)^3)-8.314))*(F18/B18)+(0.0285/1000)*(((48.19)-8.314)/0.044)*(1.15+2.03*8.314/((48.19)-8.314))*(I18/B18)+(0.032/1000)*(((3.115*10-0.01357*(L18+273)+0.0000268*(L18+273)^2-0.00000001168*(L18+273)^3)-8.314)/0.028)*(1.15+2.03*8.314/((3.115*10-0.01357*(L18+273)+0.0000268*(L18+273)^2-0.00000001168*(L18+273)^3)-8.314))*(E18/B18)+0.025*0.0581</f>
        <v>2.8297974080240904E-2</v>
      </c>
      <c r="R18" s="24">
        <f t="shared" si="12"/>
        <v>55259.140505249998</v>
      </c>
      <c r="T18" s="3">
        <v>47.6</v>
      </c>
      <c r="U18" s="3">
        <v>810</v>
      </c>
      <c r="V18" s="20">
        <f t="shared" si="13"/>
        <v>0.60246913580246919</v>
      </c>
      <c r="W18" s="3">
        <v>368</v>
      </c>
      <c r="X18" s="3">
        <f t="shared" si="0"/>
        <v>148.01157913189928</v>
      </c>
      <c r="Z18" s="17" t="s">
        <v>76</v>
      </c>
      <c r="AA18" s="30">
        <v>130</v>
      </c>
      <c r="AB18" s="31">
        <v>60</v>
      </c>
      <c r="AC18" s="28">
        <f t="shared" si="1"/>
        <v>27.633058353509217</v>
      </c>
      <c r="AD18" s="29">
        <v>30</v>
      </c>
      <c r="AE18" s="29">
        <f t="shared" si="6"/>
        <v>110.29574312877547</v>
      </c>
      <c r="AF18" s="3">
        <f t="shared" si="2"/>
        <v>33.618141429870235</v>
      </c>
      <c r="AG18" s="3">
        <f t="shared" si="3"/>
        <v>3088411.5380027322</v>
      </c>
      <c r="AH18" s="18">
        <f t="shared" si="4"/>
        <v>5.7875838540944061E-3</v>
      </c>
      <c r="AI18" s="3"/>
      <c r="AJ18" s="3"/>
      <c r="AK18" s="3">
        <f t="shared" si="7"/>
        <v>0</v>
      </c>
      <c r="AL18" s="3">
        <v>0</v>
      </c>
      <c r="AM18" s="3">
        <f t="shared" si="5"/>
        <v>0</v>
      </c>
    </row>
    <row r="19" spans="1:39" x14ac:dyDescent="0.3">
      <c r="A19" s="4">
        <v>17</v>
      </c>
      <c r="B19" s="8">
        <f>6.83*B12</f>
        <v>26000.163414630486</v>
      </c>
      <c r="C19" s="8">
        <f t="shared" ref="C19:J19" si="17">6.83*C12</f>
        <v>0</v>
      </c>
      <c r="D19" s="8">
        <f t="shared" si="17"/>
        <v>0</v>
      </c>
      <c r="E19" s="8">
        <f t="shared" si="17"/>
        <v>0</v>
      </c>
      <c r="F19" s="8">
        <f>6.83*F12</f>
        <v>584.42456625679085</v>
      </c>
      <c r="G19" s="8">
        <f t="shared" si="17"/>
        <v>25328.487772696521</v>
      </c>
      <c r="H19" s="8">
        <f t="shared" si="17"/>
        <v>87.25107567701977</v>
      </c>
      <c r="I19" s="8">
        <f t="shared" si="17"/>
        <v>0</v>
      </c>
      <c r="J19" s="8">
        <f t="shared" si="17"/>
        <v>0</v>
      </c>
      <c r="L19" s="27">
        <f>L12</f>
        <v>141</v>
      </c>
      <c r="M19" s="21">
        <f t="shared" ref="M19:Q19" si="18">M12</f>
        <v>0.11</v>
      </c>
      <c r="N19" s="19">
        <f t="shared" si="18"/>
        <v>0.29161593442706502</v>
      </c>
      <c r="O19" s="26">
        <f t="shared" si="18"/>
        <v>1224.4751012279196</v>
      </c>
      <c r="P19" s="19">
        <f t="shared" si="18"/>
        <v>0.39167482639024831</v>
      </c>
      <c r="Q19" s="18">
        <f t="shared" si="18"/>
        <v>0.16120143882376192</v>
      </c>
      <c r="R19" s="24">
        <f t="shared" si="12"/>
        <v>21.233721607370523</v>
      </c>
      <c r="T19" s="3">
        <v>47.6</v>
      </c>
      <c r="U19" s="3">
        <v>810</v>
      </c>
      <c r="V19" s="20">
        <f t="shared" si="13"/>
        <v>0.51111111111111107</v>
      </c>
      <c r="W19" s="3">
        <v>368</v>
      </c>
      <c r="X19" s="3">
        <f t="shared" si="0"/>
        <v>99.325233703494973</v>
      </c>
      <c r="Z19" s="17" t="s">
        <v>78</v>
      </c>
      <c r="AA19" s="30">
        <v>5</v>
      </c>
      <c r="AB19" s="17" t="s">
        <v>80</v>
      </c>
      <c r="AC19" s="28">
        <f t="shared" si="1"/>
        <v>2.7620187650300196</v>
      </c>
      <c r="AD19" s="29">
        <v>3</v>
      </c>
      <c r="AE19" s="29">
        <f t="shared" si="6"/>
        <v>4.2381931435433087</v>
      </c>
      <c r="AF19" s="3">
        <f t="shared" si="2"/>
        <v>1.2918012288143612</v>
      </c>
      <c r="AG19" s="3">
        <f t="shared" si="3"/>
        <v>413322.80897722836</v>
      </c>
      <c r="AH19" s="18">
        <f t="shared" si="4"/>
        <v>7.4669604785893842E-3</v>
      </c>
      <c r="AI19" s="3"/>
      <c r="AJ19" s="3"/>
      <c r="AK19" s="3">
        <f t="shared" si="7"/>
        <v>0</v>
      </c>
      <c r="AL19" s="3">
        <v>0</v>
      </c>
      <c r="AM19" s="3">
        <f t="shared" si="5"/>
        <v>0</v>
      </c>
    </row>
    <row r="20" spans="1:39" x14ac:dyDescent="0.3">
      <c r="A20" s="4">
        <v>18</v>
      </c>
      <c r="B20" s="8">
        <f>B12+B19</f>
        <v>29806.922333317234</v>
      </c>
      <c r="C20" s="8">
        <f>C19+C12</f>
        <v>0</v>
      </c>
      <c r="D20" s="8">
        <f t="shared" ref="D20:J20" si="19">D19+D12</f>
        <v>0</v>
      </c>
      <c r="E20" s="8">
        <f t="shared" si="19"/>
        <v>0</v>
      </c>
      <c r="F20" s="8">
        <f t="shared" si="19"/>
        <v>669.9918526779901</v>
      </c>
      <c r="G20" s="8">
        <f t="shared" si="19"/>
        <v>29036.904723310945</v>
      </c>
      <c r="H20" s="8">
        <f t="shared" si="19"/>
        <v>100.02575732812076</v>
      </c>
      <c r="I20" s="8">
        <f t="shared" si="19"/>
        <v>0</v>
      </c>
      <c r="J20" s="8">
        <f t="shared" si="19"/>
        <v>0</v>
      </c>
      <c r="L20" s="27">
        <v>191</v>
      </c>
      <c r="M20" s="21">
        <v>0.22</v>
      </c>
      <c r="N20" s="19">
        <v>0.58399999999999996</v>
      </c>
      <c r="O20" s="26">
        <v>2.68</v>
      </c>
      <c r="P20" s="19">
        <v>0.28499999999999998</v>
      </c>
      <c r="Q20" s="18">
        <v>3.5000000000000003E-2</v>
      </c>
      <c r="R20" s="24">
        <f t="shared" si="12"/>
        <v>11121.985945267625</v>
      </c>
      <c r="T20" s="3">
        <v>47.6</v>
      </c>
      <c r="U20" s="3">
        <v>810</v>
      </c>
      <c r="V20" s="20">
        <f t="shared" si="13"/>
        <v>0.57283950617283952</v>
      </c>
      <c r="W20" s="3">
        <v>368</v>
      </c>
      <c r="X20" s="3">
        <f t="shared" si="0"/>
        <v>99.325233703494973</v>
      </c>
      <c r="Z20" s="17" t="s">
        <v>76</v>
      </c>
      <c r="AA20" s="30">
        <v>130</v>
      </c>
      <c r="AB20" s="17" t="s">
        <v>84</v>
      </c>
      <c r="AC20" s="28">
        <f t="shared" si="1"/>
        <v>12.397041706373605</v>
      </c>
      <c r="AD20" s="29">
        <v>12</v>
      </c>
      <c r="AE20" s="29">
        <f t="shared" si="6"/>
        <v>138.74488610446983</v>
      </c>
      <c r="AF20" s="3">
        <f t="shared" si="2"/>
        <v>42.289439931380329</v>
      </c>
      <c r="AG20" s="3">
        <f t="shared" si="3"/>
        <v>59151.919623470989</v>
      </c>
      <c r="AH20" s="18">
        <f t="shared" si="4"/>
        <v>9.8953249216294139E-3</v>
      </c>
      <c r="AI20" s="3"/>
      <c r="AJ20" s="3"/>
      <c r="AK20" s="3">
        <f t="shared" si="7"/>
        <v>0</v>
      </c>
      <c r="AL20" s="3">
        <v>0</v>
      </c>
      <c r="AM20" s="3">
        <f t="shared" si="5"/>
        <v>0</v>
      </c>
    </row>
    <row r="21" spans="1:39" x14ac:dyDescent="0.3">
      <c r="A21" s="4">
        <v>19</v>
      </c>
      <c r="B21" s="8">
        <f>6.83*B13</f>
        <v>150496.19331337852</v>
      </c>
      <c r="C21" s="8">
        <f t="shared" ref="C21:J21" si="20">6.83*C13</f>
        <v>0</v>
      </c>
      <c r="D21" s="8">
        <f t="shared" si="20"/>
        <v>0</v>
      </c>
      <c r="E21" s="8">
        <f t="shared" si="20"/>
        <v>0</v>
      </c>
      <c r="F21" s="8">
        <f t="shared" si="20"/>
        <v>148292.16358731521</v>
      </c>
      <c r="G21" s="8">
        <f t="shared" si="20"/>
        <v>20.769129127907981</v>
      </c>
      <c r="H21" s="8">
        <f t="shared" si="20"/>
        <v>2183.2605969353722</v>
      </c>
      <c r="I21" s="8">
        <f t="shared" si="20"/>
        <v>0</v>
      </c>
      <c r="J21" s="8">
        <f t="shared" si="20"/>
        <v>0</v>
      </c>
      <c r="L21" s="27">
        <v>251</v>
      </c>
      <c r="M21" s="21">
        <v>0.32</v>
      </c>
      <c r="N21" s="19">
        <v>3.5000000000000003E-2</v>
      </c>
      <c r="O21" s="26">
        <v>2.15</v>
      </c>
      <c r="P21" s="19">
        <v>0.34799999999999998</v>
      </c>
      <c r="Q21" s="18">
        <v>0.04</v>
      </c>
      <c r="R21" s="24">
        <f t="shared" si="12"/>
        <v>69998.229448083031</v>
      </c>
      <c r="T21" s="3">
        <v>47.6</v>
      </c>
      <c r="U21" s="3">
        <v>810</v>
      </c>
      <c r="V21" s="20">
        <f t="shared" si="13"/>
        <v>0.64691358024691359</v>
      </c>
      <c r="W21" s="3">
        <v>368</v>
      </c>
      <c r="X21" s="3">
        <f t="shared" si="0"/>
        <v>148.13817060123012</v>
      </c>
      <c r="Z21" s="17" t="s">
        <v>76</v>
      </c>
      <c r="AA21" s="30">
        <v>130</v>
      </c>
      <c r="AB21" s="17" t="s">
        <v>86</v>
      </c>
      <c r="AC21" s="28">
        <f t="shared" si="1"/>
        <v>31.100718244852313</v>
      </c>
      <c r="AD21" s="29">
        <v>30</v>
      </c>
      <c r="AE21" s="29">
        <f t="shared" si="6"/>
        <v>139.71456421659963</v>
      </c>
      <c r="AF21" s="3">
        <f t="shared" si="2"/>
        <v>42.584997810499637</v>
      </c>
      <c r="AG21" s="3">
        <f t="shared" si="3"/>
        <v>1993342.9117983298</v>
      </c>
      <c r="AH21" s="18">
        <f t="shared" si="4"/>
        <v>6.1011836772188813E-3</v>
      </c>
      <c r="AI21" s="3"/>
      <c r="AJ21" s="3"/>
      <c r="AK21" s="3">
        <f t="shared" si="7"/>
        <v>0</v>
      </c>
      <c r="AL21" s="3">
        <v>0</v>
      </c>
      <c r="AM21" s="3">
        <f t="shared" si="5"/>
        <v>0</v>
      </c>
    </row>
    <row r="22" spans="1:39" x14ac:dyDescent="0.3">
      <c r="A22" s="4">
        <v>20</v>
      </c>
      <c r="B22" s="8">
        <f>2.43*B15</f>
        <v>894.04983858122546</v>
      </c>
      <c r="C22" s="8">
        <f t="shared" ref="C22:J22" si="21">2.43*C15</f>
        <v>0</v>
      </c>
      <c r="D22" s="8">
        <f t="shared" si="21"/>
        <v>0</v>
      </c>
      <c r="E22" s="8">
        <f t="shared" si="21"/>
        <v>0</v>
      </c>
      <c r="F22" s="8">
        <f t="shared" si="21"/>
        <v>215.19281725973997</v>
      </c>
      <c r="G22" s="8">
        <f t="shared" si="21"/>
        <v>0</v>
      </c>
      <c r="H22" s="8">
        <f t="shared" si="21"/>
        <v>678.85702132148538</v>
      </c>
      <c r="I22" s="8">
        <f t="shared" si="21"/>
        <v>0</v>
      </c>
      <c r="J22" s="8">
        <f t="shared" si="21"/>
        <v>0</v>
      </c>
      <c r="L22" s="27">
        <v>251</v>
      </c>
      <c r="M22" s="21">
        <v>0.45</v>
      </c>
      <c r="N22" s="19">
        <v>0.09</v>
      </c>
      <c r="O22" s="26">
        <v>3.17</v>
      </c>
      <c r="P22" s="19">
        <v>0.45</v>
      </c>
      <c r="Q22" s="18">
        <v>0.05</v>
      </c>
      <c r="R22" s="24">
        <f t="shared" si="12"/>
        <v>282.03464939470837</v>
      </c>
      <c r="T22" s="3">
        <v>47.6</v>
      </c>
      <c r="U22" s="3">
        <v>810</v>
      </c>
      <c r="V22" s="20">
        <f t="shared" si="13"/>
        <v>0.64691358024691359</v>
      </c>
      <c r="W22" s="3">
        <v>368</v>
      </c>
      <c r="X22" s="3">
        <f t="shared" si="0"/>
        <v>155.59305568914107</v>
      </c>
      <c r="Z22" s="17" t="s">
        <v>76</v>
      </c>
      <c r="AA22" s="30">
        <v>130</v>
      </c>
      <c r="AB22" s="17" t="s">
        <v>80</v>
      </c>
      <c r="AC22" s="28">
        <f t="shared" si="1"/>
        <v>1.9741408022151157</v>
      </c>
      <c r="AD22" s="29">
        <v>2</v>
      </c>
      <c r="AE22" s="29">
        <f t="shared" si="6"/>
        <v>126.66003697654256</v>
      </c>
      <c r="AF22" s="3">
        <f t="shared" si="2"/>
        <v>38.605978035058875</v>
      </c>
      <c r="AG22" s="3">
        <f t="shared" si="3"/>
        <v>69077.247542819343</v>
      </c>
      <c r="AH22" s="18">
        <f t="shared" si="4"/>
        <v>9.6608561866127051E-3</v>
      </c>
      <c r="AI22" s="3"/>
      <c r="AJ22" s="3"/>
      <c r="AK22" s="3">
        <f t="shared" si="7"/>
        <v>0</v>
      </c>
      <c r="AL22" s="3">
        <v>0</v>
      </c>
      <c r="AM22" s="3">
        <f t="shared" si="5"/>
        <v>0</v>
      </c>
    </row>
    <row r="23" spans="1:39" x14ac:dyDescent="0.3">
      <c r="A23" s="4">
        <v>21</v>
      </c>
      <c r="B23" s="8">
        <f>B22+B15</f>
        <v>1261.9715828533347</v>
      </c>
      <c r="C23" s="8">
        <f t="shared" ref="C23:J23" si="22">C22+C15</f>
        <v>0</v>
      </c>
      <c r="D23" s="8">
        <f t="shared" si="22"/>
        <v>0</v>
      </c>
      <c r="E23" s="8">
        <f t="shared" si="22"/>
        <v>0</v>
      </c>
      <c r="F23" s="8">
        <f t="shared" si="22"/>
        <v>303.74953218144367</v>
      </c>
      <c r="G23" s="8">
        <f t="shared" si="22"/>
        <v>0</v>
      </c>
      <c r="H23" s="8">
        <f t="shared" si="22"/>
        <v>958.22205067189088</v>
      </c>
      <c r="I23" s="8">
        <f t="shared" si="22"/>
        <v>0</v>
      </c>
      <c r="J23" s="8">
        <f t="shared" si="22"/>
        <v>0</v>
      </c>
      <c r="L23" s="27">
        <f>L15</f>
        <v>241</v>
      </c>
      <c r="M23" s="21">
        <f t="shared" ref="M23:Q23" si="23">M15</f>
        <v>0.2</v>
      </c>
      <c r="N23" s="19">
        <f t="shared" si="23"/>
        <v>0.873</v>
      </c>
      <c r="O23" s="26">
        <f t="shared" si="23"/>
        <v>1393.5</v>
      </c>
      <c r="P23" s="19">
        <f t="shared" si="23"/>
        <v>5.4600000000000003E-2</v>
      </c>
      <c r="Q23" s="18">
        <f t="shared" si="23"/>
        <v>9.7199999999999995E-2</v>
      </c>
      <c r="R23" s="24">
        <f>B23/O23</f>
        <v>0.90561290481043033</v>
      </c>
      <c r="T23" s="3">
        <v>47.6</v>
      </c>
      <c r="U23" s="3">
        <v>810</v>
      </c>
      <c r="V23" s="20">
        <f t="shared" si="13"/>
        <v>0.63456790123456785</v>
      </c>
      <c r="W23" s="3">
        <v>368</v>
      </c>
      <c r="X23" s="3">
        <f t="shared" si="0"/>
        <v>155.59305568914107</v>
      </c>
      <c r="Z23" s="17" t="s">
        <v>75</v>
      </c>
      <c r="AA23" s="30">
        <v>2</v>
      </c>
      <c r="AB23" s="17" t="s">
        <v>79</v>
      </c>
      <c r="AC23" s="28">
        <f t="shared" si="1"/>
        <v>0.90189269824587304</v>
      </c>
      <c r="AD23" s="29">
        <v>0.75</v>
      </c>
      <c r="AE23" s="29">
        <f t="shared" si="6"/>
        <v>2.8921260058638985</v>
      </c>
      <c r="AF23" s="3">
        <f t="shared" si="2"/>
        <v>0.8815199783786769</v>
      </c>
      <c r="AG23" s="3">
        <f t="shared" si="3"/>
        <v>26805.25041470398</v>
      </c>
      <c r="AH23" s="18">
        <f t="shared" si="4"/>
        <v>1.1235895587687195E-2</v>
      </c>
      <c r="AI23" s="3">
        <f>AI28</f>
        <v>8</v>
      </c>
      <c r="AJ23" s="3">
        <v>0</v>
      </c>
      <c r="AK23" s="3">
        <f t="shared" si="7"/>
        <v>0.18688223419972272</v>
      </c>
      <c r="AL23" s="3">
        <f>AL24</f>
        <v>12</v>
      </c>
      <c r="AM23" s="3">
        <f t="shared" ref="AM23:AM30" si="24">IF(AI23=0,0,AK23+(M23*10.33*(1000/O23))+AL23+AF23^2/(2*9.81))</f>
        <v>13.709086404706785</v>
      </c>
    </row>
    <row r="24" spans="1:39" x14ac:dyDescent="0.3">
      <c r="A24" s="4">
        <v>22</v>
      </c>
      <c r="B24" s="8">
        <f>B13+B21</f>
        <v>172530.77505765064</v>
      </c>
      <c r="C24" s="8">
        <f t="shared" ref="C24:J24" si="25">C13+C21</f>
        <v>0</v>
      </c>
      <c r="D24" s="8">
        <f t="shared" si="25"/>
        <v>0</v>
      </c>
      <c r="E24" s="8">
        <f t="shared" si="25"/>
        <v>0</v>
      </c>
      <c r="F24" s="8">
        <f t="shared" si="25"/>
        <v>170004.04698223691</v>
      </c>
      <c r="G24" s="8">
        <f t="shared" si="25"/>
        <v>23.809997228626571</v>
      </c>
      <c r="H24" s="8">
        <f t="shared" si="25"/>
        <v>2502.9180781850605</v>
      </c>
      <c r="I24" s="8">
        <f t="shared" si="25"/>
        <v>0</v>
      </c>
      <c r="J24" s="8">
        <f t="shared" si="25"/>
        <v>0</v>
      </c>
      <c r="L24" s="27">
        <f>L13</f>
        <v>241</v>
      </c>
      <c r="M24" s="21">
        <f t="shared" ref="M24:Q24" si="26">M13</f>
        <v>0.3</v>
      </c>
      <c r="N24" s="19">
        <f t="shared" si="26"/>
        <v>0.2389531051919801</v>
      </c>
      <c r="O24" s="26">
        <f t="shared" si="26"/>
        <v>1312.3570020250818</v>
      </c>
      <c r="P24" s="19">
        <f t="shared" si="26"/>
        <v>0.42088538378378376</v>
      </c>
      <c r="Q24" s="18">
        <f t="shared" si="26"/>
        <v>9.1432364080142201E-2</v>
      </c>
      <c r="R24" s="24">
        <f t="shared" si="12"/>
        <v>131.46634245972746</v>
      </c>
      <c r="T24" s="3">
        <v>47.6</v>
      </c>
      <c r="U24" s="3">
        <v>810</v>
      </c>
      <c r="V24" s="20">
        <f t="shared" si="13"/>
        <v>0.63456790123456785</v>
      </c>
      <c r="W24" s="3">
        <v>368</v>
      </c>
      <c r="X24" s="3">
        <f t="shared" si="0"/>
        <v>148.13817060123012</v>
      </c>
      <c r="Z24" s="17" t="s">
        <v>75</v>
      </c>
      <c r="AA24" s="30">
        <v>3</v>
      </c>
      <c r="AB24" s="17" t="s">
        <v>79</v>
      </c>
      <c r="AC24" s="28">
        <f t="shared" si="1"/>
        <v>8.8724841128910885</v>
      </c>
      <c r="AD24" s="29">
        <v>8</v>
      </c>
      <c r="AE24" s="29">
        <f t="shared" si="6"/>
        <v>3.6900456718830354</v>
      </c>
      <c r="AF24" s="3">
        <f t="shared" si="2"/>
        <v>1.1247258847987209</v>
      </c>
      <c r="AG24" s="3">
        <f t="shared" si="3"/>
        <v>1255190.6863181293</v>
      </c>
      <c r="AH24" s="18">
        <f t="shared" si="4"/>
        <v>6.4609741423365267E-3</v>
      </c>
      <c r="AI24" s="3">
        <v>14</v>
      </c>
      <c r="AJ24" s="3">
        <v>0</v>
      </c>
      <c r="AK24" s="3">
        <f t="shared" si="7"/>
        <v>2.870097910181952E-2</v>
      </c>
      <c r="AL24" s="3">
        <v>12</v>
      </c>
      <c r="AM24" s="3">
        <f t="shared" si="24"/>
        <v>14.454576562102334</v>
      </c>
    </row>
    <row r="25" spans="1:39" x14ac:dyDescent="0.3">
      <c r="A25" s="33">
        <v>23</v>
      </c>
      <c r="B25" s="8">
        <f>B3</f>
        <v>26931.21319702598</v>
      </c>
      <c r="C25" s="8">
        <f t="shared" ref="C25:Q25" si="27">C3</f>
        <v>26931.21319702598</v>
      </c>
      <c r="D25" s="8">
        <f t="shared" si="27"/>
        <v>0</v>
      </c>
      <c r="E25" s="8">
        <f t="shared" si="27"/>
        <v>0</v>
      </c>
      <c r="F25" s="8">
        <f t="shared" si="27"/>
        <v>0</v>
      </c>
      <c r="G25" s="8">
        <f t="shared" si="27"/>
        <v>0</v>
      </c>
      <c r="H25" s="8">
        <f t="shared" si="27"/>
        <v>0</v>
      </c>
      <c r="I25" s="8">
        <f t="shared" si="27"/>
        <v>0</v>
      </c>
      <c r="J25" s="8">
        <f t="shared" si="27"/>
        <v>0</v>
      </c>
      <c r="K25" s="34" t="str">
        <f t="shared" si="27"/>
        <v>100% Naftaleno</v>
      </c>
      <c r="L25" s="27">
        <f t="shared" si="27"/>
        <v>200</v>
      </c>
      <c r="M25" s="21">
        <v>3.35</v>
      </c>
      <c r="N25" s="19">
        <f t="shared" si="27"/>
        <v>0.34291371735306608</v>
      </c>
      <c r="O25" s="26">
        <f t="shared" si="27"/>
        <v>860.63925705524537</v>
      </c>
      <c r="P25" s="19">
        <f>P3</f>
        <v>0.51</v>
      </c>
      <c r="Q25" s="18">
        <f t="shared" si="27"/>
        <v>0.11175544615463463</v>
      </c>
      <c r="R25" s="24">
        <f>B25/O25</f>
        <v>31.292104068287042</v>
      </c>
      <c r="T25" s="3">
        <v>47.6</v>
      </c>
      <c r="U25" s="3">
        <v>810</v>
      </c>
      <c r="V25" s="20">
        <f t="shared" ref="V25" si="28">(L25+273)/U25</f>
        <v>0.58395061728395059</v>
      </c>
      <c r="W25" s="3">
        <v>368</v>
      </c>
      <c r="X25" s="3">
        <f t="shared" ref="X25" si="29">128*C25/B25+32*D25/B25+28*E25/B25+148*F25/B25+98*G25/B25+158*H25/B25+44*I25/B25+28*J25/B25</f>
        <v>128</v>
      </c>
      <c r="Z25" s="17" t="s">
        <v>78</v>
      </c>
      <c r="AA25" s="30">
        <v>4</v>
      </c>
      <c r="AB25" s="17" t="s">
        <v>79</v>
      </c>
      <c r="AC25" s="28">
        <f>((0.408*R25/0.227124)/(AA25))^0.5</f>
        <v>3.7487454767798214</v>
      </c>
      <c r="AD25" s="29">
        <v>4</v>
      </c>
      <c r="AE25" s="29">
        <f t="shared" si="6"/>
        <v>3.513273162419293</v>
      </c>
      <c r="AF25" s="3">
        <f t="shared" si="2"/>
        <v>1.0708456256383405</v>
      </c>
      <c r="AG25" s="3">
        <f t="shared" si="3"/>
        <v>273059.23467765067</v>
      </c>
      <c r="AH25" s="18">
        <f t="shared" si="4"/>
        <v>7.9033894644122693E-3</v>
      </c>
      <c r="AI25" s="3">
        <v>8</v>
      </c>
      <c r="AJ25" s="3">
        <v>0</v>
      </c>
      <c r="AK25" s="3">
        <f>AH25*(AI25+AJ25)*AF25^2/((AD25*0.0254)*2*9.81)</f>
        <v>3.6371766436831952E-2</v>
      </c>
      <c r="AL25" s="3">
        <v>5</v>
      </c>
      <c r="AM25" s="3">
        <f t="shared" si="24"/>
        <v>45.303882957260136</v>
      </c>
    </row>
    <row r="26" spans="1:39" x14ac:dyDescent="0.3">
      <c r="A26" s="33">
        <v>24</v>
      </c>
      <c r="B26" s="8">
        <f>B16</f>
        <v>457.98</v>
      </c>
      <c r="C26" s="8">
        <f t="shared" ref="C26:J26" si="30">C16</f>
        <v>0</v>
      </c>
      <c r="D26" s="8">
        <f t="shared" si="30"/>
        <v>0</v>
      </c>
      <c r="E26" s="8">
        <f t="shared" si="30"/>
        <v>0</v>
      </c>
      <c r="F26" s="8">
        <f t="shared" si="30"/>
        <v>0</v>
      </c>
      <c r="G26" s="8">
        <f t="shared" si="30"/>
        <v>0</v>
      </c>
      <c r="H26" s="8">
        <f t="shared" si="30"/>
        <v>0</v>
      </c>
      <c r="I26" s="8">
        <f t="shared" si="30"/>
        <v>0</v>
      </c>
      <c r="J26" s="8">
        <f t="shared" si="30"/>
        <v>0</v>
      </c>
      <c r="K26" s="34"/>
      <c r="L26" s="27">
        <v>280</v>
      </c>
      <c r="M26" s="21">
        <v>1</v>
      </c>
      <c r="N26" s="19">
        <v>1.36</v>
      </c>
      <c r="O26" s="26">
        <v>1584</v>
      </c>
      <c r="P26" s="19">
        <v>0.29799999999999999</v>
      </c>
      <c r="Q26" s="18">
        <v>0.48</v>
      </c>
      <c r="R26" s="24">
        <f>B26/O26</f>
        <v>0.28912878787878787</v>
      </c>
      <c r="T26" s="3">
        <v>47.6</v>
      </c>
      <c r="U26" s="3">
        <v>810</v>
      </c>
      <c r="V26" s="20">
        <f t="shared" ref="V26" si="31">(L26+273)/U26</f>
        <v>0.68271604938271602</v>
      </c>
      <c r="W26" s="3">
        <v>368</v>
      </c>
      <c r="X26" s="3">
        <f t="shared" ref="X26" si="32">128*C26/B26+32*D26/B26+28*E26/B26+148*F26/B26+98*G26/B26+158*H26/B26+44*I26/B26+28*J26/B26</f>
        <v>0</v>
      </c>
      <c r="Z26" s="17" t="s">
        <v>75</v>
      </c>
      <c r="AA26" s="30">
        <v>3</v>
      </c>
      <c r="AB26" s="17" t="s">
        <v>80</v>
      </c>
      <c r="AC26" s="28">
        <f>((0.408*R26/0.227124)/(AA26))^0.5</f>
        <v>0.41608648332376863</v>
      </c>
      <c r="AD26" s="29">
        <v>0.5</v>
      </c>
      <c r="AE26" s="29">
        <f t="shared" si="6"/>
        <v>2.0775355392568895</v>
      </c>
      <c r="AF26" s="3">
        <f t="shared" si="2"/>
        <v>0.63323281210204996</v>
      </c>
      <c r="AG26" s="3">
        <f t="shared" ref="AG26" si="33">(AD26*0.0254)*O26*AF26/(N26*0.001)</f>
        <v>9366.630760657732</v>
      </c>
      <c r="AH26" s="18">
        <f>1.6364/(LN(0.135*0.00005/(AD26*0.0254)+6.5*AG26))^2</f>
        <v>1.3482969858418327E-2</v>
      </c>
      <c r="AI26" s="3">
        <v>56</v>
      </c>
      <c r="AJ26" s="3">
        <v>0</v>
      </c>
      <c r="AK26" s="3">
        <f>AH26*(AI26+AJ26)*AF26^2/((AD26*0.0254)*2*9.81)</f>
        <v>1.2150598983190037</v>
      </c>
      <c r="AL26" s="3">
        <v>4</v>
      </c>
      <c r="AM26" s="3">
        <f t="shared" si="24"/>
        <v>11.756962047042705</v>
      </c>
    </row>
    <row r="27" spans="1:39" x14ac:dyDescent="0.3">
      <c r="A27" s="33">
        <v>25</v>
      </c>
      <c r="B27" s="8">
        <f>B20</f>
        <v>29806.922333317234</v>
      </c>
      <c r="C27" s="8">
        <f t="shared" ref="C27:J27" si="34">C20</f>
        <v>0</v>
      </c>
      <c r="D27" s="8">
        <f t="shared" si="34"/>
        <v>0</v>
      </c>
      <c r="E27" s="8">
        <f t="shared" si="34"/>
        <v>0</v>
      </c>
      <c r="F27" s="8">
        <f t="shared" si="34"/>
        <v>669.9918526779901</v>
      </c>
      <c r="G27" s="8">
        <f t="shared" si="34"/>
        <v>29036.904723310945</v>
      </c>
      <c r="H27" s="8">
        <f t="shared" si="34"/>
        <v>100.02575732812076</v>
      </c>
      <c r="I27" s="8">
        <f t="shared" si="34"/>
        <v>0</v>
      </c>
      <c r="J27" s="8">
        <f t="shared" si="34"/>
        <v>0</v>
      </c>
      <c r="K27" s="34"/>
      <c r="L27" s="43">
        <v>141</v>
      </c>
      <c r="M27" s="44">
        <v>0.11</v>
      </c>
      <c r="N27" s="45">
        <f>N20</f>
        <v>0.58399999999999996</v>
      </c>
      <c r="O27" s="46">
        <v>1224.5</v>
      </c>
      <c r="P27" s="45">
        <f t="shared" ref="P27:Q27" si="35">P20</f>
        <v>0.28499999999999998</v>
      </c>
      <c r="Q27" s="47">
        <f t="shared" si="35"/>
        <v>3.5000000000000003E-2</v>
      </c>
      <c r="R27" s="48">
        <f>B27/O27</f>
        <v>24.342117054566952</v>
      </c>
      <c r="T27" s="3">
        <v>47.6</v>
      </c>
      <c r="U27" s="3">
        <v>810</v>
      </c>
      <c r="V27" s="20">
        <f t="shared" ref="V27" si="36">(L27+273)/U27</f>
        <v>0.51111111111111107</v>
      </c>
      <c r="W27" s="3">
        <v>368</v>
      </c>
      <c r="X27" s="3">
        <f t="shared" ref="X27" si="37">128*C27/B27+32*D27/B27+28*E27/B27+148*F27/B27+98*G27/B27+158*H27/B27+44*I27/B27+28*J27/B27</f>
        <v>99.325233703494973</v>
      </c>
      <c r="Z27" s="17" t="s">
        <v>75</v>
      </c>
      <c r="AA27" s="30">
        <v>3</v>
      </c>
      <c r="AB27" s="17" t="s">
        <v>80</v>
      </c>
      <c r="AC27" s="28">
        <f>((0.408*R27/0.227124)/(AA27))^0.5</f>
        <v>3.8178346335430029</v>
      </c>
      <c r="AD27" s="29">
        <v>4</v>
      </c>
      <c r="AE27" s="29">
        <f t="shared" si="6"/>
        <v>2.7329739917025817</v>
      </c>
      <c r="AF27" s="3">
        <f t="shared" si="2"/>
        <v>0.8330104460146126</v>
      </c>
      <c r="AG27" s="3">
        <f t="shared" ref="AG27" si="38">(AD27*0.0254)*O27*AF27/(N27*0.001)</f>
        <v>177455.75887041292</v>
      </c>
      <c r="AH27" s="18">
        <f>1.6364/(LN(0.135*0.00005/(AD27*0.0254)+6.5*AG27))^2</f>
        <v>8.398964282698906E-3</v>
      </c>
      <c r="AI27" s="3">
        <v>8</v>
      </c>
      <c r="AJ27" s="3">
        <v>0</v>
      </c>
      <c r="AK27" s="3">
        <f>AH27*(AI27+AJ27)*AF27^2/((AD27*0.0254)*2*9.81)</f>
        <v>2.3389659819067772E-2</v>
      </c>
      <c r="AL27" s="3">
        <v>6</v>
      </c>
      <c r="AM27" s="3">
        <f t="shared" si="24"/>
        <v>6.9867275589004301</v>
      </c>
    </row>
    <row r="28" spans="1:39" x14ac:dyDescent="0.3">
      <c r="A28" s="33">
        <v>26</v>
      </c>
      <c r="B28" s="8">
        <f>B18</f>
        <v>74316.643800000005</v>
      </c>
      <c r="C28" s="8">
        <f t="shared" ref="C28:J28" si="39">C18</f>
        <v>0</v>
      </c>
      <c r="D28" s="8">
        <f t="shared" si="39"/>
        <v>0</v>
      </c>
      <c r="E28" s="8">
        <f t="shared" si="39"/>
        <v>0</v>
      </c>
      <c r="F28" s="8">
        <f t="shared" si="39"/>
        <v>74168.010512399997</v>
      </c>
      <c r="G28" s="8">
        <f t="shared" si="39"/>
        <v>10.430177585464769</v>
      </c>
      <c r="H28" s="8">
        <f t="shared" si="39"/>
        <v>138.20311001454056</v>
      </c>
      <c r="I28" s="8">
        <f t="shared" si="39"/>
        <v>0</v>
      </c>
      <c r="J28" s="8">
        <f t="shared" si="39"/>
        <v>0</v>
      </c>
      <c r="K28" s="8"/>
      <c r="L28" s="27">
        <v>190</v>
      </c>
      <c r="M28" s="21">
        <v>0.05</v>
      </c>
      <c r="N28" s="19">
        <v>0.59799999999999998</v>
      </c>
      <c r="O28" s="26">
        <v>1370.7</v>
      </c>
      <c r="P28" s="19">
        <v>0.42099999999999999</v>
      </c>
      <c r="Q28" s="18">
        <v>9.8000000000000004E-2</v>
      </c>
      <c r="R28" s="24">
        <f>B28/O28</f>
        <v>54.21802276209236</v>
      </c>
      <c r="T28" s="3">
        <v>47.6</v>
      </c>
      <c r="U28" s="3">
        <v>810</v>
      </c>
      <c r="V28" s="20">
        <f t="shared" ref="V28:V29" si="40">(L28+273)/U28</f>
        <v>0.57160493827160497</v>
      </c>
      <c r="W28" s="3">
        <v>368</v>
      </c>
      <c r="X28" s="3">
        <f t="shared" ref="X28:X30" si="41">128*C28/B28+32*D28/B28+28*E28/B28+148*F28/B28+98*G28/B28+158*H28/B28+44*I28/B28+28*J28/B28</f>
        <v>148.01157913189928</v>
      </c>
      <c r="Z28" s="17" t="s">
        <v>75</v>
      </c>
      <c r="AA28" s="30">
        <v>3</v>
      </c>
      <c r="AB28" s="17" t="s">
        <v>80</v>
      </c>
      <c r="AC28" s="28">
        <f>((0.408*R28/0.227124)/(AA28))^0.5</f>
        <v>5.6978338094207741</v>
      </c>
      <c r="AD28" s="29">
        <v>5</v>
      </c>
      <c r="AE28" s="29">
        <f t="shared" si="6"/>
        <v>3.8958372143734139</v>
      </c>
      <c r="AF28" s="3">
        <f t="shared" si="2"/>
        <v>1.18745114494258</v>
      </c>
      <c r="AG28" s="3">
        <f>(AD28*0.0254)*O28*AF28/(N28*0.001)</f>
        <v>345669.21256746637</v>
      </c>
      <c r="AH28" s="18">
        <f>1.6364/(LN(0.135*0.00005/(AD28*0.0254)+6.5*AG28))^2</f>
        <v>7.6505976212377638E-3</v>
      </c>
      <c r="AI28" s="3">
        <v>8</v>
      </c>
      <c r="AJ28" s="3">
        <v>0</v>
      </c>
      <c r="AK28" s="3">
        <f>AH28*(AI28+AJ28)*AF28^2/((AD28*0.0254)*2*9.81)</f>
        <v>3.463491492825798E-2</v>
      </c>
      <c r="AL28" s="3">
        <v>6</v>
      </c>
      <c r="AM28" s="3">
        <f t="shared" si="24"/>
        <v>6.4833171745630782</v>
      </c>
    </row>
    <row r="29" spans="1:39" x14ac:dyDescent="0.3">
      <c r="A29" s="33">
        <v>27</v>
      </c>
      <c r="B29" s="34">
        <f>1757497+1757497+764036.24+5877154.92616235+567360.17</f>
        <v>10723545.336162349</v>
      </c>
      <c r="C29" s="34">
        <v>0</v>
      </c>
      <c r="D29" s="34">
        <v>0</v>
      </c>
      <c r="E29" s="34">
        <v>0</v>
      </c>
      <c r="F29" s="34">
        <v>0</v>
      </c>
      <c r="G29" s="34">
        <v>0</v>
      </c>
      <c r="H29" s="34">
        <v>0</v>
      </c>
      <c r="I29" s="34">
        <v>0</v>
      </c>
      <c r="J29" s="34">
        <v>0</v>
      </c>
      <c r="K29" s="34"/>
      <c r="L29" s="35">
        <v>30</v>
      </c>
      <c r="M29" s="36">
        <v>1</v>
      </c>
      <c r="N29" s="37">
        <v>1</v>
      </c>
      <c r="O29" s="38">
        <v>1000</v>
      </c>
      <c r="P29" s="37">
        <v>1</v>
      </c>
      <c r="Q29" s="23">
        <v>1</v>
      </c>
      <c r="R29" s="49">
        <f>B29/O29</f>
        <v>10723.545336162349</v>
      </c>
      <c r="T29" s="3">
        <v>47.6</v>
      </c>
      <c r="U29" s="3">
        <v>810</v>
      </c>
      <c r="V29" s="20">
        <f t="shared" si="40"/>
        <v>0.37407407407407406</v>
      </c>
      <c r="W29" s="3">
        <v>368</v>
      </c>
      <c r="X29" s="3">
        <v>18</v>
      </c>
      <c r="Z29" s="17" t="s">
        <v>110</v>
      </c>
      <c r="AA29" s="30">
        <v>6</v>
      </c>
      <c r="AB29" s="17"/>
      <c r="AC29" s="28">
        <f>((0.408*R29/0.227124)/(AA29))^0.5</f>
        <v>56.662031131163239</v>
      </c>
      <c r="AD29" s="29">
        <v>60</v>
      </c>
      <c r="AE29" s="29">
        <f>(0.408*R29/0.227124)/(AD29^2)</f>
        <v>5.3509762865148538</v>
      </c>
      <c r="AF29" s="3">
        <f t="shared" si="2"/>
        <v>1.6309775199384469</v>
      </c>
      <c r="AG29" s="3">
        <f>(AD29*0.0254)*O29*AF29/(N29*0.001)</f>
        <v>2485609.7403861932</v>
      </c>
      <c r="AH29" s="18">
        <f>1.6364/(LN(0.135*0.00005/(AD29*0.0254)+6.5*AG29))^2</f>
        <v>5.9400049690637707E-3</v>
      </c>
      <c r="AI29" s="52">
        <v>2</v>
      </c>
      <c r="AJ29" s="52">
        <v>0</v>
      </c>
      <c r="AK29" s="52">
        <f>AH29*(AI29+AJ29)*AF29^2/((AD29*0.0254)*2*9.81)</f>
        <v>1.0568875552278058E-3</v>
      </c>
      <c r="AL29" s="52">
        <v>1</v>
      </c>
      <c r="AM29" s="52">
        <f t="shared" si="24"/>
        <v>11.466637298897968</v>
      </c>
    </row>
    <row r="30" spans="1:39" x14ac:dyDescent="0.3">
      <c r="A30" s="33">
        <v>28</v>
      </c>
      <c r="B30" s="34">
        <f>1757497+1757497+764036.24+5877154.92616235+567360.17</f>
        <v>10723545.336162349</v>
      </c>
      <c r="C30" s="34">
        <v>0</v>
      </c>
      <c r="D30" s="34">
        <v>0</v>
      </c>
      <c r="E30" s="34">
        <v>0</v>
      </c>
      <c r="F30" s="34">
        <v>0</v>
      </c>
      <c r="G30" s="34">
        <v>0</v>
      </c>
      <c r="H30" s="34">
        <v>0</v>
      </c>
      <c r="I30" s="34">
        <v>0</v>
      </c>
      <c r="J30" s="34">
        <v>0</v>
      </c>
      <c r="K30" s="34"/>
      <c r="L30" s="35">
        <v>45</v>
      </c>
      <c r="M30" s="36">
        <v>1</v>
      </c>
      <c r="N30" s="37">
        <v>1</v>
      </c>
      <c r="O30" s="38">
        <v>1000</v>
      </c>
      <c r="P30" s="37">
        <v>1</v>
      </c>
      <c r="Q30" s="23">
        <v>1</v>
      </c>
      <c r="R30" s="49">
        <f>B30/O30</f>
        <v>10723.545336162349</v>
      </c>
      <c r="T30" s="3">
        <v>47.6</v>
      </c>
      <c r="U30" s="3">
        <v>810</v>
      </c>
      <c r="V30" s="20">
        <f t="shared" ref="V30" si="42">(L30+273)/U30</f>
        <v>0.3925925925925926</v>
      </c>
      <c r="W30" s="3">
        <v>369</v>
      </c>
      <c r="X30" s="3">
        <v>18</v>
      </c>
      <c r="Z30" s="17" t="s">
        <v>111</v>
      </c>
      <c r="AA30" s="30">
        <v>7</v>
      </c>
      <c r="AB30" s="17"/>
      <c r="AC30" s="28">
        <f>((0.408*R30/0.227124)/(AA30))^0.5</f>
        <v>52.458847315168967</v>
      </c>
      <c r="AD30" s="29">
        <v>60</v>
      </c>
      <c r="AE30" s="29">
        <f>(0.408*R30/0.227124)/(AD30^2)</f>
        <v>5.3509762865148538</v>
      </c>
      <c r="AF30" s="52">
        <f t="shared" si="2"/>
        <v>1.6309775199384469</v>
      </c>
      <c r="AG30" s="52">
        <f>(AD30*0.0254)*O30*AF30/(N30*0.001)</f>
        <v>2485609.7403861932</v>
      </c>
      <c r="AH30" s="18">
        <f>1.6364/(LN(0.135*0.00005/(AD30*0.0254)+6.5*AG30))^2</f>
        <v>5.9400049690637707E-3</v>
      </c>
      <c r="AI30" s="3">
        <v>142</v>
      </c>
      <c r="AJ30" s="3">
        <v>0</v>
      </c>
      <c r="AK30" s="3">
        <f>AH30*(AI30+AJ30)*AF30^2/((AD30*0.0254)*2*9.81)</f>
        <v>7.5039016421174207E-2</v>
      </c>
      <c r="AL30" s="3">
        <v>12</v>
      </c>
      <c r="AM30" s="3">
        <f t="shared" si="24"/>
        <v>22.540619427763914</v>
      </c>
    </row>
    <row r="31" spans="1:39" ht="29.4" hidden="1" customHeight="1" thickBot="1" x14ac:dyDescent="0.35">
      <c r="A31" s="15" t="s">
        <v>29</v>
      </c>
      <c r="B31" s="16">
        <f>SUM(C31:J31)</f>
        <v>0</v>
      </c>
      <c r="C31" s="8">
        <f>ABS(C12+C13-C11)</f>
        <v>0</v>
      </c>
      <c r="D31" s="8">
        <f>ABS(D12+D13-D11)</f>
        <v>0</v>
      </c>
      <c r="E31" s="8">
        <f>ABS(E12+E13-E11)</f>
        <v>0</v>
      </c>
      <c r="F31" s="8">
        <f>ABS(F12+F13-F11)</f>
        <v>0</v>
      </c>
      <c r="G31" s="8">
        <f t="shared" ref="G31:J31" si="43">ABS(G12+G13-G11)</f>
        <v>0</v>
      </c>
      <c r="H31" s="8">
        <f t="shared" si="43"/>
        <v>0</v>
      </c>
      <c r="I31" s="8">
        <f t="shared" si="43"/>
        <v>0</v>
      </c>
      <c r="J31" s="8">
        <f t="shared" si="43"/>
        <v>0</v>
      </c>
      <c r="R31" s="24"/>
    </row>
    <row r="32" spans="1:39" x14ac:dyDescent="0.3">
      <c r="B32" s="2"/>
      <c r="C32" s="2"/>
      <c r="D32" s="2"/>
      <c r="E32" s="2"/>
      <c r="F32" s="2"/>
      <c r="G32" s="2"/>
      <c r="H32" s="2"/>
      <c r="I32" s="2"/>
      <c r="J32" s="2"/>
    </row>
    <row r="33" spans="2:25" ht="14.4" customHeight="1" x14ac:dyDescent="0.3">
      <c r="B33" s="2"/>
      <c r="C33" s="2"/>
      <c r="D33" s="2"/>
      <c r="E33" s="2"/>
      <c r="F33" s="2"/>
      <c r="G33" s="2"/>
      <c r="H33" s="2"/>
      <c r="I33" s="2"/>
      <c r="J33" s="2"/>
    </row>
    <row r="34" spans="2:25" ht="14.4" customHeight="1" x14ac:dyDescent="0.3">
      <c r="B34" s="2"/>
      <c r="C34" s="2"/>
      <c r="D34" s="2"/>
      <c r="E34" s="2"/>
      <c r="F34" s="2"/>
      <c r="G34" s="2"/>
      <c r="H34" s="2"/>
      <c r="I34" s="2"/>
      <c r="J34" s="2"/>
    </row>
    <row r="35" spans="2:25" x14ac:dyDescent="0.3">
      <c r="B35" s="2"/>
      <c r="C35" s="2"/>
      <c r="D35" s="2"/>
      <c r="E35" s="2"/>
      <c r="F35" s="2"/>
      <c r="G35" s="2"/>
      <c r="H35" s="2"/>
      <c r="I35" s="2"/>
      <c r="J35" s="2"/>
    </row>
    <row r="36" spans="2:25" x14ac:dyDescent="0.3">
      <c r="B36" s="2"/>
      <c r="C36" s="5"/>
      <c r="D36" s="2"/>
      <c r="E36" s="2"/>
      <c r="F36" s="2"/>
      <c r="G36" s="2"/>
      <c r="H36" s="2"/>
      <c r="I36" s="2"/>
      <c r="J36" s="2"/>
    </row>
    <row r="37" spans="2:25" x14ac:dyDescent="0.3">
      <c r="B37" s="2"/>
      <c r="C37" s="2"/>
      <c r="D37" s="2"/>
      <c r="E37" s="2"/>
      <c r="F37" s="2"/>
      <c r="G37" s="2"/>
      <c r="H37" s="2"/>
      <c r="I37" s="2"/>
      <c r="J37" s="2"/>
    </row>
    <row r="38" spans="2:25" x14ac:dyDescent="0.3">
      <c r="B38" s="2"/>
      <c r="C38" s="2"/>
      <c r="D38" s="2"/>
      <c r="E38" s="2"/>
      <c r="F38" s="2"/>
      <c r="G38" s="2"/>
      <c r="H38" s="2"/>
      <c r="I38" s="2"/>
      <c r="J38" s="2"/>
    </row>
    <row r="39" spans="2:25" x14ac:dyDescent="0.3">
      <c r="B39" s="2"/>
      <c r="C39" s="2"/>
      <c r="D39" s="2"/>
      <c r="E39" s="2"/>
      <c r="F39" s="2"/>
      <c r="G39" s="2"/>
      <c r="H39" s="2"/>
      <c r="I39" s="2"/>
      <c r="J39" s="2"/>
    </row>
    <row r="40" spans="2:25" x14ac:dyDescent="0.3">
      <c r="B40" s="2"/>
      <c r="C40" s="2"/>
      <c r="D40" s="2"/>
      <c r="E40" s="2"/>
      <c r="F40" s="2"/>
      <c r="G40" s="2"/>
      <c r="H40" s="2"/>
      <c r="I40" s="2"/>
      <c r="J40" s="2"/>
      <c r="Y40">
        <f>6.78*(0.57*0.0000081*0.943/0.005)^0.5</f>
        <v>0.20006931046035023</v>
      </c>
    </row>
    <row r="41" spans="2:25" x14ac:dyDescent="0.3">
      <c r="B41" s="2"/>
      <c r="C41" s="2"/>
      <c r="D41" s="2"/>
      <c r="E41" s="2"/>
      <c r="F41" s="2"/>
      <c r="G41" s="2"/>
      <c r="H41" s="2"/>
      <c r="I41" s="2"/>
      <c r="J41" s="2"/>
    </row>
    <row r="42" spans="2:25" x14ac:dyDescent="0.3">
      <c r="B42" s="2"/>
      <c r="C42" s="2"/>
      <c r="D42" s="2"/>
      <c r="E42" s="2"/>
      <c r="F42" s="2"/>
      <c r="G42" s="2"/>
      <c r="H42" s="2"/>
      <c r="I42" s="2"/>
      <c r="J42" s="2"/>
    </row>
    <row r="43" spans="2:25" x14ac:dyDescent="0.3">
      <c r="B43" s="2"/>
      <c r="C43" s="2"/>
      <c r="D43" s="2"/>
      <c r="E43" s="2"/>
      <c r="F43" s="2"/>
      <c r="G43" s="2"/>
      <c r="H43" s="2"/>
      <c r="I43" s="2"/>
      <c r="J43" s="2"/>
    </row>
    <row r="44" spans="2:25" x14ac:dyDescent="0.3">
      <c r="B44" s="2"/>
      <c r="C44" s="2"/>
      <c r="D44" s="2"/>
      <c r="E44" s="2"/>
      <c r="F44" s="2"/>
      <c r="G44" s="2"/>
      <c r="H44" s="2"/>
      <c r="I44" s="2"/>
      <c r="J44" s="2"/>
    </row>
    <row r="45" spans="2:25" x14ac:dyDescent="0.3">
      <c r="B45" s="2"/>
      <c r="C45" s="2"/>
      <c r="D45" s="2"/>
      <c r="E45" s="2"/>
      <c r="F45" s="2"/>
      <c r="G45" s="2"/>
      <c r="H45" s="2"/>
      <c r="I45" s="2"/>
      <c r="J45" s="2"/>
    </row>
    <row r="46" spans="2:25" x14ac:dyDescent="0.3">
      <c r="B46" s="2"/>
      <c r="C46" s="2"/>
      <c r="D46" s="2"/>
      <c r="E46" s="2"/>
      <c r="F46" s="2"/>
      <c r="G46" s="2"/>
      <c r="H46" s="2"/>
      <c r="I46" s="2"/>
      <c r="J46" s="2"/>
    </row>
    <row r="47" spans="2:25" x14ac:dyDescent="0.3">
      <c r="B47" s="2"/>
      <c r="C47" s="2"/>
      <c r="D47" s="2">
        <v>26931.213197026002</v>
      </c>
      <c r="E47" s="2"/>
      <c r="F47" s="2"/>
      <c r="G47" s="2"/>
      <c r="H47" s="2"/>
      <c r="I47" s="2"/>
      <c r="J47" s="2"/>
    </row>
    <row r="48" spans="2:25" x14ac:dyDescent="0.3">
      <c r="B48" s="2"/>
      <c r="C48" s="2"/>
      <c r="D48" s="2"/>
      <c r="E48" s="2"/>
      <c r="F48" s="2"/>
      <c r="G48" s="2"/>
      <c r="H48" s="2"/>
      <c r="I48" s="2"/>
      <c r="J48" s="2"/>
    </row>
    <row r="49" spans="2:10" x14ac:dyDescent="0.3">
      <c r="B49" s="2"/>
      <c r="C49" s="2"/>
      <c r="D49" s="2"/>
      <c r="E49" s="2"/>
      <c r="F49" s="2"/>
      <c r="G49" s="2"/>
      <c r="H49" s="2"/>
      <c r="I49" s="2"/>
      <c r="J49" s="2"/>
    </row>
    <row r="50" spans="2:10" x14ac:dyDescent="0.3">
      <c r="B50" s="2"/>
      <c r="C50" s="2"/>
      <c r="D50" s="2"/>
      <c r="E50" s="2"/>
      <c r="F50" s="2"/>
      <c r="G50" s="2"/>
      <c r="H50" s="2"/>
      <c r="I50" s="2"/>
      <c r="J50" s="2"/>
    </row>
    <row r="51" spans="2:10" x14ac:dyDescent="0.3">
      <c r="B51" s="2"/>
      <c r="C51" s="2"/>
      <c r="D51" s="2"/>
      <c r="E51" s="2"/>
      <c r="F51" s="2"/>
      <c r="G51" s="2"/>
      <c r="H51" s="2"/>
      <c r="I51" s="2"/>
      <c r="J51" s="2"/>
    </row>
    <row r="52" spans="2:10" x14ac:dyDescent="0.3">
      <c r="B52" s="2"/>
      <c r="C52" s="2"/>
      <c r="D52" s="2"/>
      <c r="E52" s="2"/>
      <c r="F52" s="2"/>
      <c r="G52" s="2"/>
      <c r="H52" s="2"/>
      <c r="I52" s="2"/>
      <c r="J52" s="2"/>
    </row>
    <row r="53" spans="2:10" x14ac:dyDescent="0.3">
      <c r="B53" s="2"/>
      <c r="C53" s="2"/>
      <c r="D53" s="2"/>
      <c r="E53" s="2"/>
      <c r="F53" s="2"/>
      <c r="G53" s="2"/>
      <c r="H53" s="2"/>
      <c r="I53" s="2"/>
      <c r="J53" s="2"/>
    </row>
    <row r="54" spans="2:10" x14ac:dyDescent="0.3">
      <c r="B54" s="2"/>
      <c r="C54" s="2"/>
      <c r="D54" s="2"/>
      <c r="E54" s="2"/>
      <c r="F54" s="2"/>
      <c r="G54" s="2"/>
      <c r="H54" s="2"/>
      <c r="I54" s="2"/>
      <c r="J54" s="2"/>
    </row>
    <row r="55" spans="2:10" x14ac:dyDescent="0.3">
      <c r="B55" s="2"/>
      <c r="C55" s="2"/>
      <c r="D55" s="2"/>
      <c r="E55" s="2"/>
      <c r="F55" s="2"/>
      <c r="G55" s="2"/>
      <c r="H55" s="2"/>
      <c r="I55" s="2"/>
      <c r="J55" s="2"/>
    </row>
    <row r="56" spans="2:10" x14ac:dyDescent="0.3">
      <c r="B56" s="2"/>
      <c r="C56" s="2"/>
      <c r="D56" s="2"/>
      <c r="E56" s="2"/>
      <c r="F56" s="2"/>
      <c r="G56" s="2"/>
      <c r="H56" s="2"/>
      <c r="I56" s="2"/>
      <c r="J56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3CF3A-090A-4602-A814-CC905F1CAE3B}">
  <sheetPr codeName="Sheet2"/>
  <dimension ref="A1:J69"/>
  <sheetViews>
    <sheetView zoomScaleNormal="100" workbookViewId="0">
      <selection activeCell="H18" sqref="H18"/>
    </sheetView>
  </sheetViews>
  <sheetFormatPr defaultRowHeight="14.4" x14ac:dyDescent="0.3"/>
  <cols>
    <col min="1" max="1" width="11.5546875" bestFit="1" customWidth="1"/>
    <col min="2" max="2" width="9.77734375" customWidth="1"/>
    <col min="3" max="3" width="10.109375" customWidth="1"/>
    <col min="4" max="4" width="11" customWidth="1"/>
    <col min="5" max="6" width="11" bestFit="1" customWidth="1"/>
    <col min="7" max="7" width="14.109375" bestFit="1" customWidth="1"/>
  </cols>
  <sheetData>
    <row r="1" spans="1:10" x14ac:dyDescent="0.3">
      <c r="B1" s="39" t="s">
        <v>13</v>
      </c>
      <c r="C1" s="40" t="s">
        <v>69</v>
      </c>
      <c r="D1" s="40" t="s">
        <v>69</v>
      </c>
    </row>
    <row r="2" spans="1:10" x14ac:dyDescent="0.3">
      <c r="A2" t="s">
        <v>41</v>
      </c>
      <c r="B2" s="41" t="s">
        <v>66</v>
      </c>
      <c r="C2" s="40" t="s">
        <v>67</v>
      </c>
      <c r="D2" s="40" t="s">
        <v>68</v>
      </c>
    </row>
    <row r="3" spans="1:10" x14ac:dyDescent="0.3">
      <c r="A3" t="s">
        <v>42</v>
      </c>
      <c r="B3" s="3">
        <f>Linhas!B4</f>
        <v>337890.542718401</v>
      </c>
      <c r="C3" s="4" t="s">
        <v>72</v>
      </c>
      <c r="D3" s="4" t="s">
        <v>72</v>
      </c>
    </row>
    <row r="4" spans="1:10" x14ac:dyDescent="0.3">
      <c r="A4" t="s">
        <v>43</v>
      </c>
      <c r="B4" s="3">
        <f>Linhas!B3</f>
        <v>26931.21319702598</v>
      </c>
      <c r="C4" s="3">
        <f>(4*Linhas!R3*48/PI())^(1/3)</f>
        <v>12.412579430312711</v>
      </c>
      <c r="D4" s="3">
        <f>C4</f>
        <v>12.412579430312711</v>
      </c>
    </row>
    <row r="5" spans="1:10" x14ac:dyDescent="0.3">
      <c r="A5" t="s">
        <v>44</v>
      </c>
      <c r="B5" s="3">
        <f>Linhas!B12</f>
        <v>3806.7589186867476</v>
      </c>
      <c r="C5" s="3">
        <f>(4*Linhas!R12*48/PI())^(1/3)</f>
        <v>5.7489110684035492</v>
      </c>
      <c r="D5" s="3">
        <f>C5</f>
        <v>5.7489110684035492</v>
      </c>
      <c r="J5" s="1"/>
    </row>
    <row r="6" spans="1:10" x14ac:dyDescent="0.3">
      <c r="A6" t="s">
        <v>45</v>
      </c>
      <c r="B6" s="3">
        <f>Linhas!B14</f>
        <v>21666.66</v>
      </c>
      <c r="C6" s="3">
        <f>(4*Linhas!R14*48/PI())^(1/3)</f>
        <v>9.8706647692841241</v>
      </c>
      <c r="D6" s="3">
        <f t="shared" ref="D6:D7" si="0">C6</f>
        <v>9.8706647692841241</v>
      </c>
      <c r="E6" s="40" t="s">
        <v>71</v>
      </c>
    </row>
    <row r="7" spans="1:10" x14ac:dyDescent="0.3">
      <c r="A7" t="s">
        <v>46</v>
      </c>
      <c r="B7" s="3">
        <f>Linhas!B15</f>
        <v>367.92174427210921</v>
      </c>
      <c r="C7" s="3">
        <f>(4*Linhas!R15*48/PI())^(1/3)</f>
        <v>2.5269691860839121</v>
      </c>
      <c r="D7" s="3">
        <f t="shared" si="0"/>
        <v>2.5269691860839121</v>
      </c>
      <c r="E7" s="40" t="s">
        <v>70</v>
      </c>
    </row>
    <row r="8" spans="1:10" x14ac:dyDescent="0.3">
      <c r="A8" t="s">
        <v>47</v>
      </c>
      <c r="B8" s="3">
        <f>Linhas!B3</f>
        <v>26931.21319702598</v>
      </c>
      <c r="C8" s="4" t="s">
        <v>72</v>
      </c>
      <c r="D8" s="4" t="s">
        <v>72</v>
      </c>
      <c r="E8" s="3">
        <f>(B8*2.20462262)*300</f>
        <v>17811948.539461799</v>
      </c>
      <c r="F8" s="40" t="s">
        <v>12</v>
      </c>
    </row>
    <row r="9" spans="1:10" x14ac:dyDescent="0.3">
      <c r="A9" t="s">
        <v>48</v>
      </c>
      <c r="B9" s="3">
        <f>Linhas!B7</f>
        <v>364821.755915427</v>
      </c>
      <c r="C9" s="4" t="s">
        <v>72</v>
      </c>
      <c r="D9" s="3">
        <v>6.9189999999999996</v>
      </c>
      <c r="F9" s="40" t="s">
        <v>99</v>
      </c>
    </row>
    <row r="10" spans="1:10" x14ac:dyDescent="0.3">
      <c r="A10" t="s">
        <v>49</v>
      </c>
      <c r="B10" s="3">
        <f>Linhas!B4</f>
        <v>337890.542718401</v>
      </c>
      <c r="C10" s="4" t="s">
        <v>72</v>
      </c>
      <c r="D10" s="4" t="s">
        <v>72</v>
      </c>
      <c r="E10" s="3">
        <f>12711609.879*4.184*1000/1055.05585261999</f>
        <v>50410009.670731924</v>
      </c>
      <c r="F10" s="3">
        <v>282.52</v>
      </c>
    </row>
    <row r="11" spans="1:10" x14ac:dyDescent="0.3">
      <c r="A11" t="s">
        <v>50</v>
      </c>
      <c r="B11" s="3">
        <f>Linhas!B16</f>
        <v>457.98</v>
      </c>
      <c r="C11" s="4" t="s">
        <v>72</v>
      </c>
      <c r="D11" s="4" t="s">
        <v>72</v>
      </c>
      <c r="E11" s="3">
        <f>B11*Linhas!P16*ABS(Linhas!L16-Linhas!L26)*4.184*1000/1055.05585261999</f>
        <v>47420.880051949636</v>
      </c>
      <c r="F11" s="3">
        <f>((Linhas!L16-45)-(Linhas!L26-30))/LN((Linhas!L16-45)/(Linhas!L26-30))</f>
        <v>276.58920030355296</v>
      </c>
    </row>
    <row r="12" spans="1:10" x14ac:dyDescent="0.3">
      <c r="A12" t="s">
        <v>51</v>
      </c>
      <c r="B12" s="3">
        <f>Linhas!B8</f>
        <v>355770.3434799891</v>
      </c>
      <c r="C12" s="4" t="s">
        <v>72</v>
      </c>
      <c r="D12" s="4" t="s">
        <v>72</v>
      </c>
      <c r="E12" s="3">
        <f>B12*Linhas!P8*ABS(Linhas!L8-Linhas!L9)*4.184*1000/1055.05585261999</f>
        <v>102747700.83022501</v>
      </c>
      <c r="F12" s="3">
        <f>((Linhas!L8-45)-(Linhas!L9-30))/LN((Linhas!L8-45)/(Linhas!L9-30))</f>
        <v>209.03052820885526</v>
      </c>
    </row>
    <row r="13" spans="1:10" x14ac:dyDescent="0.3">
      <c r="A13" t="s">
        <v>52</v>
      </c>
      <c r="B13" s="3">
        <f>Linhas!B20</f>
        <v>29806.922333317234</v>
      </c>
      <c r="C13" s="4" t="s">
        <v>72</v>
      </c>
      <c r="D13" s="4" t="s">
        <v>72</v>
      </c>
      <c r="E13" s="3">
        <f>B13*Linhas!P20*ABS(Linhas!L20-Linhas!L12)*4.184*1000/1055.05585261999</f>
        <v>1684411.6062139254</v>
      </c>
      <c r="F13" s="3">
        <f>((Linhas!L20-45)-(Linhas!L12-30))/LN((Linhas!L20-45)/(Linhas!L12-30))</f>
        <v>127.70160946144092</v>
      </c>
    </row>
    <row r="14" spans="1:10" x14ac:dyDescent="0.3">
      <c r="A14" t="s">
        <v>53</v>
      </c>
      <c r="B14" s="3">
        <f>Linhas!B21</f>
        <v>150496.19331337852</v>
      </c>
      <c r="C14" s="4" t="s">
        <v>72</v>
      </c>
      <c r="D14" s="4" t="s">
        <v>72</v>
      </c>
      <c r="E14" s="3">
        <f>B14*Linhas!P24*ABS(Linhas!L24-Linhas!L21)*4.184*1000/1055.05585261999</f>
        <v>2511918.7283926997</v>
      </c>
      <c r="F14" s="3">
        <f>ABS((Linhas!L24-254)-(Linhas!L21-254))/LN(((Linhas!L24-254)/(Linhas!L21-254)))</f>
        <v>6.8197143841071162</v>
      </c>
    </row>
    <row r="15" spans="1:10" x14ac:dyDescent="0.3">
      <c r="A15" t="s">
        <v>54</v>
      </c>
      <c r="B15" s="3">
        <f>Linhas!B18</f>
        <v>74316.643800000005</v>
      </c>
      <c r="C15" s="4" t="s">
        <v>72</v>
      </c>
      <c r="D15" s="4" t="s">
        <v>72</v>
      </c>
      <c r="E15" s="3">
        <f>B15*Linhas!P18*ABS(Linhas!L18-Linhas!L28)*4.184*1000/1055.05585261999</f>
        <v>12956908.702327456</v>
      </c>
      <c r="F15" s="3">
        <f>((Linhas!L18-45)-(Linhas!L28-30))/LN(((Linhas!L18-45)/(Linhas!L28-30)))</f>
        <v>164.9494825762209</v>
      </c>
    </row>
    <row r="16" spans="1:10" x14ac:dyDescent="0.3">
      <c r="A16" t="s">
        <v>55</v>
      </c>
      <c r="B16" s="3">
        <f>Linhas!B22</f>
        <v>894.04983858122546</v>
      </c>
      <c r="C16" s="4" t="s">
        <v>72</v>
      </c>
      <c r="D16" s="4" t="s">
        <v>72</v>
      </c>
      <c r="E16" s="3">
        <f>B16*Linhas!P23*ABS(Linhas!L23-Linhas!L22)*4.184*1000/1055.05585261999</f>
        <v>1935.8450695977147</v>
      </c>
      <c r="F16" s="3">
        <f>((Linhas!L23-45)-(Linhas!L22-30))/LN(((Linhas!L23-45)/(Linhas!L22-30)))</f>
        <v>208.24995996338859</v>
      </c>
    </row>
    <row r="17" spans="1:10" x14ac:dyDescent="0.3">
      <c r="A17" t="s">
        <v>109</v>
      </c>
      <c r="B17" s="3">
        <f>Linhas!B11</f>
        <v>25841.340662958857</v>
      </c>
      <c r="C17" s="4" t="s">
        <v>72</v>
      </c>
      <c r="D17" s="4" t="s">
        <v>72</v>
      </c>
      <c r="E17" s="3">
        <f>B17*Linhas!P24*ABS(Linhas!L10-Linhas!L9)*4.184*1000/1055.05585261999</f>
        <v>1250815.0793183302</v>
      </c>
      <c r="F17" s="3">
        <f>((Linhas!L10-45)-(Linhas!L9-30))/LN(((Linhas!L10-45)/(Linhas!L9-30)))</f>
        <v>106.48927381338969</v>
      </c>
    </row>
    <row r="18" spans="1:10" x14ac:dyDescent="0.3">
      <c r="A18" t="s">
        <v>56</v>
      </c>
      <c r="B18" s="3">
        <f>Linhas!B11</f>
        <v>25841.340662958857</v>
      </c>
      <c r="C18" s="4">
        <v>2.0411000000000001</v>
      </c>
      <c r="D18" s="4">
        <v>20.190000000000001</v>
      </c>
    </row>
    <row r="19" spans="1:10" x14ac:dyDescent="0.3">
      <c r="A19" t="s">
        <v>57</v>
      </c>
      <c r="B19" s="3">
        <f>Linhas!B13</f>
        <v>22034.581744272109</v>
      </c>
      <c r="C19" s="4">
        <v>0.9325</v>
      </c>
      <c r="D19" s="4">
        <v>7.6</v>
      </c>
    </row>
    <row r="20" spans="1:10" x14ac:dyDescent="0.3">
      <c r="A20" t="s">
        <v>58</v>
      </c>
      <c r="B20" s="3"/>
      <c r="C20" s="40" t="s">
        <v>100</v>
      </c>
      <c r="D20" s="40" t="s">
        <v>105</v>
      </c>
      <c r="E20" s="40" t="s">
        <v>106</v>
      </c>
      <c r="F20" s="50" t="s">
        <v>107</v>
      </c>
      <c r="G20" s="50" t="s">
        <v>108</v>
      </c>
    </row>
    <row r="21" spans="1:10" x14ac:dyDescent="0.3">
      <c r="A21" t="s">
        <v>59</v>
      </c>
      <c r="B21" s="3">
        <f>Linhas!B3</f>
        <v>26931.21319702598</v>
      </c>
      <c r="C21" s="3">
        <f>Linhas!AM25-Linhas!AM3</f>
        <v>35.606900375576416</v>
      </c>
      <c r="D21" s="3">
        <f>Linhas!AM3-0.8534</f>
        <v>8.8435825816837159</v>
      </c>
      <c r="E21" s="3">
        <f>((Linhas!R3*264.172/60)*(C21*3.28084)*(Linhas!O3/1000)/(0.6*3960))</f>
        <v>5.8299420263878075</v>
      </c>
      <c r="F21" s="3">
        <v>10</v>
      </c>
      <c r="G21" s="3">
        <v>50</v>
      </c>
    </row>
    <row r="22" spans="1:10" x14ac:dyDescent="0.3">
      <c r="A22" t="s">
        <v>60</v>
      </c>
      <c r="B22" s="3">
        <f>Linhas!B16</f>
        <v>457.98</v>
      </c>
      <c r="C22" s="3">
        <f>Linhas!AM26-Linhas!AM14</f>
        <v>3.2729748163242132</v>
      </c>
      <c r="D22" s="3">
        <f>Linhas!AM26-0.0000515</f>
        <v>11.756910547042706</v>
      </c>
      <c r="E22" s="3">
        <f>((Linhas!R16*264.172/60)*(C22*3.28084)*(Linhas!O16/1000)/(0.6*3960))</f>
        <v>9.1130410200931083E-3</v>
      </c>
      <c r="F22" s="3">
        <v>1</v>
      </c>
      <c r="G22" s="3">
        <v>60</v>
      </c>
      <c r="J22" s="32"/>
    </row>
    <row r="23" spans="1:10" x14ac:dyDescent="0.3">
      <c r="A23" t="s">
        <v>61</v>
      </c>
      <c r="B23" s="3">
        <f>Linhas!B20</f>
        <v>29806.922333317234</v>
      </c>
      <c r="C23" s="3">
        <f>Linhas!AM12-Linhas!AM27</f>
        <v>2.1607938600380798</v>
      </c>
      <c r="D23" s="3">
        <f>Linhas!AM12-2.2921</f>
        <v>6.8554214189385103</v>
      </c>
      <c r="E23" s="3">
        <f>((Linhas!R20*264.172/60)*(C23*3.28084)*(Linhas!O20/1000)/(0.6*3960))</f>
        <v>0.39156568188122814</v>
      </c>
      <c r="F23" s="3">
        <v>1</v>
      </c>
      <c r="G23" s="3">
        <v>50</v>
      </c>
    </row>
    <row r="24" spans="1:10" x14ac:dyDescent="0.3">
      <c r="A24" t="s">
        <v>62</v>
      </c>
      <c r="B24" s="3">
        <f>Linhas!B24</f>
        <v>172530.77505765064</v>
      </c>
      <c r="C24" s="3">
        <f>Linhas!AM24-Linhas!AM13</f>
        <v>3.9362461097781551</v>
      </c>
      <c r="D24" s="3">
        <f>Linhas!AM13-1.707</f>
        <v>8.811330452324178</v>
      </c>
      <c r="E24" s="3">
        <f>((Linhas!R24*264.172/60)*(C24*3.28084)*(Linhas!O24/1000)/(0.6*3960))</f>
        <v>4.1287916374661595</v>
      </c>
      <c r="F24" s="3">
        <v>15</v>
      </c>
      <c r="G24" s="51">
        <v>50</v>
      </c>
    </row>
    <row r="25" spans="1:10" x14ac:dyDescent="0.3">
      <c r="A25" t="s">
        <v>63</v>
      </c>
      <c r="B25" s="3">
        <f>Linhas!B18</f>
        <v>74316.643800000005</v>
      </c>
      <c r="C25" s="3">
        <f>Linhas!AM12-Linhas!AM27</f>
        <v>2.1607938600380798</v>
      </c>
      <c r="D25" s="3">
        <f>Linhas!AM27-2.905</f>
        <v>4.0817275589004307</v>
      </c>
      <c r="E25" s="3">
        <f>((Linhas!R18*264.172/60)*(C25*3.28084)*(Linhas!O18/1000)/(0.6*3960))</f>
        <v>0.97627816046423754</v>
      </c>
      <c r="F25" s="3">
        <v>2</v>
      </c>
      <c r="G25" s="3">
        <v>50</v>
      </c>
    </row>
    <row r="26" spans="1:10" x14ac:dyDescent="0.3">
      <c r="A26" t="s">
        <v>64</v>
      </c>
      <c r="B26" s="3">
        <f>Linhas!B23</f>
        <v>1261.9715828533347</v>
      </c>
      <c r="C26" s="3">
        <f>Linhas!AM23-Linhas!AM15</f>
        <v>6.0009032867032728</v>
      </c>
      <c r="D26" s="3">
        <f>Linhas!AM23-2.91</f>
        <v>10.799086404706784</v>
      </c>
      <c r="E26" s="3">
        <f>((Linhas!R23*264.172/60)*(C26*3.28084)*(Linhas!O23/1000)/(0.6*3960))</f>
        <v>4.604053396326814E-2</v>
      </c>
      <c r="F26" s="3">
        <v>1</v>
      </c>
      <c r="G26" s="3">
        <v>50</v>
      </c>
    </row>
    <row r="27" spans="1:10" x14ac:dyDescent="0.3">
      <c r="A27" t="s">
        <v>65</v>
      </c>
      <c r="B27" s="3">
        <f>Linhas!B29</f>
        <v>10723545.336162349</v>
      </c>
      <c r="C27" s="3">
        <f>Linhas!AM30-Linhas!AM29</f>
        <v>11.073982128865946</v>
      </c>
      <c r="D27" s="3">
        <f>Linhas!AM24-1.3</f>
        <v>13.154576562102333</v>
      </c>
      <c r="E27" s="3">
        <f>((Linhas!R29*264.172/60)*(C27*3.28084)*(Linhas!O29/1000)/(0.9*3960))</f>
        <v>481.31023852198462</v>
      </c>
      <c r="F27" s="52">
        <v>400</v>
      </c>
      <c r="G27" s="52">
        <v>50</v>
      </c>
    </row>
    <row r="28" spans="1:10" x14ac:dyDescent="0.3">
      <c r="A28" t="s">
        <v>95</v>
      </c>
      <c r="B28" s="3">
        <f>(Linhas!R12+Linhas!R19)*Linhas!O12</f>
        <v>29806.92233331723</v>
      </c>
      <c r="C28" s="3">
        <f>(4*(B28/Linhas!O12)*2/PI())^(1/3)</f>
        <v>3.9576352350134192</v>
      </c>
    </row>
    <row r="29" spans="1:10" x14ac:dyDescent="0.3">
      <c r="A29" t="s">
        <v>96</v>
      </c>
      <c r="B29" s="3">
        <f>(Linhas!R14+Linhas!R17)*Linhas!O14</f>
        <v>74316.643800000005</v>
      </c>
      <c r="C29" s="3">
        <f>(4*(B29/Linhas!O14)*2/PI())^(1/3)</f>
        <v>5.1606851273535215</v>
      </c>
    </row>
    <row r="69" spans="1:2" x14ac:dyDescent="0.3">
      <c r="A69" t="s">
        <v>74</v>
      </c>
      <c r="B69">
        <v>13997856027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Linhas</vt:lpstr>
      <vt:lpstr>Equipamentos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Rocha</dc:creator>
  <cp:lastModifiedBy>Felipe Rocha</cp:lastModifiedBy>
  <dcterms:created xsi:type="dcterms:W3CDTF">2025-03-18T18:11:23Z</dcterms:created>
  <dcterms:modified xsi:type="dcterms:W3CDTF">2025-06-27T10:18:05Z</dcterms:modified>
</cp:coreProperties>
</file>