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cad\PLANOS-UNTELS\"/>
    </mc:Choice>
  </mc:AlternateContent>
  <xr:revisionPtr revIDLastSave="0" documentId="13_ncr:1_{FDF7021D-9490-450B-9B09-52A570508E3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uadro de car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8" i="1" l="1"/>
  <c r="D8" i="1"/>
  <c r="D33" i="1"/>
  <c r="D32" i="1"/>
  <c r="D26" i="1"/>
  <c r="D51" i="1" l="1"/>
  <c r="D49" i="1"/>
  <c r="C49" i="1"/>
  <c r="D59" i="1" l="1"/>
  <c r="D60" i="1"/>
  <c r="D61" i="1" l="1"/>
  <c r="F61" i="1" s="1"/>
  <c r="H61" i="1" s="1"/>
  <c r="F33" i="1"/>
  <c r="H33" i="1" s="1"/>
  <c r="D25" i="1"/>
  <c r="F63" i="1"/>
  <c r="F60" i="1"/>
  <c r="H60" i="1" s="1"/>
  <c r="F59" i="1"/>
  <c r="H59" i="1" s="1"/>
  <c r="F57" i="1"/>
  <c r="D12" i="1"/>
  <c r="C12" i="1"/>
  <c r="D24" i="1"/>
  <c r="C29" i="1"/>
  <c r="D29" i="1" s="1"/>
  <c r="D35" i="1"/>
  <c r="D31" i="1"/>
  <c r="D34" i="1"/>
  <c r="D36" i="1"/>
  <c r="D23" i="1"/>
  <c r="D22" i="1"/>
  <c r="D21" i="1"/>
  <c r="D20" i="1"/>
  <c r="C20" i="1"/>
  <c r="D19" i="1"/>
  <c r="C19" i="1"/>
  <c r="D18" i="1"/>
  <c r="C18" i="1"/>
  <c r="I33" i="1" l="1"/>
  <c r="J33" i="1" s="1"/>
  <c r="M33" i="1"/>
  <c r="F66" i="1"/>
  <c r="H66" i="1" s="1"/>
  <c r="D66" i="1"/>
  <c r="M61" i="1"/>
  <c r="I61" i="1"/>
  <c r="J61" i="1" s="1"/>
  <c r="M59" i="1"/>
  <c r="I59" i="1"/>
  <c r="J59" i="1" s="1"/>
  <c r="I60" i="1"/>
  <c r="J60" i="1" s="1"/>
  <c r="M60" i="1"/>
  <c r="D16" i="1"/>
  <c r="C16" i="1"/>
  <c r="D15" i="1"/>
  <c r="D14" i="1"/>
  <c r="C14" i="1"/>
  <c r="D13" i="1"/>
  <c r="C13" i="1"/>
  <c r="D11" i="1"/>
  <c r="C11" i="1"/>
  <c r="D10" i="1"/>
  <c r="C10" i="1"/>
  <c r="D9" i="1"/>
  <c r="C9" i="1"/>
  <c r="C8" i="1"/>
  <c r="I66" i="1" l="1"/>
  <c r="J66" i="1" s="1"/>
  <c r="M66" i="1"/>
  <c r="D37" i="1" l="1"/>
  <c r="F34" i="1"/>
  <c r="H34" i="1" s="1"/>
  <c r="D30" i="1"/>
  <c r="D28" i="1"/>
  <c r="D27" i="1"/>
  <c r="D17" i="1"/>
  <c r="M34" i="1" l="1"/>
  <c r="I34" i="1"/>
  <c r="J34" i="1" s="1"/>
  <c r="D48" i="1"/>
  <c r="D47" i="1"/>
  <c r="D46" i="1"/>
  <c r="D45" i="1"/>
  <c r="D44" i="1"/>
  <c r="D43" i="1"/>
  <c r="D52" i="1" l="1"/>
  <c r="F32" i="1"/>
  <c r="H32" i="1" s="1"/>
  <c r="F25" i="1"/>
  <c r="H25" i="1" s="1"/>
  <c r="F8" i="1"/>
  <c r="H8" i="1" s="1"/>
  <c r="I25" i="1" l="1"/>
  <c r="J25" i="1" s="1"/>
  <c r="F50" i="1"/>
  <c r="F51" i="1"/>
  <c r="H51" i="1" s="1"/>
  <c r="F49" i="1"/>
  <c r="H49" i="1" s="1"/>
  <c r="F43" i="1"/>
  <c r="F44" i="1"/>
  <c r="H44" i="1" s="1"/>
  <c r="M25" i="1"/>
  <c r="F28" i="1"/>
  <c r="H28" i="1" s="1"/>
  <c r="F29" i="1"/>
  <c r="H29" i="1" s="1"/>
  <c r="F30" i="1"/>
  <c r="H30" i="1" s="1"/>
  <c r="F31" i="1"/>
  <c r="H31" i="1" s="1"/>
  <c r="F35" i="1"/>
  <c r="H35" i="1" s="1"/>
  <c r="F36" i="1"/>
  <c r="H36" i="1" s="1"/>
  <c r="F37" i="1"/>
  <c r="H37" i="1" s="1"/>
  <c r="F27" i="1"/>
  <c r="H27" i="1" s="1"/>
  <c r="F26" i="1"/>
  <c r="H26" i="1" s="1"/>
  <c r="F24" i="1"/>
  <c r="H24" i="1" s="1"/>
  <c r="F23" i="1"/>
  <c r="H23" i="1" s="1"/>
  <c r="F22" i="1"/>
  <c r="H22" i="1" s="1"/>
  <c r="F20" i="1"/>
  <c r="H20" i="1" s="1"/>
  <c r="F21" i="1"/>
  <c r="H21" i="1" s="1"/>
  <c r="F19" i="1"/>
  <c r="H19" i="1" s="1"/>
  <c r="F18" i="1"/>
  <c r="H1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I24" i="1" l="1"/>
  <c r="J24" i="1" s="1"/>
  <c r="M24" i="1"/>
  <c r="M35" i="1"/>
  <c r="I35" i="1"/>
  <c r="J35" i="1" s="1"/>
  <c r="I31" i="1"/>
  <c r="J31" i="1" s="1"/>
  <c r="M31" i="1"/>
  <c r="F38" i="1"/>
  <c r="H43" i="1"/>
  <c r="M43" i="1" s="1"/>
  <c r="I36" i="1"/>
  <c r="J36" i="1" s="1"/>
  <c r="M36" i="1"/>
  <c r="M16" i="1"/>
  <c r="I16" i="1"/>
  <c r="J16" i="1" s="1"/>
  <c r="M44" i="1"/>
  <c r="I44" i="1"/>
  <c r="J44" i="1" s="1"/>
  <c r="M13" i="1"/>
  <c r="F48" i="1"/>
  <c r="H48" i="1" s="1"/>
  <c r="D38" i="1"/>
  <c r="I28" i="1"/>
  <c r="J28" i="1" s="1"/>
  <c r="M28" i="1"/>
  <c r="M23" i="1"/>
  <c r="I23" i="1"/>
  <c r="J23" i="1" s="1"/>
  <c r="I20" i="1"/>
  <c r="J20" i="1" s="1"/>
  <c r="M20" i="1"/>
  <c r="I14" i="1"/>
  <c r="J14" i="1" s="1"/>
  <c r="M14" i="1"/>
  <c r="I12" i="1"/>
  <c r="J12" i="1" s="1"/>
  <c r="M12" i="1"/>
  <c r="M27" i="1"/>
  <c r="I27" i="1"/>
  <c r="J27" i="1" s="1"/>
  <c r="M10" i="1"/>
  <c r="I10" i="1"/>
  <c r="J10" i="1" s="1"/>
  <c r="I19" i="1"/>
  <c r="J19" i="1" s="1"/>
  <c r="M19" i="1"/>
  <c r="M15" i="1"/>
  <c r="I15" i="1"/>
  <c r="J15" i="1" s="1"/>
  <c r="I22" i="1"/>
  <c r="J22" i="1" s="1"/>
  <c r="M22" i="1"/>
  <c r="I11" i="1"/>
  <c r="J11" i="1" s="1"/>
  <c r="M11" i="1"/>
  <c r="M32" i="1"/>
  <c r="I32" i="1"/>
  <c r="J32" i="1" s="1"/>
  <c r="M17" i="1"/>
  <c r="I17" i="1"/>
  <c r="J17" i="1" s="1"/>
  <c r="M9" i="1"/>
  <c r="I9" i="1"/>
  <c r="J9" i="1" s="1"/>
  <c r="M26" i="1"/>
  <c r="I26" i="1"/>
  <c r="J26" i="1" s="1"/>
  <c r="I30" i="1"/>
  <c r="J30" i="1" s="1"/>
  <c r="M30" i="1"/>
  <c r="M18" i="1"/>
  <c r="I18" i="1"/>
  <c r="J18" i="1" s="1"/>
  <c r="I21" i="1"/>
  <c r="J21" i="1" s="1"/>
  <c r="M21" i="1"/>
  <c r="I37" i="1"/>
  <c r="J37" i="1" s="1"/>
  <c r="M37" i="1"/>
  <c r="I29" i="1"/>
  <c r="J29" i="1" s="1"/>
  <c r="M29" i="1"/>
  <c r="M49" i="1"/>
  <c r="F47" i="1"/>
  <c r="H47" i="1" s="1"/>
  <c r="F46" i="1"/>
  <c r="H46" i="1" s="1"/>
  <c r="F45" i="1"/>
  <c r="H45" i="1" s="1"/>
  <c r="I43" i="1" l="1"/>
  <c r="J43" i="1" s="1"/>
  <c r="F52" i="1"/>
  <c r="I13" i="1"/>
  <c r="J13" i="1" s="1"/>
  <c r="M47" i="1"/>
  <c r="I47" i="1"/>
  <c r="J47" i="1" s="1"/>
  <c r="M46" i="1"/>
  <c r="I46" i="1"/>
  <c r="J46" i="1" s="1"/>
  <c r="I45" i="1"/>
  <c r="J45" i="1" s="1"/>
  <c r="M45" i="1"/>
  <c r="M48" i="1"/>
  <c r="I48" i="1"/>
  <c r="J48" i="1" s="1"/>
  <c r="H38" i="1"/>
  <c r="M8" i="1"/>
  <c r="I49" i="1"/>
  <c r="J49" i="1" s="1"/>
  <c r="I51" i="1"/>
  <c r="J51" i="1" s="1"/>
  <c r="M51" i="1"/>
  <c r="H52" i="1" l="1"/>
  <c r="M52" i="1" s="1"/>
  <c r="M38" i="1"/>
  <c r="I38" i="1"/>
  <c r="I52" i="1" l="1"/>
  <c r="J52" i="1" s="1"/>
  <c r="I8" i="1" l="1"/>
  <c r="J8" i="1" s="1"/>
  <c r="J38" i="1" l="1"/>
</calcChain>
</file>

<file path=xl/sharedStrings.xml><?xml version="1.0" encoding="utf-8"?>
<sst xmlns="http://schemas.openxmlformats.org/spreadsheetml/2006/main" count="300" uniqueCount="111">
  <si>
    <t>ITEM</t>
  </si>
  <si>
    <t>DESCRIPCION</t>
  </si>
  <si>
    <t>CANTIDAD</t>
  </si>
  <si>
    <t>CARGA INSTALADA (W)</t>
  </si>
  <si>
    <t>FACTOR DE DEMANDA</t>
  </si>
  <si>
    <t>MAXIMA DEMANDA (W)</t>
  </si>
  <si>
    <t>L (m)</t>
  </si>
  <si>
    <t>In = It  (A)</t>
  </si>
  <si>
    <t>Id=1.25*It (A)</t>
  </si>
  <si>
    <t>Isel(A)</t>
  </si>
  <si>
    <t>TIPO DE CONDUCTOR</t>
  </si>
  <si>
    <t>S (mm2)</t>
  </si>
  <si>
    <t>Caida tensión (%)</t>
  </si>
  <si>
    <t>INTERRUPTOR TERMOMAGNETICO</t>
  </si>
  <si>
    <t>INTERRUPTOR DIFERENCIAL</t>
  </si>
  <si>
    <t>C-1</t>
  </si>
  <si>
    <t>NH-80°C</t>
  </si>
  <si>
    <t>2x20A</t>
  </si>
  <si>
    <t>2X25A</t>
  </si>
  <si>
    <t>C-2</t>
  </si>
  <si>
    <t>C-3</t>
  </si>
  <si>
    <t>C-4</t>
  </si>
  <si>
    <t>C-5</t>
  </si>
  <si>
    <t>RESERVA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</si>
  <si>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</si>
  <si>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</si>
  <si>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</si>
  <si>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</si>
  <si>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</si>
  <si>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</si>
  <si>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</si>
  <si>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</si>
  <si>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</si>
  <si>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</si>
  <si>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</si>
  <si>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</si>
  <si>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</si>
  <si>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</si>
  <si>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</si>
  <si>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N2XOH-90°C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</si>
  <si>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</si>
  <si>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</si>
  <si>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</si>
  <si>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</si>
  <si>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</si>
  <si>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</si>
  <si>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</si>
  <si>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</si>
  <si>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</si>
  <si>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</si>
  <si>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OK</t>
  </si>
  <si>
    <t>2X40A</t>
  </si>
  <si>
    <t>2X32A</t>
  </si>
  <si>
    <t>RESERVA CABLEADA</t>
  </si>
  <si>
    <t>ALUMBRADO  PASILLO INTERCALADO</t>
  </si>
  <si>
    <t>ALUMBRADO PASILLO INTERCALADO Y LUCES DE EMERGENCIA DE PASILLO</t>
  </si>
  <si>
    <t>2x16A</t>
  </si>
  <si>
    <t>ALUMBRADO DE CUARTO ELÉCTRICO Y LUZ DE EMERGENCIA</t>
  </si>
  <si>
    <t>2X16A</t>
  </si>
  <si>
    <t>2X20A</t>
  </si>
  <si>
    <t>3x112/160A</t>
  </si>
  <si>
    <t xml:space="preserve"> </t>
  </si>
  <si>
    <t>3X63A</t>
  </si>
  <si>
    <t>CE-1</t>
  </si>
  <si>
    <t>CE-2</t>
  </si>
  <si>
    <t>CE-3</t>
  </si>
  <si>
    <t>CE-4</t>
  </si>
  <si>
    <t>CE-5</t>
  </si>
  <si>
    <t>CE-6</t>
  </si>
  <si>
    <t>CE-7</t>
  </si>
  <si>
    <t>CE-8</t>
  </si>
  <si>
    <t>CE-9</t>
  </si>
  <si>
    <t>TOMACORRIENTES DE MESAS 1 AL 4 INTERCALADO</t>
  </si>
  <si>
    <t>TOMACORRIENTES DE MESAS 5 AL 8 INTERCALADO</t>
  </si>
  <si>
    <t>TOMACORRIENTES DE MESAS 9 AL 12</t>
  </si>
  <si>
    <t>TOMACORRIENTE DE MESAS 13 AL 15</t>
  </si>
  <si>
    <t>TOMACORRIENTE DE SWITCH</t>
  </si>
  <si>
    <t>3X60A</t>
  </si>
  <si>
    <t>B) TABLERO ESTABILIZADO TEST-SB EXISTENTE</t>
  </si>
  <si>
    <t>A) TABLERO TA-A-1 EXISTENTE</t>
  </si>
  <si>
    <t>ALUMBRADO DE SS.HH. VARONES Y MUJERES</t>
  </si>
  <si>
    <t>ALUMBRADO AULA A-101 Y LUZ DE EMERGENCIA</t>
  </si>
  <si>
    <t>ALUMBRADO DE TÓPICO, CLUB DE APRENDIZAJE, SALA DE REUNIONES Y LUCES DE EMERGENCIA</t>
  </si>
  <si>
    <t>ALUMBRADO DE AULA A-102 Y LUCES DE EMERGENCIA</t>
  </si>
  <si>
    <t>ALUMBRADO DE PATIO Y LUCES DE EMERGENCIA</t>
  </si>
  <si>
    <t>ALUMBRADO DE PASILLO (SOLO 2 LUMINARIAS)</t>
  </si>
  <si>
    <t>ALUMBRADO DE PASILLO DE PATIO</t>
  </si>
  <si>
    <t>ALUMBRADO DE ZONA POPULAR</t>
  </si>
  <si>
    <t>ALUMBRADO PASILLO ESCALERA 1</t>
  </si>
  <si>
    <t>ALUMBRADO ÁREA CIRCULACIÓN</t>
  </si>
  <si>
    <t>TOMACORRIENTES EN CLUB DE APRENDIZAJE</t>
  </si>
  <si>
    <t>TOMACORRIENTES SALA DE REUNIONES</t>
  </si>
  <si>
    <t>TOMACORRIENTES EN AULA A-102</t>
  </si>
  <si>
    <t>TOMACORRIENTE DE ZONA POPULAR</t>
  </si>
  <si>
    <t>TOMACORRIENTES EN AMBIENTE DE INDUCCIÓN</t>
  </si>
  <si>
    <t>TOMACORRIENTE DE PASILLO</t>
  </si>
  <si>
    <t>ALUMBRADO DE ESCALERA 3 Y LUCES DE EMERGENCIA</t>
  </si>
  <si>
    <t>TOMACORRIENTE DE TÓPICO</t>
  </si>
  <si>
    <t>TOMACORRIENTE COMPUTADORAS LADO IZQUIERDO, DERECHO CLUB DE APRENDIZAJE E IMPRESORA</t>
  </si>
  <si>
    <t>TOMACORRIENTE EN ZONA POPULAR</t>
  </si>
  <si>
    <t>TOMACORRIENTES DE KITCHEN Y SALA DE REUNIONES LADO IZQUIERDO</t>
  </si>
  <si>
    <t>TOMACORRIENTES EN ZONA DE CALENTADO, PATIO Y OFICINA DE CONTROL</t>
  </si>
  <si>
    <t>TOMACORRIENTES, PROYECTOR Y PARLANTE AULA A-101</t>
  </si>
  <si>
    <t>TOMACORRIENTES EN PATIO</t>
  </si>
  <si>
    <t>TOMACORRIENTES DE PROFESOR</t>
  </si>
  <si>
    <t>AIRE ACONDICIONADO DE AULA A-102 Y LABORATORIO</t>
  </si>
  <si>
    <t>AIRE ACONDICIONADO DE TÓPICO, LABORATORIO DE CLUB DE APRENDIZAJE Y SALA DE REUNIONES</t>
  </si>
  <si>
    <t>AIRE ACONDICIONADO DE AULA A-101</t>
  </si>
  <si>
    <t>C) TABLERO DE FUERZA TF-A-1 EXISTENTE</t>
  </si>
  <si>
    <t>CUADRO DE CARGAS PROYECTADO DEL COLEGIO IE 6045</t>
  </si>
  <si>
    <t>1) PRIMER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</si>
</sst>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u/>
      <sz val="20"/>
      <color theme="9" tint="-0.249977111117893"/>
      <name val="Arial"/>
      <family val="2"/>
    </font>
    <font>
      <b/>
      <u/>
      <sz val="14"/>
      <color rgb="FFC00000"/>
      <name val="Arial"/>
      <family val="2"/>
    </font>
    <font>
      <b/>
      <u/>
      <sz val="12"/>
      <color rgb="FF0000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u/>
      <sz val="20"/>
      <color rgb="FFFF0000"/>
      <name val="Arial"/>
      <family val="2"/>
    </font>
    <font>
      <b/>
      <u/>
      <sz val="12"/>
      <color rgb="FF0070C0"/>
      <name val="Arial"/>
      <family val="2"/>
    </font>
    <font>
      <b/>
      <u/>
      <sz val="12"/>
      <color rgb="FFFF006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/>
    <xf numFmtId="1" fontId="6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8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1" fillId="0" borderId="0" xfId="0" applyFont="1" applyFill="1"/>
    <xf numFmtId="0" fontId="0" fillId="3" borderId="0" xfId="0" applyFill="1"/>
    <xf numFmtId="0" fontId="4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zoomScale="115" zoomScaleNormal="115" workbookViewId="0">
      <pane xSplit="1" topLeftCell="B1" activePane="topRight" state="frozen"/>
      <selection activeCell="A43" sqref="A43"/>
      <selection pane="topRight" activeCell="B60" sqref="B60"/>
    </sheetView>
  </sheetViews>
  <sheetFormatPr baseColWidth="10" defaultRowHeight="15" x14ac:dyDescent="0.25"/>
  <cols>
    <col min="2" max="2" width="50.42578125" customWidth="1"/>
    <col min="3" max="3" width="13.28515625" customWidth="1"/>
    <col min="4" max="4" width="20.5703125" customWidth="1"/>
    <col min="5" max="5" width="14.140625" customWidth="1"/>
    <col min="6" max="6" width="14" customWidth="1"/>
    <col min="7" max="7" width="9.28515625" customWidth="1"/>
    <col min="8" max="8" width="11.42578125" customWidth="1"/>
    <col min="9" max="9" width="15.42578125" customWidth="1"/>
    <col min="10" max="10" width="16.7109375" customWidth="1"/>
    <col min="11" max="11" width="16.5703125" customWidth="1"/>
    <col min="12" max="12" width="20.28515625" customWidth="1"/>
    <col min="13" max="13" width="20" customWidth="1"/>
    <col min="14" max="14" width="18.5703125" customWidth="1"/>
    <col min="15" max="15" width="14.140625" customWidth="1"/>
    <col min="17" max="17" width="25.140625" customWidth="1"/>
  </cols>
  <sheetData>
    <row r="1" spans="1:15" ht="26.25" x14ac:dyDescent="0.4">
      <c r="A1" s="23" t="s">
        <v>109</v>
      </c>
    </row>
    <row r="2" spans="1:15" ht="26.25" x14ac:dyDescent="0.4">
      <c r="A2" s="1"/>
    </row>
    <row r="3" spans="1:15" ht="18" x14ac:dyDescent="0.25">
      <c r="A3" s="2"/>
    </row>
    <row r="4" spans="1:15" ht="18" x14ac:dyDescent="0.25">
      <c r="A4" s="2" t="s">
        <v>110</v>
      </c>
    </row>
    <row r="5" spans="1:15" ht="25.5" customHeight="1" x14ac:dyDescent="0.25">
      <c r="A5" s="2"/>
    </row>
    <row r="6" spans="1:15" ht="15.75" x14ac:dyDescent="0.25">
      <c r="A6" s="3" t="s">
        <v>79</v>
      </c>
    </row>
    <row r="7" spans="1:15" ht="38.2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</row>
    <row r="8" spans="1:15" ht="30" customHeight="1" x14ac:dyDescent="0.25">
      <c r="A8" s="29" t="s">
        <v>15</v>
      </c>
      <c r="B8" s="5" t="s">
        <v>80</v>
      </c>
      <c r="C8" s="6">
        <f>21+2</f>
        <v>23</v>
      </c>
      <c r="D8" s="7">
        <f>21*36</f>
        <v>756</v>
      </c>
      <c r="E8" s="8">
        <v>1</v>
      </c>
      <c r="F8" s="7">
        <f>D8*E8</f>
        <v>756</v>
      </c>
      <c r="G8" s="31">
        <v>29</v>
      </c>
      <c r="H8" s="9">
        <f t="shared" ref="H8:H14" si="0">F8/(220*1)</f>
        <v>3.4363636363636365</v>
      </c>
      <c r="I8" s="9">
        <f t="shared" ref="I8:I37" si="1">H8*1.25</f>
        <v>4.2954545454545459</v>
      </c>
      <c r="J8" s="10">
        <f>+I8</f>
        <v>4.2954545454545459</v>
      </c>
      <c r="K8" s="11" t="s">
        <v>16</v>
      </c>
      <c r="L8" s="12">
        <v>4</v>
      </c>
      <c r="M8" s="13">
        <f>(2*G8*H8*100)/(56*L8*220)</f>
        <v>0.40444214876033058</v>
      </c>
      <c r="N8" s="11" t="s">
        <v>17</v>
      </c>
      <c r="O8" s="11" t="s">
        <v>18</v>
      </c>
    </row>
    <row r="9" spans="1:15" x14ac:dyDescent="0.25">
      <c r="A9" s="29" t="s">
        <v>19</v>
      </c>
      <c r="B9" s="5" t="s">
        <v>81</v>
      </c>
      <c r="C9" s="6">
        <f>12+1</f>
        <v>13</v>
      </c>
      <c r="D9" s="7">
        <f>12*36+1*50</f>
        <v>482</v>
      </c>
      <c r="E9" s="8">
        <v>1</v>
      </c>
      <c r="F9" s="7">
        <f t="shared" ref="F9:F37" si="2">D9*E9</f>
        <v>482</v>
      </c>
      <c r="G9" s="31">
        <v>32</v>
      </c>
      <c r="H9" s="9">
        <f t="shared" si="0"/>
        <v>2.1909090909090909</v>
      </c>
      <c r="I9" s="9">
        <f t="shared" si="1"/>
        <v>2.7386363636363638</v>
      </c>
      <c r="J9" s="10">
        <f t="shared" ref="J9:J37" si="3">+I9</f>
        <v>2.7386363636363638</v>
      </c>
      <c r="K9" s="11" t="s">
        <v>16</v>
      </c>
      <c r="L9" s="12">
        <v>4</v>
      </c>
      <c r="M9" s="13">
        <f t="shared" ref="M9:M37" si="4">(2*G9*H9*100)/(56*L9*220)</f>
        <v>0.28453364817001181</v>
      </c>
      <c r="N9" s="11" t="s">
        <v>17</v>
      </c>
      <c r="O9" s="11" t="s">
        <v>18</v>
      </c>
    </row>
    <row r="10" spans="1:15" ht="25.5" x14ac:dyDescent="0.25">
      <c r="A10" s="29" t="s">
        <v>20</v>
      </c>
      <c r="B10" s="5" t="s">
        <v>82</v>
      </c>
      <c r="C10" s="6">
        <f>31+2</f>
        <v>33</v>
      </c>
      <c r="D10" s="7">
        <f>31*36+2*50</f>
        <v>1216</v>
      </c>
      <c r="E10" s="8">
        <v>1</v>
      </c>
      <c r="F10" s="7">
        <f t="shared" si="2"/>
        <v>1216</v>
      </c>
      <c r="G10" s="31">
        <v>52</v>
      </c>
      <c r="H10" s="9">
        <f t="shared" si="0"/>
        <v>5.5272727272727273</v>
      </c>
      <c r="I10" s="9">
        <f t="shared" si="1"/>
        <v>6.9090909090909092</v>
      </c>
      <c r="J10" s="10">
        <f t="shared" si="3"/>
        <v>6.9090909090909092</v>
      </c>
      <c r="K10" s="11" t="s">
        <v>16</v>
      </c>
      <c r="L10" s="12">
        <v>4</v>
      </c>
      <c r="M10" s="13">
        <f t="shared" si="4"/>
        <v>1.166469893742621</v>
      </c>
      <c r="N10" s="11" t="s">
        <v>17</v>
      </c>
      <c r="O10" s="11" t="s">
        <v>18</v>
      </c>
    </row>
    <row r="11" spans="1:15" ht="25.5" x14ac:dyDescent="0.25">
      <c r="A11" s="29" t="s">
        <v>21</v>
      </c>
      <c r="B11" s="36" t="s">
        <v>83</v>
      </c>
      <c r="C11" s="6">
        <f>22+2</f>
        <v>24</v>
      </c>
      <c r="D11" s="7">
        <f>22*36+2*50</f>
        <v>892</v>
      </c>
      <c r="E11" s="8">
        <v>1</v>
      </c>
      <c r="F11" s="7">
        <f t="shared" si="2"/>
        <v>892</v>
      </c>
      <c r="G11" s="31">
        <v>50</v>
      </c>
      <c r="H11" s="9">
        <f t="shared" si="0"/>
        <v>4.0545454545454547</v>
      </c>
      <c r="I11" s="9">
        <f t="shared" si="1"/>
        <v>5.0681818181818183</v>
      </c>
      <c r="J11" s="10">
        <f t="shared" si="3"/>
        <v>5.0681818181818183</v>
      </c>
      <c r="K11" s="11" t="s">
        <v>16</v>
      </c>
      <c r="L11" s="12">
        <v>4</v>
      </c>
      <c r="M11" s="13">
        <f t="shared" si="4"/>
        <v>0.82275678866587965</v>
      </c>
      <c r="N11" s="11" t="s">
        <v>17</v>
      </c>
      <c r="O11" s="11" t="s">
        <v>18</v>
      </c>
    </row>
    <row r="12" spans="1:15" x14ac:dyDescent="0.25">
      <c r="A12" s="29" t="s">
        <v>22</v>
      </c>
      <c r="B12" s="5" t="s">
        <v>84</v>
      </c>
      <c r="C12" s="6">
        <f>27+2</f>
        <v>29</v>
      </c>
      <c r="D12" s="7">
        <f>27*36+2*50</f>
        <v>1072</v>
      </c>
      <c r="E12" s="8">
        <v>1</v>
      </c>
      <c r="F12" s="7">
        <f t="shared" si="2"/>
        <v>1072</v>
      </c>
      <c r="G12" s="31">
        <v>25</v>
      </c>
      <c r="H12" s="9">
        <f t="shared" si="0"/>
        <v>4.872727272727273</v>
      </c>
      <c r="I12" s="9">
        <f t="shared" si="1"/>
        <v>6.0909090909090917</v>
      </c>
      <c r="J12" s="10">
        <f t="shared" si="3"/>
        <v>6.0909090909090917</v>
      </c>
      <c r="K12" s="11" t="s">
        <v>16</v>
      </c>
      <c r="L12" s="12">
        <v>4</v>
      </c>
      <c r="M12" s="13">
        <f t="shared" si="4"/>
        <v>0.49439197166469895</v>
      </c>
      <c r="N12" s="11" t="s">
        <v>17</v>
      </c>
      <c r="O12" s="11" t="s">
        <v>18</v>
      </c>
    </row>
    <row r="13" spans="1:15" x14ac:dyDescent="0.25">
      <c r="A13" s="29" t="s">
        <v>24</v>
      </c>
      <c r="B13" s="5" t="s">
        <v>85</v>
      </c>
      <c r="C13" s="6">
        <f>2</f>
        <v>2</v>
      </c>
      <c r="D13" s="7">
        <f>2*36</f>
        <v>72</v>
      </c>
      <c r="E13" s="8">
        <v>1</v>
      </c>
      <c r="F13" s="7">
        <f t="shared" si="2"/>
        <v>72</v>
      </c>
      <c r="G13" s="31">
        <v>15</v>
      </c>
      <c r="H13" s="9">
        <f t="shared" si="0"/>
        <v>0.32727272727272727</v>
      </c>
      <c r="I13" s="9">
        <f t="shared" si="1"/>
        <v>0.40909090909090906</v>
      </c>
      <c r="J13" s="10">
        <f t="shared" si="3"/>
        <v>0.40909090909090906</v>
      </c>
      <c r="K13" s="11" t="s">
        <v>16</v>
      </c>
      <c r="L13" s="12">
        <v>4</v>
      </c>
      <c r="M13" s="13">
        <f>(2*G13*H13*100)/(56*L13*220)</f>
        <v>1.9923258559622199E-2</v>
      </c>
      <c r="N13" s="11" t="s">
        <v>56</v>
      </c>
      <c r="O13" s="11" t="s">
        <v>18</v>
      </c>
    </row>
    <row r="14" spans="1:15" x14ac:dyDescent="0.25">
      <c r="A14" s="29" t="s">
        <v>25</v>
      </c>
      <c r="B14" s="5" t="s">
        <v>86</v>
      </c>
      <c r="C14" s="6">
        <f>9+1</f>
        <v>10</v>
      </c>
      <c r="D14" s="7">
        <f>9*36+1*50</f>
        <v>374</v>
      </c>
      <c r="E14" s="8">
        <v>1</v>
      </c>
      <c r="F14" s="7">
        <f t="shared" si="2"/>
        <v>374</v>
      </c>
      <c r="G14" s="31">
        <v>36</v>
      </c>
      <c r="H14" s="9">
        <f t="shared" si="0"/>
        <v>1.7</v>
      </c>
      <c r="I14" s="9">
        <f t="shared" si="1"/>
        <v>2.125</v>
      </c>
      <c r="J14" s="10">
        <f t="shared" si="3"/>
        <v>2.125</v>
      </c>
      <c r="K14" s="11" t="s">
        <v>16</v>
      </c>
      <c r="L14" s="12">
        <v>4</v>
      </c>
      <c r="M14" s="13">
        <f t="shared" si="4"/>
        <v>0.24837662337662339</v>
      </c>
      <c r="N14" s="11" t="s">
        <v>56</v>
      </c>
      <c r="O14" s="11" t="s">
        <v>18</v>
      </c>
    </row>
    <row r="15" spans="1:15" x14ac:dyDescent="0.25">
      <c r="A15" s="29" t="s">
        <v>26</v>
      </c>
      <c r="B15" s="5" t="s">
        <v>54</v>
      </c>
      <c r="C15" s="6">
        <v>13</v>
      </c>
      <c r="D15" s="7">
        <f>13*36</f>
        <v>468</v>
      </c>
      <c r="E15" s="8">
        <v>1</v>
      </c>
      <c r="F15" s="7">
        <f t="shared" si="2"/>
        <v>468</v>
      </c>
      <c r="G15" s="31">
        <v>45</v>
      </c>
      <c r="H15" s="9">
        <f t="shared" ref="H15:H20" si="5">F15/(220*1)</f>
        <v>2.1272727272727274</v>
      </c>
      <c r="I15" s="9">
        <f t="shared" si="1"/>
        <v>2.6590909090909092</v>
      </c>
      <c r="J15" s="10">
        <f t="shared" si="3"/>
        <v>2.6590909090909092</v>
      </c>
      <c r="K15" s="11" t="s">
        <v>16</v>
      </c>
      <c r="L15" s="12">
        <v>4</v>
      </c>
      <c r="M15" s="13">
        <f t="shared" si="4"/>
        <v>0.38850354191263287</v>
      </c>
      <c r="N15" s="11" t="s">
        <v>56</v>
      </c>
      <c r="O15" s="11" t="s">
        <v>18</v>
      </c>
    </row>
    <row r="16" spans="1:15" ht="25.5" x14ac:dyDescent="0.25">
      <c r="A16" s="29" t="s">
        <v>27</v>
      </c>
      <c r="B16" s="5" t="s">
        <v>55</v>
      </c>
      <c r="C16" s="6">
        <f>15+2</f>
        <v>17</v>
      </c>
      <c r="D16" s="7">
        <f>15*36+2*50</f>
        <v>640</v>
      </c>
      <c r="E16" s="8">
        <v>1</v>
      </c>
      <c r="F16" s="7">
        <f t="shared" si="2"/>
        <v>640</v>
      </c>
      <c r="G16" s="31">
        <v>45</v>
      </c>
      <c r="H16" s="9">
        <f t="shared" si="5"/>
        <v>2.9090909090909092</v>
      </c>
      <c r="I16" s="9">
        <f t="shared" si="1"/>
        <v>3.6363636363636367</v>
      </c>
      <c r="J16" s="10">
        <f t="shared" si="3"/>
        <v>3.6363636363636367</v>
      </c>
      <c r="K16" s="11" t="s">
        <v>16</v>
      </c>
      <c r="L16" s="12">
        <v>4</v>
      </c>
      <c r="M16" s="13">
        <f t="shared" si="4"/>
        <v>0.53128689492325853</v>
      </c>
      <c r="N16" s="11" t="s">
        <v>17</v>
      </c>
      <c r="O16" s="11" t="s">
        <v>18</v>
      </c>
    </row>
    <row r="17" spans="1:16" x14ac:dyDescent="0.25">
      <c r="A17" s="29" t="s">
        <v>28</v>
      </c>
      <c r="B17" s="5" t="s">
        <v>87</v>
      </c>
      <c r="C17" s="6">
        <v>19</v>
      </c>
      <c r="D17" s="7">
        <f>18*36+1*50</f>
        <v>698</v>
      </c>
      <c r="E17" s="8">
        <v>1</v>
      </c>
      <c r="F17" s="7">
        <f t="shared" si="2"/>
        <v>698</v>
      </c>
      <c r="G17" s="31">
        <v>50</v>
      </c>
      <c r="H17" s="9">
        <f t="shared" si="5"/>
        <v>3.1727272727272728</v>
      </c>
      <c r="I17" s="9">
        <f t="shared" si="1"/>
        <v>3.9659090909090908</v>
      </c>
      <c r="J17" s="10">
        <f t="shared" si="3"/>
        <v>3.9659090909090908</v>
      </c>
      <c r="K17" s="11" t="s">
        <v>16</v>
      </c>
      <c r="L17" s="12">
        <v>4</v>
      </c>
      <c r="M17" s="13">
        <f t="shared" si="4"/>
        <v>0.64381641086186547</v>
      </c>
      <c r="N17" s="11" t="s">
        <v>17</v>
      </c>
      <c r="O17" s="11" t="s">
        <v>18</v>
      </c>
    </row>
    <row r="18" spans="1:16" ht="28.5" customHeight="1" x14ac:dyDescent="0.25">
      <c r="A18" s="29" t="s">
        <v>29</v>
      </c>
      <c r="B18" s="5" t="s">
        <v>88</v>
      </c>
      <c r="C18" s="6">
        <f>9+1</f>
        <v>10</v>
      </c>
      <c r="D18" s="7">
        <f>9*36+1*50</f>
        <v>374</v>
      </c>
      <c r="E18" s="8">
        <v>1</v>
      </c>
      <c r="F18" s="7">
        <f t="shared" si="2"/>
        <v>374</v>
      </c>
      <c r="G18" s="31">
        <v>55</v>
      </c>
      <c r="H18" s="9">
        <f t="shared" si="5"/>
        <v>1.7</v>
      </c>
      <c r="I18" s="9">
        <f t="shared" si="1"/>
        <v>2.125</v>
      </c>
      <c r="J18" s="10">
        <f t="shared" si="3"/>
        <v>2.125</v>
      </c>
      <c r="K18" s="11" t="s">
        <v>16</v>
      </c>
      <c r="L18" s="12">
        <v>4</v>
      </c>
      <c r="M18" s="13">
        <f t="shared" si="4"/>
        <v>0.3794642857142857</v>
      </c>
      <c r="N18" s="11" t="s">
        <v>58</v>
      </c>
      <c r="O18" s="11" t="s">
        <v>18</v>
      </c>
    </row>
    <row r="19" spans="1:16" s="26" customFormat="1" x14ac:dyDescent="0.25">
      <c r="A19" s="30" t="s">
        <v>30</v>
      </c>
      <c r="B19" s="5" t="s">
        <v>89</v>
      </c>
      <c r="C19" s="6">
        <f>6+2</f>
        <v>8</v>
      </c>
      <c r="D19" s="7">
        <f>6*36+2*50</f>
        <v>316</v>
      </c>
      <c r="E19" s="8">
        <v>1</v>
      </c>
      <c r="F19" s="7">
        <f t="shared" si="2"/>
        <v>316</v>
      </c>
      <c r="G19" s="6">
        <v>55</v>
      </c>
      <c r="H19" s="9">
        <f t="shared" si="5"/>
        <v>1.4363636363636363</v>
      </c>
      <c r="I19" s="9">
        <f t="shared" si="1"/>
        <v>1.7954545454545454</v>
      </c>
      <c r="J19" s="10">
        <f t="shared" si="3"/>
        <v>1.7954545454545454</v>
      </c>
      <c r="K19" s="11" t="s">
        <v>16</v>
      </c>
      <c r="L19" s="12">
        <v>4</v>
      </c>
      <c r="M19" s="13">
        <f t="shared" si="4"/>
        <v>0.32061688311688313</v>
      </c>
      <c r="N19" s="11" t="s">
        <v>56</v>
      </c>
      <c r="O19" s="11" t="s">
        <v>18</v>
      </c>
      <c r="P19"/>
    </row>
    <row r="20" spans="1:16" ht="25.5" x14ac:dyDescent="0.25">
      <c r="A20" s="29" t="s">
        <v>31</v>
      </c>
      <c r="B20" s="36" t="s">
        <v>57</v>
      </c>
      <c r="C20" s="6">
        <f>2+1</f>
        <v>3</v>
      </c>
      <c r="D20" s="7">
        <f>2*36+1*50</f>
        <v>122</v>
      </c>
      <c r="E20" s="8">
        <v>1</v>
      </c>
      <c r="F20" s="7">
        <f t="shared" si="2"/>
        <v>122</v>
      </c>
      <c r="G20" s="31">
        <v>5</v>
      </c>
      <c r="H20" s="9">
        <f t="shared" si="5"/>
        <v>0.55454545454545456</v>
      </c>
      <c r="I20" s="9">
        <f t="shared" si="1"/>
        <v>0.69318181818181823</v>
      </c>
      <c r="J20" s="10">
        <f t="shared" si="3"/>
        <v>0.69318181818181823</v>
      </c>
      <c r="K20" s="11" t="s">
        <v>16</v>
      </c>
      <c r="L20" s="12">
        <v>4</v>
      </c>
      <c r="M20" s="13">
        <f t="shared" si="4"/>
        <v>1.1252951593860687E-2</v>
      </c>
      <c r="N20" s="11" t="s">
        <v>58</v>
      </c>
      <c r="O20" s="11" t="s">
        <v>18</v>
      </c>
    </row>
    <row r="21" spans="1:16" x14ac:dyDescent="0.25">
      <c r="A21" s="29" t="s">
        <v>32</v>
      </c>
      <c r="B21" s="5" t="s">
        <v>90</v>
      </c>
      <c r="C21" s="6">
        <v>8</v>
      </c>
      <c r="D21" s="7">
        <f>C21*250</f>
        <v>2000</v>
      </c>
      <c r="E21" s="8">
        <v>0.85</v>
      </c>
      <c r="F21" s="7">
        <f t="shared" si="2"/>
        <v>1700</v>
      </c>
      <c r="G21" s="31">
        <v>42</v>
      </c>
      <c r="H21" s="9">
        <f>F21/(220*0.85)</f>
        <v>9.0909090909090917</v>
      </c>
      <c r="I21" s="9">
        <f t="shared" si="1"/>
        <v>11.363636363636365</v>
      </c>
      <c r="J21" s="10">
        <f t="shared" si="3"/>
        <v>11.363636363636365</v>
      </c>
      <c r="K21" s="11" t="s">
        <v>16</v>
      </c>
      <c r="L21" s="12">
        <v>6</v>
      </c>
      <c r="M21" s="13">
        <f t="shared" si="4"/>
        <v>1.0330578512396695</v>
      </c>
      <c r="N21" s="11" t="s">
        <v>52</v>
      </c>
      <c r="O21" s="11" t="s">
        <v>51</v>
      </c>
    </row>
    <row r="22" spans="1:16" s="26" customFormat="1" x14ac:dyDescent="0.25">
      <c r="A22" s="30" t="s">
        <v>33</v>
      </c>
      <c r="B22" s="5" t="s">
        <v>91</v>
      </c>
      <c r="C22" s="6">
        <v>3</v>
      </c>
      <c r="D22" s="24">
        <f>C22*250</f>
        <v>750</v>
      </c>
      <c r="E22" s="25">
        <v>0.85</v>
      </c>
      <c r="F22" s="7">
        <f t="shared" si="2"/>
        <v>637.5</v>
      </c>
      <c r="G22" s="6">
        <v>45</v>
      </c>
      <c r="H22" s="9">
        <f>F22/(220*0.85)</f>
        <v>3.4090909090909092</v>
      </c>
      <c r="I22" s="9">
        <f t="shared" si="1"/>
        <v>4.2613636363636367</v>
      </c>
      <c r="J22" s="10">
        <f t="shared" si="3"/>
        <v>4.2613636363636367</v>
      </c>
      <c r="K22" s="11" t="s">
        <v>16</v>
      </c>
      <c r="L22" s="12">
        <v>6</v>
      </c>
      <c r="M22" s="13">
        <f t="shared" si="4"/>
        <v>0.41506788665879574</v>
      </c>
      <c r="N22" s="11" t="s">
        <v>52</v>
      </c>
      <c r="O22" s="11" t="s">
        <v>51</v>
      </c>
      <c r="P22"/>
    </row>
    <row r="23" spans="1:16" ht="33.75" customHeight="1" x14ac:dyDescent="0.25">
      <c r="A23" s="29" t="s">
        <v>34</v>
      </c>
      <c r="B23" s="5" t="s">
        <v>92</v>
      </c>
      <c r="C23" s="6">
        <v>7</v>
      </c>
      <c r="D23" s="7">
        <f>C23*250</f>
        <v>1750</v>
      </c>
      <c r="E23" s="25">
        <v>0.85</v>
      </c>
      <c r="F23" s="7">
        <f t="shared" si="2"/>
        <v>1487.5</v>
      </c>
      <c r="G23" s="31">
        <v>36</v>
      </c>
      <c r="H23" s="9">
        <f t="shared" ref="H23:H28" si="6">F23/(220*0.85)</f>
        <v>7.9545454545454541</v>
      </c>
      <c r="I23" s="9">
        <f t="shared" si="1"/>
        <v>9.9431818181818183</v>
      </c>
      <c r="J23" s="10">
        <f t="shared" si="3"/>
        <v>9.9431818181818183</v>
      </c>
      <c r="K23" s="11" t="s">
        <v>16</v>
      </c>
      <c r="L23" s="12">
        <v>4</v>
      </c>
      <c r="M23" s="13">
        <f t="shared" si="4"/>
        <v>1.1621900826446281</v>
      </c>
      <c r="N23" s="11" t="s">
        <v>59</v>
      </c>
      <c r="O23" s="11" t="s">
        <v>18</v>
      </c>
    </row>
    <row r="24" spans="1:16" x14ac:dyDescent="0.25">
      <c r="A24" s="29" t="s">
        <v>35</v>
      </c>
      <c r="B24" s="14" t="s">
        <v>53</v>
      </c>
      <c r="C24" s="15">
        <v>2</v>
      </c>
      <c r="D24" s="7">
        <f>C24*1250</f>
        <v>2500</v>
      </c>
      <c r="E24" s="25">
        <v>0.85</v>
      </c>
      <c r="F24" s="7">
        <f t="shared" si="2"/>
        <v>2125</v>
      </c>
      <c r="G24" s="32">
        <v>18</v>
      </c>
      <c r="H24" s="9">
        <f t="shared" si="6"/>
        <v>11.363636363636363</v>
      </c>
      <c r="I24" s="9">
        <f t="shared" si="1"/>
        <v>14.204545454545453</v>
      </c>
      <c r="J24" s="10">
        <f t="shared" si="3"/>
        <v>14.204545454545453</v>
      </c>
      <c r="K24" s="11" t="s">
        <v>16</v>
      </c>
      <c r="L24" s="12">
        <v>4</v>
      </c>
      <c r="M24" s="13">
        <f t="shared" si="4"/>
        <v>0.83013577331759136</v>
      </c>
      <c r="N24" s="11" t="s">
        <v>59</v>
      </c>
      <c r="O24" s="11" t="s">
        <v>18</v>
      </c>
    </row>
    <row r="25" spans="1:16" x14ac:dyDescent="0.25">
      <c r="A25" s="29" t="s">
        <v>36</v>
      </c>
      <c r="B25" s="14" t="s">
        <v>93</v>
      </c>
      <c r="C25" s="15">
        <v>1</v>
      </c>
      <c r="D25" s="7">
        <f>C25*500</f>
        <v>500</v>
      </c>
      <c r="E25" s="8">
        <v>0.85</v>
      </c>
      <c r="F25" s="7">
        <f t="shared" si="2"/>
        <v>425</v>
      </c>
      <c r="G25" s="32">
        <v>17</v>
      </c>
      <c r="H25" s="9">
        <f t="shared" si="6"/>
        <v>2.2727272727272729</v>
      </c>
      <c r="I25" s="9">
        <f t="shared" si="1"/>
        <v>2.8409090909090913</v>
      </c>
      <c r="J25" s="10">
        <f t="shared" si="3"/>
        <v>2.8409090909090913</v>
      </c>
      <c r="K25" s="11" t="s">
        <v>16</v>
      </c>
      <c r="L25" s="12">
        <v>4</v>
      </c>
      <c r="M25" s="13">
        <f t="shared" si="4"/>
        <v>0.15680342384887841</v>
      </c>
      <c r="N25" s="11" t="s">
        <v>17</v>
      </c>
      <c r="O25" s="11" t="s">
        <v>18</v>
      </c>
    </row>
    <row r="26" spans="1:16" x14ac:dyDescent="0.25">
      <c r="A26" s="29" t="s">
        <v>37</v>
      </c>
      <c r="B26" s="5" t="s">
        <v>53</v>
      </c>
      <c r="C26" s="6">
        <v>1</v>
      </c>
      <c r="D26" s="7">
        <f>C26*500</f>
        <v>500</v>
      </c>
      <c r="E26" s="8">
        <v>0.85</v>
      </c>
      <c r="F26" s="7">
        <f t="shared" si="2"/>
        <v>425</v>
      </c>
      <c r="G26" s="6">
        <v>29</v>
      </c>
      <c r="H26" s="9">
        <f t="shared" si="6"/>
        <v>2.2727272727272729</v>
      </c>
      <c r="I26" s="9">
        <f t="shared" si="1"/>
        <v>2.8409090909090913</v>
      </c>
      <c r="J26" s="10">
        <f t="shared" si="3"/>
        <v>2.8409090909090913</v>
      </c>
      <c r="K26" s="11" t="s">
        <v>16</v>
      </c>
      <c r="L26" s="12">
        <v>4</v>
      </c>
      <c r="M26" s="13">
        <f t="shared" si="4"/>
        <v>0.26748819362455728</v>
      </c>
      <c r="N26" s="11" t="s">
        <v>17</v>
      </c>
      <c r="O26" s="11" t="s">
        <v>18</v>
      </c>
    </row>
    <row r="27" spans="1:16" x14ac:dyDescent="0.25">
      <c r="A27" s="29" t="s">
        <v>38</v>
      </c>
      <c r="B27" s="5" t="s">
        <v>94</v>
      </c>
      <c r="C27" s="6">
        <v>9</v>
      </c>
      <c r="D27" s="7">
        <f>C27*250</f>
        <v>2250</v>
      </c>
      <c r="E27" s="8">
        <v>0.85</v>
      </c>
      <c r="F27" s="7">
        <f t="shared" si="2"/>
        <v>1912.5</v>
      </c>
      <c r="G27" s="6">
        <v>34</v>
      </c>
      <c r="H27" s="9">
        <f t="shared" si="6"/>
        <v>10.227272727272727</v>
      </c>
      <c r="I27" s="9">
        <f t="shared" si="1"/>
        <v>12.784090909090908</v>
      </c>
      <c r="J27" s="10">
        <f t="shared" si="3"/>
        <v>12.784090909090908</v>
      </c>
      <c r="K27" s="11" t="s">
        <v>16</v>
      </c>
      <c r="L27" s="12">
        <v>4</v>
      </c>
      <c r="M27" s="13">
        <f t="shared" si="4"/>
        <v>1.4112308146399055</v>
      </c>
      <c r="N27" s="11" t="s">
        <v>58</v>
      </c>
      <c r="O27" s="11" t="s">
        <v>18</v>
      </c>
    </row>
    <row r="28" spans="1:16" x14ac:dyDescent="0.25">
      <c r="A28" s="29" t="s">
        <v>40</v>
      </c>
      <c r="B28" s="5" t="s">
        <v>95</v>
      </c>
      <c r="C28" s="6">
        <v>1</v>
      </c>
      <c r="D28" s="7">
        <f>C28*250</f>
        <v>250</v>
      </c>
      <c r="E28" s="8">
        <v>0.85</v>
      </c>
      <c r="F28" s="7">
        <f t="shared" si="2"/>
        <v>212.5</v>
      </c>
      <c r="G28" s="6">
        <v>15</v>
      </c>
      <c r="H28" s="9">
        <f t="shared" si="6"/>
        <v>1.1363636363636365</v>
      </c>
      <c r="I28" s="9">
        <f t="shared" si="1"/>
        <v>1.4204545454545456</v>
      </c>
      <c r="J28" s="10">
        <f t="shared" si="3"/>
        <v>1.4204545454545456</v>
      </c>
      <c r="K28" s="11" t="s">
        <v>16</v>
      </c>
      <c r="L28" s="12">
        <v>4</v>
      </c>
      <c r="M28" s="13">
        <f t="shared" si="4"/>
        <v>6.9177981109799294E-2</v>
      </c>
      <c r="N28" s="11" t="s">
        <v>58</v>
      </c>
      <c r="O28" s="11" t="s">
        <v>18</v>
      </c>
    </row>
    <row r="29" spans="1:16" ht="25.5" x14ac:dyDescent="0.25">
      <c r="A29" s="29" t="s">
        <v>41</v>
      </c>
      <c r="B29" s="5" t="s">
        <v>96</v>
      </c>
      <c r="C29" s="6">
        <f>28+9</f>
        <v>37</v>
      </c>
      <c r="D29" s="7">
        <f>C29*36+9*50</f>
        <v>1782</v>
      </c>
      <c r="E29" s="8">
        <v>1</v>
      </c>
      <c r="F29" s="7">
        <f t="shared" si="2"/>
        <v>1782</v>
      </c>
      <c r="G29" s="6">
        <v>52</v>
      </c>
      <c r="H29" s="9">
        <f>F29/(220*1)</f>
        <v>8.1</v>
      </c>
      <c r="I29" s="9">
        <f t="shared" si="1"/>
        <v>10.125</v>
      </c>
      <c r="J29" s="10">
        <f t="shared" si="3"/>
        <v>10.125</v>
      </c>
      <c r="K29" s="11" t="s">
        <v>16</v>
      </c>
      <c r="L29" s="12">
        <v>4</v>
      </c>
      <c r="M29" s="13">
        <f t="shared" si="4"/>
        <v>1.7094155844155845</v>
      </c>
      <c r="N29" s="11" t="s">
        <v>58</v>
      </c>
      <c r="O29" s="11" t="s">
        <v>18</v>
      </c>
    </row>
    <row r="30" spans="1:16" x14ac:dyDescent="0.25">
      <c r="A30" s="29" t="s">
        <v>42</v>
      </c>
      <c r="B30" s="5" t="s">
        <v>97</v>
      </c>
      <c r="C30" s="6">
        <v>7</v>
      </c>
      <c r="D30" s="7">
        <f>C30*250</f>
        <v>1750</v>
      </c>
      <c r="E30" s="8">
        <v>0.85</v>
      </c>
      <c r="F30" s="7">
        <f t="shared" si="2"/>
        <v>1487.5</v>
      </c>
      <c r="G30" s="6">
        <v>32</v>
      </c>
      <c r="H30" s="9">
        <f>F30/(220*0.85)</f>
        <v>7.9545454545454541</v>
      </c>
      <c r="I30" s="9">
        <f t="shared" si="1"/>
        <v>9.9431818181818183</v>
      </c>
      <c r="J30" s="10">
        <f t="shared" si="3"/>
        <v>9.9431818181818183</v>
      </c>
      <c r="K30" s="11" t="s">
        <v>16</v>
      </c>
      <c r="L30" s="12">
        <v>4</v>
      </c>
      <c r="M30" s="13">
        <f t="shared" si="4"/>
        <v>1.0330578512396693</v>
      </c>
      <c r="N30" s="11" t="s">
        <v>58</v>
      </c>
      <c r="O30" s="11" t="s">
        <v>18</v>
      </c>
    </row>
    <row r="31" spans="1:16" ht="38.25" x14ac:dyDescent="0.25">
      <c r="A31" s="29" t="s">
        <v>43</v>
      </c>
      <c r="B31" s="36" t="s">
        <v>98</v>
      </c>
      <c r="C31" s="6">
        <v>25</v>
      </c>
      <c r="D31" s="7">
        <f>C31*250*0.75</f>
        <v>4687.5</v>
      </c>
      <c r="E31" s="8">
        <v>0.85</v>
      </c>
      <c r="F31" s="7">
        <f t="shared" si="2"/>
        <v>3984.375</v>
      </c>
      <c r="G31" s="6">
        <v>37</v>
      </c>
      <c r="H31" s="9">
        <f t="shared" ref="H31:H33" si="7">F31/(220*0.85)</f>
        <v>21.306818181818183</v>
      </c>
      <c r="I31" s="9">
        <f t="shared" si="1"/>
        <v>26.63352272727273</v>
      </c>
      <c r="J31" s="10">
        <f t="shared" si="3"/>
        <v>26.63352272727273</v>
      </c>
      <c r="K31" s="11" t="s">
        <v>16</v>
      </c>
      <c r="L31" s="12">
        <v>6</v>
      </c>
      <c r="M31" s="13">
        <f t="shared" si="4"/>
        <v>2.1329877508854782</v>
      </c>
      <c r="N31" s="11" t="s">
        <v>52</v>
      </c>
      <c r="O31" s="11" t="s">
        <v>51</v>
      </c>
    </row>
    <row r="32" spans="1:16" x14ac:dyDescent="0.25">
      <c r="A32" s="29" t="s">
        <v>44</v>
      </c>
      <c r="B32" s="5" t="s">
        <v>99</v>
      </c>
      <c r="C32" s="6">
        <v>1</v>
      </c>
      <c r="D32" s="7">
        <f>C32*250</f>
        <v>250</v>
      </c>
      <c r="E32" s="8">
        <v>0.85</v>
      </c>
      <c r="F32" s="7">
        <f t="shared" si="2"/>
        <v>212.5</v>
      </c>
      <c r="G32" s="6">
        <v>21</v>
      </c>
      <c r="H32" s="9">
        <f t="shared" si="7"/>
        <v>1.1363636363636365</v>
      </c>
      <c r="I32" s="9">
        <f t="shared" si="1"/>
        <v>1.4204545454545456</v>
      </c>
      <c r="J32" s="10">
        <f t="shared" si="3"/>
        <v>1.4204545454545456</v>
      </c>
      <c r="K32" s="11" t="s">
        <v>16</v>
      </c>
      <c r="L32" s="12">
        <v>6</v>
      </c>
      <c r="M32" s="13">
        <f t="shared" si="4"/>
        <v>6.4566115702479346E-2</v>
      </c>
      <c r="N32" s="11" t="s">
        <v>52</v>
      </c>
      <c r="O32" s="11" t="s">
        <v>51</v>
      </c>
    </row>
    <row r="33" spans="1:16" s="26" customFormat="1" x14ac:dyDescent="0.25">
      <c r="A33" s="30" t="s">
        <v>45</v>
      </c>
      <c r="B33" s="5" t="s">
        <v>99</v>
      </c>
      <c r="C33" s="6">
        <v>1</v>
      </c>
      <c r="D33" s="7">
        <f>C33*250</f>
        <v>250</v>
      </c>
      <c r="E33" s="8">
        <v>0.85</v>
      </c>
      <c r="F33" s="7">
        <f t="shared" si="2"/>
        <v>212.5</v>
      </c>
      <c r="G33" s="6">
        <v>20</v>
      </c>
      <c r="H33" s="9">
        <f t="shared" si="7"/>
        <v>1.1363636363636365</v>
      </c>
      <c r="I33" s="9">
        <f t="shared" si="1"/>
        <v>1.4204545454545456</v>
      </c>
      <c r="J33" s="10">
        <f t="shared" si="3"/>
        <v>1.4204545454545456</v>
      </c>
      <c r="K33" s="11" t="s">
        <v>16</v>
      </c>
      <c r="L33" s="12">
        <v>6</v>
      </c>
      <c r="M33" s="13">
        <f t="shared" si="4"/>
        <v>6.1491538764266045E-2</v>
      </c>
      <c r="N33" s="11" t="s">
        <v>52</v>
      </c>
      <c r="O33" s="11" t="s">
        <v>51</v>
      </c>
      <c r="P33"/>
    </row>
    <row r="34" spans="1:16" s="26" customFormat="1" ht="25.5" x14ac:dyDescent="0.25">
      <c r="A34" s="30" t="s">
        <v>46</v>
      </c>
      <c r="B34" s="36" t="s">
        <v>100</v>
      </c>
      <c r="C34" s="6">
        <v>12</v>
      </c>
      <c r="D34" s="7">
        <f>C34*250</f>
        <v>3000</v>
      </c>
      <c r="E34" s="8">
        <v>0.85</v>
      </c>
      <c r="F34" s="7">
        <f t="shared" si="2"/>
        <v>2550</v>
      </c>
      <c r="G34" s="6">
        <v>50</v>
      </c>
      <c r="H34" s="9">
        <f>F34/(220*0.85)</f>
        <v>13.636363636363637</v>
      </c>
      <c r="I34" s="9">
        <f t="shared" si="1"/>
        <v>17.045454545454547</v>
      </c>
      <c r="J34" s="10">
        <f t="shared" si="3"/>
        <v>17.045454545454547</v>
      </c>
      <c r="K34" s="11" t="s">
        <v>16</v>
      </c>
      <c r="L34" s="12">
        <v>6</v>
      </c>
      <c r="M34" s="13">
        <f t="shared" si="4"/>
        <v>1.8447461629279813</v>
      </c>
      <c r="N34" s="11" t="s">
        <v>52</v>
      </c>
      <c r="O34" s="11" t="s">
        <v>51</v>
      </c>
      <c r="P34"/>
    </row>
    <row r="35" spans="1:16" s="26" customFormat="1" ht="25.5" x14ac:dyDescent="0.25">
      <c r="A35" s="30" t="s">
        <v>47</v>
      </c>
      <c r="B35" s="36" t="s">
        <v>101</v>
      </c>
      <c r="C35" s="6">
        <v>14</v>
      </c>
      <c r="D35" s="7">
        <f>C35*250</f>
        <v>3500</v>
      </c>
      <c r="E35" s="8">
        <v>0.85</v>
      </c>
      <c r="F35" s="7">
        <f t="shared" si="2"/>
        <v>2975</v>
      </c>
      <c r="G35" s="6">
        <v>30</v>
      </c>
      <c r="H35" s="9">
        <f t="shared" ref="H35:H37" si="8">F35/(220*0.85)</f>
        <v>15.909090909090908</v>
      </c>
      <c r="I35" s="9">
        <f t="shared" si="1"/>
        <v>19.886363636363637</v>
      </c>
      <c r="J35" s="10">
        <f t="shared" si="3"/>
        <v>19.886363636363637</v>
      </c>
      <c r="K35" s="11" t="s">
        <v>16</v>
      </c>
      <c r="L35" s="12">
        <v>6</v>
      </c>
      <c r="M35" s="13">
        <f t="shared" si="4"/>
        <v>1.2913223140495869</v>
      </c>
      <c r="N35" s="11" t="s">
        <v>52</v>
      </c>
      <c r="O35" s="11" t="s">
        <v>51</v>
      </c>
      <c r="P35"/>
    </row>
    <row r="36" spans="1:16" s="26" customFormat="1" ht="25.5" x14ac:dyDescent="0.25">
      <c r="A36" s="30" t="s">
        <v>48</v>
      </c>
      <c r="B36" s="5" t="s">
        <v>102</v>
      </c>
      <c r="C36" s="6">
        <v>10</v>
      </c>
      <c r="D36" s="7">
        <f>C36*250</f>
        <v>2500</v>
      </c>
      <c r="E36" s="8">
        <v>0.85</v>
      </c>
      <c r="F36" s="7">
        <f t="shared" si="2"/>
        <v>2125</v>
      </c>
      <c r="G36" s="6">
        <v>31</v>
      </c>
      <c r="H36" s="9">
        <f t="shared" si="8"/>
        <v>11.363636363636363</v>
      </c>
      <c r="I36" s="9">
        <f t="shared" si="1"/>
        <v>14.204545454545453</v>
      </c>
      <c r="J36" s="10">
        <f t="shared" si="3"/>
        <v>14.204545454545453</v>
      </c>
      <c r="K36" s="11" t="s">
        <v>16</v>
      </c>
      <c r="L36" s="12">
        <v>6</v>
      </c>
      <c r="M36" s="13">
        <f t="shared" si="4"/>
        <v>0.95311885084612358</v>
      </c>
      <c r="N36" s="11" t="s">
        <v>52</v>
      </c>
      <c r="O36" s="11" t="s">
        <v>51</v>
      </c>
      <c r="P36"/>
    </row>
    <row r="37" spans="1:16" x14ac:dyDescent="0.25">
      <c r="A37" s="29" t="s">
        <v>49</v>
      </c>
      <c r="B37" s="5" t="s">
        <v>103</v>
      </c>
      <c r="C37" s="6">
        <v>12</v>
      </c>
      <c r="D37" s="7">
        <f>C37*250</f>
        <v>3000</v>
      </c>
      <c r="E37" s="8">
        <v>0.85</v>
      </c>
      <c r="F37" s="7">
        <f t="shared" si="2"/>
        <v>2550</v>
      </c>
      <c r="G37" s="6">
        <v>25</v>
      </c>
      <c r="H37" s="9">
        <f t="shared" si="8"/>
        <v>13.636363636363637</v>
      </c>
      <c r="I37" s="9">
        <f t="shared" si="1"/>
        <v>17.045454545454547</v>
      </c>
      <c r="J37" s="10">
        <f t="shared" si="3"/>
        <v>17.045454545454547</v>
      </c>
      <c r="K37" s="11" t="s">
        <v>16</v>
      </c>
      <c r="L37" s="12">
        <v>6</v>
      </c>
      <c r="M37" s="13">
        <f t="shared" si="4"/>
        <v>0.92237308146399066</v>
      </c>
      <c r="N37" s="11" t="s">
        <v>52</v>
      </c>
      <c r="O37" s="11" t="s">
        <v>51</v>
      </c>
    </row>
    <row r="38" spans="1:16" x14ac:dyDescent="0.25">
      <c r="D38" s="21">
        <f>SUM(D8:D37)</f>
        <v>38701.5</v>
      </c>
      <c r="E38" s="18"/>
      <c r="F38" s="21">
        <f>SUM(F8:F37)*0.75</f>
        <v>25714.40625</v>
      </c>
      <c r="G38" s="19">
        <v>32</v>
      </c>
      <c r="H38" s="16">
        <f>F38/(1.73*220*0.85)</f>
        <v>79.48566118512565</v>
      </c>
      <c r="I38" s="16">
        <f>H38*1.25</f>
        <v>99.357076481407063</v>
      </c>
      <c r="J38" s="17">
        <f>+I38</f>
        <v>99.357076481407063</v>
      </c>
      <c r="K38" s="20" t="s">
        <v>39</v>
      </c>
      <c r="L38" s="12">
        <v>70</v>
      </c>
      <c r="M38" s="13">
        <f>(1.73*G38*H38*100)/(56*L38*220)</f>
        <v>0.51024190668002734</v>
      </c>
      <c r="N38" s="20" t="s">
        <v>60</v>
      </c>
      <c r="O38" s="20"/>
      <c r="P38" s="22" t="s">
        <v>50</v>
      </c>
    </row>
    <row r="41" spans="1:16" ht="15.75" x14ac:dyDescent="0.25">
      <c r="A41" s="33" t="s">
        <v>78</v>
      </c>
    </row>
    <row r="42" spans="1:16" s="34" customFormat="1" ht="38.25" x14ac:dyDescent="0.25">
      <c r="A42" s="35" t="s">
        <v>0</v>
      </c>
      <c r="B42" s="35" t="s">
        <v>1</v>
      </c>
      <c r="C42" s="35" t="s">
        <v>2</v>
      </c>
      <c r="D42" s="35" t="s">
        <v>3</v>
      </c>
      <c r="E42" s="35" t="s">
        <v>4</v>
      </c>
      <c r="F42" s="35" t="s">
        <v>5</v>
      </c>
      <c r="G42" s="35" t="s">
        <v>6</v>
      </c>
      <c r="H42" s="35" t="s">
        <v>7</v>
      </c>
      <c r="I42" s="35" t="s">
        <v>8</v>
      </c>
      <c r="J42" s="35" t="s">
        <v>9</v>
      </c>
      <c r="K42" s="35" t="s">
        <v>10</v>
      </c>
      <c r="L42" s="35" t="s">
        <v>11</v>
      </c>
      <c r="M42" s="35" t="s">
        <v>12</v>
      </c>
      <c r="N42" s="35" t="s">
        <v>13</v>
      </c>
      <c r="O42" s="35" t="s">
        <v>14</v>
      </c>
    </row>
    <row r="43" spans="1:16" x14ac:dyDescent="0.25">
      <c r="A43" s="29" t="s">
        <v>63</v>
      </c>
      <c r="B43" s="5" t="s">
        <v>72</v>
      </c>
      <c r="C43" s="6">
        <v>4</v>
      </c>
      <c r="D43" s="7">
        <f t="shared" ref="D43:D48" si="9">C43*250</f>
        <v>1000</v>
      </c>
      <c r="E43" s="8">
        <v>0.85</v>
      </c>
      <c r="F43" s="7">
        <f>D43*E43</f>
        <v>850</v>
      </c>
      <c r="G43" s="31">
        <v>36</v>
      </c>
      <c r="H43" s="9">
        <f t="shared" ref="H43:H48" si="10">F43/(220*0.85)</f>
        <v>4.5454545454545459</v>
      </c>
      <c r="I43" s="9">
        <f t="shared" ref="I43:I48" si="11">H43*1.25</f>
        <v>5.6818181818181825</v>
      </c>
      <c r="J43" s="10">
        <f t="shared" ref="J43:J51" si="12">+I43</f>
        <v>5.6818181818181825</v>
      </c>
      <c r="K43" s="11" t="s">
        <v>16</v>
      </c>
      <c r="L43" s="12">
        <v>6</v>
      </c>
      <c r="M43" s="13">
        <f t="shared" ref="M43:M48" si="13">(2*G43*H43*100)/(56*L43*220)</f>
        <v>0.44273907910271554</v>
      </c>
      <c r="N43" s="11" t="s">
        <v>17</v>
      </c>
      <c r="O43" s="11" t="s">
        <v>18</v>
      </c>
    </row>
    <row r="44" spans="1:16" x14ac:dyDescent="0.25">
      <c r="A44" s="29" t="s">
        <v>64</v>
      </c>
      <c r="B44" s="5" t="s">
        <v>72</v>
      </c>
      <c r="C44" s="6">
        <v>4</v>
      </c>
      <c r="D44" s="7">
        <f t="shared" si="9"/>
        <v>1000</v>
      </c>
      <c r="E44" s="8">
        <v>0.85</v>
      </c>
      <c r="F44" s="7">
        <f t="shared" ref="F44:F47" si="14">D44*E44</f>
        <v>850</v>
      </c>
      <c r="G44" s="31">
        <v>37</v>
      </c>
      <c r="H44" s="9">
        <f t="shared" si="10"/>
        <v>4.5454545454545459</v>
      </c>
      <c r="I44" s="9">
        <f t="shared" si="11"/>
        <v>5.6818181818181825</v>
      </c>
      <c r="J44" s="10">
        <f t="shared" si="12"/>
        <v>5.6818181818181825</v>
      </c>
      <c r="K44" s="11" t="s">
        <v>16</v>
      </c>
      <c r="L44" s="12">
        <v>4</v>
      </c>
      <c r="M44" s="13">
        <f t="shared" si="13"/>
        <v>0.68255608028335313</v>
      </c>
      <c r="N44" s="11" t="s">
        <v>17</v>
      </c>
      <c r="O44" s="11" t="s">
        <v>18</v>
      </c>
    </row>
    <row r="45" spans="1:16" x14ac:dyDescent="0.25">
      <c r="A45" s="29" t="s">
        <v>65</v>
      </c>
      <c r="B45" s="5" t="s">
        <v>73</v>
      </c>
      <c r="C45" s="6">
        <v>4</v>
      </c>
      <c r="D45" s="7">
        <f t="shared" si="9"/>
        <v>1000</v>
      </c>
      <c r="E45" s="8">
        <v>0.85</v>
      </c>
      <c r="F45" s="7">
        <f t="shared" si="14"/>
        <v>850</v>
      </c>
      <c r="G45" s="31">
        <v>38</v>
      </c>
      <c r="H45" s="9">
        <f t="shared" si="10"/>
        <v>4.5454545454545459</v>
      </c>
      <c r="I45" s="9">
        <f t="shared" si="11"/>
        <v>5.6818181818181825</v>
      </c>
      <c r="J45" s="10">
        <f t="shared" si="12"/>
        <v>5.6818181818181825</v>
      </c>
      <c r="K45" s="11" t="s">
        <v>16</v>
      </c>
      <c r="L45" s="12">
        <v>4</v>
      </c>
      <c r="M45" s="13">
        <f t="shared" si="13"/>
        <v>0.70100354191263292</v>
      </c>
      <c r="N45" s="11" t="s">
        <v>17</v>
      </c>
      <c r="O45" s="11" t="s">
        <v>18</v>
      </c>
    </row>
    <row r="46" spans="1:16" x14ac:dyDescent="0.25">
      <c r="A46" s="29" t="s">
        <v>66</v>
      </c>
      <c r="B46" s="5" t="s">
        <v>73</v>
      </c>
      <c r="C46" s="6">
        <v>4</v>
      </c>
      <c r="D46" s="7">
        <f t="shared" si="9"/>
        <v>1000</v>
      </c>
      <c r="E46" s="8">
        <v>0.85</v>
      </c>
      <c r="F46" s="7">
        <f t="shared" si="14"/>
        <v>850</v>
      </c>
      <c r="G46" s="31">
        <v>37</v>
      </c>
      <c r="H46" s="9">
        <f t="shared" si="10"/>
        <v>4.5454545454545459</v>
      </c>
      <c r="I46" s="9">
        <f t="shared" si="11"/>
        <v>5.6818181818181825</v>
      </c>
      <c r="J46" s="10">
        <f t="shared" si="12"/>
        <v>5.6818181818181825</v>
      </c>
      <c r="K46" s="11" t="s">
        <v>16</v>
      </c>
      <c r="L46" s="12">
        <v>4</v>
      </c>
      <c r="M46" s="13">
        <f t="shared" si="13"/>
        <v>0.68255608028335313</v>
      </c>
      <c r="N46" s="11" t="s">
        <v>17</v>
      </c>
      <c r="O46" s="11" t="s">
        <v>18</v>
      </c>
    </row>
    <row r="47" spans="1:16" x14ac:dyDescent="0.25">
      <c r="A47" s="29" t="s">
        <v>67</v>
      </c>
      <c r="B47" s="5" t="s">
        <v>74</v>
      </c>
      <c r="C47" s="6">
        <v>8</v>
      </c>
      <c r="D47" s="7">
        <f t="shared" si="9"/>
        <v>2000</v>
      </c>
      <c r="E47" s="8">
        <v>0.85</v>
      </c>
      <c r="F47" s="7">
        <f t="shared" si="14"/>
        <v>1700</v>
      </c>
      <c r="G47" s="31">
        <v>29</v>
      </c>
      <c r="H47" s="9">
        <f t="shared" si="10"/>
        <v>9.0909090909090917</v>
      </c>
      <c r="I47" s="9">
        <f t="shared" si="11"/>
        <v>11.363636363636365</v>
      </c>
      <c r="J47" s="10">
        <f t="shared" si="12"/>
        <v>11.363636363636365</v>
      </c>
      <c r="K47" s="11" t="s">
        <v>16</v>
      </c>
      <c r="L47" s="12">
        <v>6</v>
      </c>
      <c r="M47" s="13">
        <f t="shared" si="13"/>
        <v>0.71330184966548615</v>
      </c>
      <c r="N47" s="11" t="s">
        <v>17</v>
      </c>
      <c r="O47" s="11" t="s">
        <v>18</v>
      </c>
    </row>
    <row r="48" spans="1:16" x14ac:dyDescent="0.25">
      <c r="A48" s="29" t="s">
        <v>68</v>
      </c>
      <c r="B48" s="5" t="s">
        <v>75</v>
      </c>
      <c r="C48" s="6">
        <v>6</v>
      </c>
      <c r="D48" s="7">
        <f t="shared" si="9"/>
        <v>1500</v>
      </c>
      <c r="E48" s="8">
        <v>0.85</v>
      </c>
      <c r="F48" s="7">
        <f>D48*E48</f>
        <v>1275</v>
      </c>
      <c r="G48" s="31">
        <v>41</v>
      </c>
      <c r="H48" s="9">
        <f t="shared" si="10"/>
        <v>6.8181818181818183</v>
      </c>
      <c r="I48" s="9">
        <f t="shared" si="11"/>
        <v>8.5227272727272734</v>
      </c>
      <c r="J48" s="10">
        <f t="shared" si="12"/>
        <v>8.5227272727272734</v>
      </c>
      <c r="K48" s="11" t="s">
        <v>16</v>
      </c>
      <c r="L48" s="12">
        <v>6</v>
      </c>
      <c r="M48" s="13">
        <f t="shared" si="13"/>
        <v>0.7563459268004723</v>
      </c>
      <c r="N48" s="11" t="s">
        <v>17</v>
      </c>
      <c r="O48" s="11" t="s">
        <v>18</v>
      </c>
    </row>
    <row r="49" spans="1:16" x14ac:dyDescent="0.25">
      <c r="A49" s="29" t="s">
        <v>69</v>
      </c>
      <c r="B49" s="5" t="s">
        <v>104</v>
      </c>
      <c r="C49" s="6">
        <f>2+2</f>
        <v>4</v>
      </c>
      <c r="D49" s="7">
        <f>2*250+2*250</f>
        <v>1000</v>
      </c>
      <c r="E49" s="8">
        <v>0.85</v>
      </c>
      <c r="F49" s="7">
        <f t="shared" ref="F49:F51" si="15">D49*E49</f>
        <v>850</v>
      </c>
      <c r="G49" s="31">
        <v>34</v>
      </c>
      <c r="H49" s="9">
        <f t="shared" ref="H49:H51" si="16">F49/(220*0.85)</f>
        <v>4.5454545454545459</v>
      </c>
      <c r="I49" s="9">
        <f t="shared" ref="I49:I51" si="17">H49*1.25</f>
        <v>5.6818181818181825</v>
      </c>
      <c r="J49" s="10">
        <f t="shared" si="12"/>
        <v>5.6818181818181825</v>
      </c>
      <c r="K49" s="11" t="s">
        <v>16</v>
      </c>
      <c r="L49" s="12">
        <v>6</v>
      </c>
      <c r="M49" s="13">
        <f t="shared" ref="M49:M51" si="18">(2*G49*H49*100)/(56*L49*220)</f>
        <v>0.41814246359700907</v>
      </c>
      <c r="N49" s="11" t="s">
        <v>17</v>
      </c>
      <c r="O49" s="11" t="s">
        <v>18</v>
      </c>
    </row>
    <row r="50" spans="1:16" x14ac:dyDescent="0.25">
      <c r="A50" s="29" t="s">
        <v>70</v>
      </c>
      <c r="B50" s="5" t="s">
        <v>53</v>
      </c>
      <c r="C50" s="6"/>
      <c r="D50" s="7">
        <v>1000</v>
      </c>
      <c r="E50" s="8">
        <v>1</v>
      </c>
      <c r="F50" s="7">
        <f t="shared" si="15"/>
        <v>1000</v>
      </c>
      <c r="G50" s="31"/>
      <c r="H50" s="9"/>
      <c r="I50" s="9"/>
      <c r="J50" s="10"/>
      <c r="K50" s="11" t="s">
        <v>16</v>
      </c>
      <c r="L50" s="12">
        <v>6</v>
      </c>
      <c r="M50" s="13"/>
      <c r="N50" s="11" t="s">
        <v>51</v>
      </c>
      <c r="O50" s="11" t="s">
        <v>51</v>
      </c>
    </row>
    <row r="51" spans="1:16" x14ac:dyDescent="0.25">
      <c r="A51" s="29" t="s">
        <v>71</v>
      </c>
      <c r="B51" s="5" t="s">
        <v>76</v>
      </c>
      <c r="C51" s="6">
        <v>1</v>
      </c>
      <c r="D51" s="7">
        <f>C51*500</f>
        <v>500</v>
      </c>
      <c r="E51" s="8">
        <v>0.85</v>
      </c>
      <c r="F51" s="7">
        <f t="shared" si="15"/>
        <v>425</v>
      </c>
      <c r="G51" s="31">
        <v>46</v>
      </c>
      <c r="H51" s="9">
        <f t="shared" si="16"/>
        <v>2.2727272727272729</v>
      </c>
      <c r="I51" s="9">
        <f t="shared" si="17"/>
        <v>2.8409090909090913</v>
      </c>
      <c r="J51" s="10">
        <f t="shared" si="12"/>
        <v>2.8409090909090913</v>
      </c>
      <c r="K51" s="11" t="s">
        <v>16</v>
      </c>
      <c r="L51" s="12">
        <v>6</v>
      </c>
      <c r="M51" s="13">
        <f t="shared" si="18"/>
        <v>0.28286107831562379</v>
      </c>
      <c r="N51" s="11" t="s">
        <v>17</v>
      </c>
      <c r="O51" s="11" t="s">
        <v>18</v>
      </c>
    </row>
    <row r="52" spans="1:16" x14ac:dyDescent="0.25">
      <c r="D52" s="21">
        <f>SUM(D43:D51)</f>
        <v>10000</v>
      </c>
      <c r="E52" s="18"/>
      <c r="F52" s="21">
        <f>SUM(F43:F51)*0.6</f>
        <v>5190</v>
      </c>
      <c r="G52" s="19">
        <v>32</v>
      </c>
      <c r="H52" s="16">
        <f>F52/(1.73*220*0.85)</f>
        <v>16.042780748663102</v>
      </c>
      <c r="I52" s="16">
        <f>H52*1.25</f>
        <v>20.053475935828878</v>
      </c>
      <c r="J52" s="17">
        <f>+I52</f>
        <v>20.053475935828878</v>
      </c>
      <c r="K52" s="20" t="s">
        <v>16</v>
      </c>
      <c r="L52" s="12">
        <v>25</v>
      </c>
      <c r="M52" s="13">
        <f>(1.73*G52*H52*100)/(56*L52*380)</f>
        <v>0.16694141771541152</v>
      </c>
      <c r="N52" s="20" t="s">
        <v>77</v>
      </c>
      <c r="O52" s="20"/>
      <c r="P52" s="22" t="s">
        <v>50</v>
      </c>
    </row>
    <row r="53" spans="1:16" ht="17.25" customHeight="1" x14ac:dyDescent="0.25">
      <c r="A53" s="2"/>
    </row>
    <row r="55" spans="1:16" ht="15.75" x14ac:dyDescent="0.25">
      <c r="A55" s="28" t="s">
        <v>108</v>
      </c>
    </row>
    <row r="56" spans="1:16" ht="38.25" x14ac:dyDescent="0.25">
      <c r="A56" s="27" t="s">
        <v>0</v>
      </c>
      <c r="B56" s="27" t="s">
        <v>1</v>
      </c>
      <c r="C56" s="27" t="s">
        <v>2</v>
      </c>
      <c r="D56" s="27" t="s">
        <v>3</v>
      </c>
      <c r="E56" s="27" t="s">
        <v>4</v>
      </c>
      <c r="F56" s="27" t="s">
        <v>5</v>
      </c>
      <c r="G56" s="27" t="s">
        <v>6</v>
      </c>
      <c r="H56" s="27" t="s">
        <v>7</v>
      </c>
      <c r="I56" s="27" t="s">
        <v>8</v>
      </c>
      <c r="J56" s="27" t="s">
        <v>9</v>
      </c>
      <c r="K56" s="27" t="s">
        <v>10</v>
      </c>
      <c r="L56" s="27" t="s">
        <v>11</v>
      </c>
      <c r="M56" s="27" t="s">
        <v>12</v>
      </c>
      <c r="N56" s="27" t="s">
        <v>13</v>
      </c>
      <c r="O56" s="27" t="s">
        <v>14</v>
      </c>
    </row>
    <row r="57" spans="1:16" x14ac:dyDescent="0.25">
      <c r="A57" s="29" t="s">
        <v>15</v>
      </c>
      <c r="B57" s="5" t="s">
        <v>53</v>
      </c>
      <c r="C57" s="6" t="s">
        <v>61</v>
      </c>
      <c r="D57" s="7">
        <v>1000</v>
      </c>
      <c r="E57" s="8">
        <v>1</v>
      </c>
      <c r="F57" s="7">
        <f>D57*E57</f>
        <v>1000</v>
      </c>
      <c r="G57" s="31"/>
      <c r="H57" s="9"/>
      <c r="I57" s="9"/>
      <c r="J57" s="10"/>
      <c r="K57" s="11" t="s">
        <v>16</v>
      </c>
      <c r="L57" s="12">
        <v>4</v>
      </c>
      <c r="M57" s="13"/>
      <c r="N57" s="11" t="s">
        <v>17</v>
      </c>
      <c r="O57" s="11" t="s">
        <v>18</v>
      </c>
    </row>
    <row r="58" spans="1:16" x14ac:dyDescent="0.25">
      <c r="A58" s="29" t="s">
        <v>19</v>
      </c>
      <c r="B58" s="5" t="s">
        <v>53</v>
      </c>
      <c r="C58" s="6" t="s">
        <v>61</v>
      </c>
      <c r="D58" s="7">
        <v>1000</v>
      </c>
      <c r="E58" s="8">
        <v>1</v>
      </c>
      <c r="F58" s="7">
        <f>D58*E58</f>
        <v>1000</v>
      </c>
      <c r="G58" s="31"/>
      <c r="H58" s="9"/>
      <c r="I58" s="9"/>
      <c r="J58" s="10"/>
      <c r="K58" s="11" t="s">
        <v>16</v>
      </c>
      <c r="L58" s="12">
        <v>4</v>
      </c>
      <c r="M58" s="13"/>
      <c r="N58" s="11" t="s">
        <v>17</v>
      </c>
      <c r="O58" s="11" t="s">
        <v>18</v>
      </c>
    </row>
    <row r="59" spans="1:16" ht="25.5" x14ac:dyDescent="0.25">
      <c r="A59" s="29" t="s">
        <v>20</v>
      </c>
      <c r="B59" s="36" t="s">
        <v>105</v>
      </c>
      <c r="C59" s="6">
        <v>2</v>
      </c>
      <c r="D59" s="7">
        <f>C59*500</f>
        <v>1000</v>
      </c>
      <c r="E59" s="8">
        <v>0.85</v>
      </c>
      <c r="F59" s="7">
        <f t="shared" ref="F58:F61" si="19">D59*E59</f>
        <v>850</v>
      </c>
      <c r="G59" s="31">
        <v>30</v>
      </c>
      <c r="H59" s="9">
        <f t="shared" ref="H58:H65" si="20">F59/(220*0.85)</f>
        <v>4.5454545454545459</v>
      </c>
      <c r="I59" s="9">
        <f t="shared" ref="I58:I65" si="21">H59*1.25</f>
        <v>5.6818181818181825</v>
      </c>
      <c r="J59" s="10">
        <f t="shared" ref="J58:J65" si="22">+I59</f>
        <v>5.6818181818181825</v>
      </c>
      <c r="K59" s="11" t="s">
        <v>16</v>
      </c>
      <c r="L59" s="12">
        <v>4</v>
      </c>
      <c r="M59" s="13">
        <f t="shared" ref="M58:M65" si="23">(2*G59*H59*100)/(56*L59*220)</f>
        <v>0.55342384887839435</v>
      </c>
      <c r="N59" s="11" t="s">
        <v>17</v>
      </c>
      <c r="O59" s="11" t="s">
        <v>18</v>
      </c>
    </row>
    <row r="60" spans="1:16" ht="25.5" x14ac:dyDescent="0.25">
      <c r="A60" s="29" t="s">
        <v>21</v>
      </c>
      <c r="B60" s="36" t="s">
        <v>106</v>
      </c>
      <c r="C60" s="6">
        <v>4</v>
      </c>
      <c r="D60" s="7">
        <f>C60*500</f>
        <v>2000</v>
      </c>
      <c r="E60" s="8">
        <v>0.85</v>
      </c>
      <c r="F60" s="7">
        <f t="shared" si="19"/>
        <v>1700</v>
      </c>
      <c r="G60" s="31">
        <v>48</v>
      </c>
      <c r="H60" s="9">
        <f t="shared" si="20"/>
        <v>9.0909090909090917</v>
      </c>
      <c r="I60" s="9">
        <f t="shared" si="21"/>
        <v>11.363636363636365</v>
      </c>
      <c r="J60" s="10">
        <f t="shared" si="22"/>
        <v>11.363636363636365</v>
      </c>
      <c r="K60" s="11" t="s">
        <v>16</v>
      </c>
      <c r="L60" s="12">
        <v>4</v>
      </c>
      <c r="M60" s="13">
        <f t="shared" si="23"/>
        <v>1.7709563164108619</v>
      </c>
      <c r="N60" s="11" t="s">
        <v>17</v>
      </c>
      <c r="O60" s="11" t="s">
        <v>18</v>
      </c>
    </row>
    <row r="61" spans="1:16" x14ac:dyDescent="0.25">
      <c r="A61" s="29" t="s">
        <v>22</v>
      </c>
      <c r="B61" s="5" t="s">
        <v>107</v>
      </c>
      <c r="C61" s="6">
        <v>1</v>
      </c>
      <c r="D61" s="7">
        <f>C61*500</f>
        <v>500</v>
      </c>
      <c r="E61" s="8">
        <v>0.85</v>
      </c>
      <c r="F61" s="7">
        <f t="shared" si="19"/>
        <v>425</v>
      </c>
      <c r="G61" s="31">
        <v>30</v>
      </c>
      <c r="H61" s="9">
        <f t="shared" si="20"/>
        <v>2.2727272727272729</v>
      </c>
      <c r="I61" s="9">
        <f t="shared" si="21"/>
        <v>2.8409090909090913</v>
      </c>
      <c r="J61" s="10">
        <f t="shared" si="22"/>
        <v>2.8409090909090913</v>
      </c>
      <c r="K61" s="11" t="s">
        <v>16</v>
      </c>
      <c r="L61" s="12">
        <v>4</v>
      </c>
      <c r="M61" s="13">
        <f t="shared" si="23"/>
        <v>0.27671192443919718</v>
      </c>
      <c r="N61" s="11" t="s">
        <v>17</v>
      </c>
      <c r="O61" s="11" t="s">
        <v>18</v>
      </c>
    </row>
    <row r="62" spans="1:16" x14ac:dyDescent="0.25">
      <c r="A62" s="29" t="s">
        <v>24</v>
      </c>
      <c r="B62" s="5" t="s">
        <v>53</v>
      </c>
      <c r="C62" s="6"/>
      <c r="D62" s="7">
        <v>1000</v>
      </c>
      <c r="E62" s="8">
        <v>1</v>
      </c>
      <c r="F62" s="7">
        <v>1000</v>
      </c>
      <c r="G62" s="31"/>
      <c r="H62" s="9"/>
      <c r="I62" s="9"/>
      <c r="J62" s="10"/>
      <c r="K62" s="11" t="s">
        <v>16</v>
      </c>
      <c r="L62" s="12">
        <v>4</v>
      </c>
      <c r="M62" s="13"/>
      <c r="N62" s="11" t="s">
        <v>17</v>
      </c>
      <c r="O62" s="11" t="s">
        <v>18</v>
      </c>
    </row>
    <row r="63" spans="1:16" x14ac:dyDescent="0.25">
      <c r="A63" s="29" t="s">
        <v>25</v>
      </c>
      <c r="B63" s="5" t="s">
        <v>23</v>
      </c>
      <c r="C63" s="6"/>
      <c r="D63" s="7">
        <v>1000</v>
      </c>
      <c r="E63" s="8">
        <v>1</v>
      </c>
      <c r="F63" s="7">
        <f t="shared" ref="F63:F65" si="24">D63*E63</f>
        <v>1000</v>
      </c>
      <c r="G63" s="31"/>
      <c r="H63" s="9"/>
      <c r="I63" s="9"/>
      <c r="J63" s="10"/>
      <c r="K63" s="11"/>
      <c r="L63" s="12"/>
      <c r="M63" s="13"/>
      <c r="N63" s="11" t="s">
        <v>17</v>
      </c>
      <c r="O63" s="11" t="s">
        <v>18</v>
      </c>
    </row>
    <row r="64" spans="1:16" x14ac:dyDescent="0.25">
      <c r="A64" s="29" t="s">
        <v>26</v>
      </c>
      <c r="B64" s="5" t="s">
        <v>53</v>
      </c>
      <c r="C64" s="6"/>
      <c r="D64" s="7">
        <v>1000</v>
      </c>
      <c r="E64" s="8">
        <v>1</v>
      </c>
      <c r="F64" s="7">
        <v>1000</v>
      </c>
      <c r="G64" s="31"/>
      <c r="H64" s="9"/>
      <c r="I64" s="9"/>
      <c r="J64" s="10"/>
      <c r="K64" s="11" t="s">
        <v>16</v>
      </c>
      <c r="L64" s="12">
        <v>4</v>
      </c>
      <c r="M64" s="13"/>
      <c r="N64" s="11" t="s">
        <v>17</v>
      </c>
      <c r="O64" s="11" t="s">
        <v>18</v>
      </c>
    </row>
    <row r="65" spans="1:16" x14ac:dyDescent="0.25">
      <c r="A65" s="29" t="s">
        <v>27</v>
      </c>
      <c r="B65" s="5" t="s">
        <v>53</v>
      </c>
      <c r="C65" s="6"/>
      <c r="D65" s="7">
        <v>1000</v>
      </c>
      <c r="E65" s="8">
        <v>1</v>
      </c>
      <c r="F65" s="7">
        <v>1000</v>
      </c>
      <c r="G65" s="31"/>
      <c r="H65" s="9"/>
      <c r="I65" s="9"/>
      <c r="J65" s="10"/>
      <c r="K65" s="11" t="s">
        <v>16</v>
      </c>
      <c r="L65" s="12">
        <v>4</v>
      </c>
      <c r="M65" s="13"/>
      <c r="N65" s="11" t="s">
        <v>17</v>
      </c>
      <c r="O65" s="11" t="s">
        <v>18</v>
      </c>
    </row>
    <row r="66" spans="1:16" x14ac:dyDescent="0.25">
      <c r="D66" s="21">
        <f>SUM(D57:D65)</f>
        <v>9500</v>
      </c>
      <c r="E66" s="18"/>
      <c r="F66" s="21">
        <f>SUM(F57:F65)*0.6</f>
        <v>5385</v>
      </c>
      <c r="G66" s="19">
        <v>32</v>
      </c>
      <c r="H66" s="16">
        <f>F66/(1.73*380*0.85)</f>
        <v>9.6368940031138717</v>
      </c>
      <c r="I66" s="16">
        <f>H66*1.25</f>
        <v>12.04611750389234</v>
      </c>
      <c r="J66" s="17">
        <f>+I66</f>
        <v>12.04611750389234</v>
      </c>
      <c r="K66" s="20" t="s">
        <v>39</v>
      </c>
      <c r="L66" s="12">
        <v>10</v>
      </c>
      <c r="M66" s="13">
        <f>(1.73*G66*H66*100)/(56*L66*380)</f>
        <v>0.25070415978025562</v>
      </c>
      <c r="N66" s="20" t="s">
        <v>62</v>
      </c>
      <c r="O66" s="20"/>
      <c r="P66" s="22" t="s">
        <v>50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ADMARK</dc:creator>
  <cp:lastModifiedBy>usuario</cp:lastModifiedBy>
  <dcterms:created xsi:type="dcterms:W3CDTF">2020-12-18T14:39:58Z</dcterms:created>
  <dcterms:modified xsi:type="dcterms:W3CDTF">2022-07-23T00:03:12Z</dcterms:modified>
</cp:coreProperties>
</file>