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AG Mempel\01-Forschungsbetrieb\02-Projekte_laufend\01 Prosibor\Raphael - Prosibor\"/>
    </mc:Choice>
  </mc:AlternateContent>
  <bookViews>
    <workbookView xWindow="0" yWindow="0" windowWidth="25605" windowHeight="16005" activeTab="3"/>
  </bookViews>
  <sheets>
    <sheet name="Basis" sheetId="1" r:id="rId1"/>
    <sheet name="Themen" sheetId="5" r:id="rId2"/>
    <sheet name="Dropdown" sheetId="2" r:id="rId3"/>
    <sheet name="Betriebsdaten" sheetId="6" r:id="rId4"/>
    <sheet name="Ertrag" sheetId="7" r:id="rId5"/>
    <sheet name="Kalkulation" sheetId="3" r:id="rId6"/>
    <sheet name="Aufbereitung" sheetId="9" r:id="rId7"/>
    <sheet name="tbd" sheetId="10" r:id="rId8"/>
    <sheet name="Äquivalente" sheetId="4" r:id="rId9"/>
    <sheet name="Andere Berechnungen" sheetId="8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8" i="3" l="1"/>
  <c r="H126" i="3"/>
  <c r="E250" i="3" l="1"/>
  <c r="E313" i="3" l="1"/>
  <c r="G313" i="3" s="1"/>
  <c r="E314" i="3"/>
  <c r="G314" i="3" s="1"/>
  <c r="E315" i="3"/>
  <c r="G315" i="3" s="1"/>
  <c r="E312" i="3"/>
  <c r="G312" i="3" s="1"/>
  <c r="E299" i="3"/>
  <c r="E298" i="3"/>
  <c r="E297" i="3"/>
  <c r="E296" i="3"/>
  <c r="B137" i="4"/>
  <c r="F299" i="3"/>
  <c r="F298" i="3"/>
  <c r="F297" i="3"/>
  <c r="F296" i="3"/>
  <c r="G292" i="3"/>
  <c r="G291" i="3"/>
  <c r="G290" i="3"/>
  <c r="G289" i="3"/>
  <c r="G288" i="3"/>
  <c r="G287" i="3"/>
  <c r="F292" i="3"/>
  <c r="F291" i="3"/>
  <c r="F290" i="3"/>
  <c r="F289" i="3"/>
  <c r="F288" i="3"/>
  <c r="F287" i="3"/>
  <c r="E292" i="3"/>
  <c r="E288" i="3"/>
  <c r="E289" i="3"/>
  <c r="E290" i="3"/>
  <c r="E291" i="3"/>
  <c r="E287" i="3"/>
  <c r="C80" i="8"/>
  <c r="C81" i="8" s="1"/>
  <c r="B165" i="4" s="1"/>
  <c r="E283" i="3" s="1"/>
  <c r="C79" i="8"/>
  <c r="F282" i="3"/>
  <c r="F283" i="3"/>
  <c r="F281" i="3"/>
  <c r="E282" i="3"/>
  <c r="E281" i="3"/>
  <c r="J104" i="3"/>
  <c r="K104" i="3" s="1"/>
  <c r="J105" i="3"/>
  <c r="K105" i="3" s="1"/>
  <c r="C82" i="6"/>
  <c r="E12" i="3" s="1"/>
  <c r="G105" i="3"/>
  <c r="G106" i="3"/>
  <c r="G104" i="3"/>
  <c r="E105" i="3"/>
  <c r="E106" i="3"/>
  <c r="E104" i="3"/>
  <c r="C77" i="8"/>
  <c r="C76" i="8"/>
  <c r="C75" i="8"/>
  <c r="E276" i="3"/>
  <c r="E277" i="3"/>
  <c r="E275" i="3"/>
  <c r="G271" i="3"/>
  <c r="G270" i="3"/>
  <c r="G269" i="3"/>
  <c r="E270" i="3"/>
  <c r="E271" i="3"/>
  <c r="E269" i="3"/>
  <c r="G265" i="3"/>
  <c r="G264" i="3"/>
  <c r="G263" i="3"/>
  <c r="E264" i="3"/>
  <c r="E265" i="3"/>
  <c r="E263" i="3"/>
  <c r="G259" i="3"/>
  <c r="G258" i="3"/>
  <c r="G257" i="3"/>
  <c r="G256" i="3"/>
  <c r="G255" i="3"/>
  <c r="G254" i="3"/>
  <c r="C65" i="8"/>
  <c r="C64" i="8"/>
  <c r="C63" i="8"/>
  <c r="C62" i="8"/>
  <c r="C61" i="8"/>
  <c r="C60" i="8"/>
  <c r="G298" i="3" l="1"/>
  <c r="G296" i="3"/>
  <c r="G297" i="3"/>
  <c r="G299" i="3"/>
  <c r="H290" i="3"/>
  <c r="H292" i="3"/>
  <c r="H288" i="3"/>
  <c r="H291" i="3"/>
  <c r="H287" i="3"/>
  <c r="H289" i="3"/>
  <c r="H281" i="3"/>
  <c r="I106" i="3"/>
  <c r="J106" i="3" s="1"/>
  <c r="H282" i="3"/>
  <c r="H283" i="3"/>
  <c r="I105" i="3"/>
  <c r="I104" i="3"/>
  <c r="E255" i="3"/>
  <c r="E256" i="3"/>
  <c r="E257" i="3"/>
  <c r="E258" i="3"/>
  <c r="E259" i="3"/>
  <c r="E254" i="3"/>
  <c r="C56" i="8"/>
  <c r="C55" i="8"/>
  <c r="C54" i="8"/>
  <c r="C53" i="8"/>
  <c r="E246" i="3"/>
  <c r="E245" i="3"/>
  <c r="E244" i="3"/>
  <c r="E243" i="3"/>
  <c r="E242" i="3"/>
  <c r="I238" i="3"/>
  <c r="E235" i="3"/>
  <c r="E236" i="3"/>
  <c r="E237" i="3"/>
  <c r="E238" i="3"/>
  <c r="E234" i="3"/>
  <c r="G235" i="3"/>
  <c r="E49" i="8"/>
  <c r="E31" i="3"/>
  <c r="E37" i="3" s="1"/>
  <c r="E29" i="3"/>
  <c r="E35" i="3" s="1"/>
  <c r="E22" i="3"/>
  <c r="E28" i="3" s="1"/>
  <c r="E34" i="3" s="1"/>
  <c r="E21" i="3"/>
  <c r="C43" i="8"/>
  <c r="I237" i="3"/>
  <c r="I236" i="3"/>
  <c r="I235" i="3"/>
  <c r="I234" i="3"/>
  <c r="E230" i="3"/>
  <c r="E228" i="3"/>
  <c r="G295" i="3" l="1"/>
  <c r="H286" i="3"/>
  <c r="K106" i="3"/>
  <c r="K103" i="3" s="1"/>
  <c r="C26" i="9" s="1"/>
  <c r="H280" i="3"/>
  <c r="E30" i="3"/>
  <c r="E23" i="3"/>
  <c r="E24" i="3"/>
  <c r="C129" i="6"/>
  <c r="C118" i="6"/>
  <c r="G51" i="3"/>
  <c r="C36" i="8"/>
  <c r="C37" i="8" s="1"/>
  <c r="F215" i="3"/>
  <c r="F216" i="3"/>
  <c r="F217" i="3"/>
  <c r="F218" i="3"/>
  <c r="F219" i="3"/>
  <c r="F220" i="3"/>
  <c r="F221" i="3"/>
  <c r="E215" i="3"/>
  <c r="E216" i="3"/>
  <c r="E217" i="3"/>
  <c r="E218" i="3"/>
  <c r="E219" i="3"/>
  <c r="E220" i="3"/>
  <c r="E221" i="3"/>
  <c r="E214" i="3"/>
  <c r="F210" i="3"/>
  <c r="F209" i="3"/>
  <c r="E210" i="3"/>
  <c r="E209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178" i="3"/>
  <c r="F166" i="3"/>
  <c r="F167" i="3"/>
  <c r="F168" i="3"/>
  <c r="F169" i="3"/>
  <c r="F170" i="3"/>
  <c r="F171" i="3"/>
  <c r="F172" i="3"/>
  <c r="F173" i="3"/>
  <c r="F174" i="3"/>
  <c r="F175" i="3"/>
  <c r="F165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178" i="3"/>
  <c r="E166" i="3"/>
  <c r="E167" i="3"/>
  <c r="E168" i="3"/>
  <c r="E169" i="3"/>
  <c r="E170" i="3"/>
  <c r="E171" i="3"/>
  <c r="E172" i="3"/>
  <c r="E173" i="3"/>
  <c r="E174" i="3"/>
  <c r="E175" i="3"/>
  <c r="E165" i="3"/>
  <c r="F159" i="3"/>
  <c r="E173" i="6"/>
  <c r="F160" i="3" s="1"/>
  <c r="E170" i="6"/>
  <c r="E167" i="6"/>
  <c r="F158" i="3" s="1"/>
  <c r="E159" i="3"/>
  <c r="E160" i="3"/>
  <c r="E158" i="3"/>
  <c r="F228" i="3" l="1"/>
  <c r="F276" i="3"/>
  <c r="H276" i="3" s="1"/>
  <c r="I276" i="3" s="1"/>
  <c r="F275" i="3"/>
  <c r="H275" i="3" s="1"/>
  <c r="I275" i="3" s="1"/>
  <c r="E32" i="3"/>
  <c r="E36" i="3"/>
  <c r="I169" i="3"/>
  <c r="I200" i="3"/>
  <c r="I192" i="3"/>
  <c r="I184" i="3"/>
  <c r="I165" i="3"/>
  <c r="I168" i="3"/>
  <c r="I199" i="3"/>
  <c r="I191" i="3"/>
  <c r="I175" i="3"/>
  <c r="I167" i="3"/>
  <c r="I203" i="3"/>
  <c r="I219" i="3"/>
  <c r="I181" i="3"/>
  <c r="I218" i="3"/>
  <c r="I174" i="3"/>
  <c r="I166" i="3"/>
  <c r="I195" i="3"/>
  <c r="I202" i="3"/>
  <c r="I194" i="3"/>
  <c r="I186" i="3"/>
  <c r="I217" i="3"/>
  <c r="I170" i="3"/>
  <c r="I216" i="3"/>
  <c r="F157" i="3"/>
  <c r="G160" i="3" s="1"/>
  <c r="I215" i="3"/>
  <c r="I160" i="3"/>
  <c r="J160" i="3" s="1"/>
  <c r="I197" i="3"/>
  <c r="I189" i="3"/>
  <c r="I159" i="3"/>
  <c r="J159" i="3" s="1"/>
  <c r="I178" i="3"/>
  <c r="I196" i="3"/>
  <c r="I220" i="3"/>
  <c r="I221" i="3"/>
  <c r="I201" i="3"/>
  <c r="I193" i="3"/>
  <c r="I182" i="3"/>
  <c r="I210" i="3"/>
  <c r="I209" i="3"/>
  <c r="F208" i="3"/>
  <c r="G210" i="3" s="1"/>
  <c r="F177" i="3"/>
  <c r="G200" i="3" s="1"/>
  <c r="I190" i="3"/>
  <c r="I173" i="3"/>
  <c r="I172" i="3"/>
  <c r="I198" i="3"/>
  <c r="I171" i="3"/>
  <c r="I183" i="3"/>
  <c r="I180" i="3"/>
  <c r="I187" i="3"/>
  <c r="I179" i="3"/>
  <c r="I185" i="3"/>
  <c r="I188" i="3"/>
  <c r="F164" i="3"/>
  <c r="G165" i="3" s="1"/>
  <c r="B33" i="4"/>
  <c r="E148" i="3" s="1"/>
  <c r="C136" i="6"/>
  <c r="C135" i="6" s="1"/>
  <c r="G250" i="3" l="1"/>
  <c r="H250" i="3" s="1"/>
  <c r="H249" i="3" s="1"/>
  <c r="E38" i="3"/>
  <c r="E39" i="3" s="1"/>
  <c r="E41" i="3"/>
  <c r="G230" i="3"/>
  <c r="H230" i="3" s="1"/>
  <c r="J230" i="3" s="1"/>
  <c r="F245" i="3"/>
  <c r="F244" i="3"/>
  <c r="F246" i="3"/>
  <c r="F242" i="3"/>
  <c r="G242" i="3" s="1"/>
  <c r="H242" i="3" s="1"/>
  <c r="F243" i="3"/>
  <c r="F230" i="3"/>
  <c r="F227" i="3" s="1"/>
  <c r="F237" i="3" s="1"/>
  <c r="J237" i="3" s="1"/>
  <c r="K237" i="3" s="1"/>
  <c r="L237" i="3" s="1"/>
  <c r="G158" i="3"/>
  <c r="I157" i="3"/>
  <c r="G159" i="3"/>
  <c r="J158" i="3"/>
  <c r="J157" i="3" s="1"/>
  <c r="C81" i="9" s="1"/>
  <c r="I208" i="3"/>
  <c r="I164" i="3"/>
  <c r="H173" i="3" s="1"/>
  <c r="G198" i="3"/>
  <c r="G203" i="3"/>
  <c r="G189" i="3"/>
  <c r="G192" i="3"/>
  <c r="G197" i="3"/>
  <c r="G179" i="3"/>
  <c r="I177" i="3"/>
  <c r="H202" i="3" s="1"/>
  <c r="G194" i="3"/>
  <c r="G195" i="3"/>
  <c r="G196" i="3"/>
  <c r="G190" i="3"/>
  <c r="G199" i="3"/>
  <c r="G188" i="3"/>
  <c r="G178" i="3"/>
  <c r="G201" i="3"/>
  <c r="G193" i="3"/>
  <c r="G181" i="3"/>
  <c r="G202" i="3"/>
  <c r="G191" i="3"/>
  <c r="G209" i="3"/>
  <c r="G208" i="3" s="1"/>
  <c r="G187" i="3"/>
  <c r="G185" i="3"/>
  <c r="G186" i="3"/>
  <c r="G184" i="3"/>
  <c r="G180" i="3"/>
  <c r="G183" i="3"/>
  <c r="G182" i="3"/>
  <c r="G174" i="3"/>
  <c r="G166" i="3"/>
  <c r="G172" i="3"/>
  <c r="G171" i="3"/>
  <c r="G169" i="3"/>
  <c r="G168" i="3"/>
  <c r="G175" i="3"/>
  <c r="G167" i="3"/>
  <c r="G173" i="3"/>
  <c r="G170" i="3"/>
  <c r="E141" i="3"/>
  <c r="E142" i="3"/>
  <c r="E143" i="3"/>
  <c r="E144" i="3"/>
  <c r="E145" i="3"/>
  <c r="E146" i="3"/>
  <c r="E147" i="3"/>
  <c r="E139" i="3"/>
  <c r="H210" i="3" l="1"/>
  <c r="C83" i="9"/>
  <c r="E40" i="3"/>
  <c r="F264" i="3" s="1"/>
  <c r="H264" i="3" s="1"/>
  <c r="I264" i="3" s="1"/>
  <c r="F256" i="3"/>
  <c r="H256" i="3" s="1"/>
  <c r="I256" i="3" s="1"/>
  <c r="F259" i="3"/>
  <c r="H259" i="3" s="1"/>
  <c r="I259" i="3" s="1"/>
  <c r="F270" i="3"/>
  <c r="H270" i="3" s="1"/>
  <c r="I270" i="3" s="1"/>
  <c r="F269" i="3"/>
  <c r="H269" i="3" s="1"/>
  <c r="I269" i="3" s="1"/>
  <c r="F271" i="3"/>
  <c r="H271" i="3" s="1"/>
  <c r="I271" i="3" s="1"/>
  <c r="F258" i="3"/>
  <c r="H258" i="3" s="1"/>
  <c r="I258" i="3" s="1"/>
  <c r="F257" i="3"/>
  <c r="H257" i="3" s="1"/>
  <c r="I257" i="3" s="1"/>
  <c r="F254" i="3"/>
  <c r="H254" i="3" s="1"/>
  <c r="I254" i="3" s="1"/>
  <c r="F255" i="3"/>
  <c r="H255" i="3" s="1"/>
  <c r="I255" i="3" s="1"/>
  <c r="F235" i="3"/>
  <c r="H235" i="3" s="1"/>
  <c r="F238" i="3"/>
  <c r="J238" i="3" s="1"/>
  <c r="K238" i="3" s="1"/>
  <c r="L238" i="3" s="1"/>
  <c r="F236" i="3"/>
  <c r="J236" i="3" s="1"/>
  <c r="K236" i="3" s="1"/>
  <c r="L236" i="3" s="1"/>
  <c r="F234" i="3"/>
  <c r="J234" i="3" s="1"/>
  <c r="K234" i="3" s="1"/>
  <c r="L234" i="3" s="1"/>
  <c r="G245" i="3"/>
  <c r="H245" i="3" s="1"/>
  <c r="G246" i="3"/>
  <c r="H246" i="3" s="1"/>
  <c r="G244" i="3"/>
  <c r="H244" i="3" s="1"/>
  <c r="G157" i="3"/>
  <c r="H166" i="3"/>
  <c r="H171" i="3"/>
  <c r="H170" i="3"/>
  <c r="H196" i="3"/>
  <c r="H198" i="3"/>
  <c r="H169" i="3"/>
  <c r="H192" i="3"/>
  <c r="H178" i="3"/>
  <c r="H203" i="3"/>
  <c r="H174" i="3"/>
  <c r="H197" i="3"/>
  <c r="H181" i="3"/>
  <c r="H182" i="3"/>
  <c r="H194" i="3"/>
  <c r="H165" i="3"/>
  <c r="H191" i="3"/>
  <c r="I162" i="3"/>
  <c r="C82" i="9" s="1"/>
  <c r="H184" i="3"/>
  <c r="H201" i="3"/>
  <c r="H180" i="3"/>
  <c r="H193" i="3"/>
  <c r="H189" i="3"/>
  <c r="H186" i="3"/>
  <c r="H188" i="3"/>
  <c r="H179" i="3"/>
  <c r="H187" i="3"/>
  <c r="H200" i="3"/>
  <c r="H175" i="3"/>
  <c r="H185" i="3"/>
  <c r="H195" i="3"/>
  <c r="H199" i="3"/>
  <c r="H183" i="3"/>
  <c r="H190" i="3"/>
  <c r="H168" i="3"/>
  <c r="H172" i="3"/>
  <c r="H209" i="3"/>
  <c r="H167" i="3"/>
  <c r="G177" i="3"/>
  <c r="B52" i="4"/>
  <c r="E140" i="3" s="1"/>
  <c r="G164" i="3"/>
  <c r="H160" i="3"/>
  <c r="H159" i="3"/>
  <c r="H158" i="3"/>
  <c r="K134" i="3"/>
  <c r="E135" i="3"/>
  <c r="K135" i="3" s="1"/>
  <c r="E133" i="3"/>
  <c r="K133" i="3" s="1"/>
  <c r="F55" i="9" s="1"/>
  <c r="E127" i="3"/>
  <c r="K127" i="3" s="1"/>
  <c r="F49" i="9" s="1"/>
  <c r="E132" i="3"/>
  <c r="K132" i="3" s="1"/>
  <c r="F54" i="9" s="1"/>
  <c r="E131" i="3"/>
  <c r="K131" i="3" s="1"/>
  <c r="F53" i="9" s="1"/>
  <c r="E130" i="3"/>
  <c r="K130" i="3" s="1"/>
  <c r="F52" i="9" s="1"/>
  <c r="E129" i="3"/>
  <c r="K129" i="3" s="1"/>
  <c r="F51" i="9" s="1"/>
  <c r="E128" i="3"/>
  <c r="K128" i="3" s="1"/>
  <c r="F50" i="9" s="1"/>
  <c r="E126" i="3"/>
  <c r="K126" i="3" s="1"/>
  <c r="E116" i="3"/>
  <c r="E115" i="3"/>
  <c r="F114" i="3"/>
  <c r="E112" i="3"/>
  <c r="E111" i="3"/>
  <c r="M146" i="3" l="1"/>
  <c r="F71" i="9" s="1"/>
  <c r="F57" i="9"/>
  <c r="M147" i="3"/>
  <c r="F72" i="9" s="1"/>
  <c r="F56" i="9"/>
  <c r="F265" i="3"/>
  <c r="H265" i="3" s="1"/>
  <c r="I265" i="3" s="1"/>
  <c r="F48" i="9"/>
  <c r="H208" i="3"/>
  <c r="F263" i="3"/>
  <c r="H263" i="3" s="1"/>
  <c r="I263" i="3" s="1"/>
  <c r="J235" i="3"/>
  <c r="K235" i="3" s="1"/>
  <c r="I268" i="3"/>
  <c r="I253" i="3"/>
  <c r="G243" i="3"/>
  <c r="H243" i="3" s="1"/>
  <c r="H241" i="3" s="1"/>
  <c r="H177" i="3"/>
  <c r="H164" i="3"/>
  <c r="H157" i="3"/>
  <c r="H129" i="3"/>
  <c r="H134" i="3"/>
  <c r="H130" i="3"/>
  <c r="H127" i="3"/>
  <c r="H128" i="3"/>
  <c r="H131" i="3"/>
  <c r="H132" i="3"/>
  <c r="H133" i="3"/>
  <c r="H135" i="3"/>
  <c r="K125" i="3"/>
  <c r="C41" i="9" s="1"/>
  <c r="G52" i="9" s="1"/>
  <c r="E74" i="3"/>
  <c r="E55" i="3"/>
  <c r="E92" i="3"/>
  <c r="E89" i="3"/>
  <c r="E98" i="3"/>
  <c r="E97" i="3"/>
  <c r="B20" i="4"/>
  <c r="E100" i="3" s="1"/>
  <c r="E76" i="3"/>
  <c r="E77" i="3"/>
  <c r="E78" i="3"/>
  <c r="E79" i="3"/>
  <c r="E80" i="3"/>
  <c r="E81" i="3"/>
  <c r="E82" i="3"/>
  <c r="E83" i="3"/>
  <c r="E84" i="3"/>
  <c r="E85" i="3"/>
  <c r="E86" i="3"/>
  <c r="E75" i="3"/>
  <c r="E71" i="3"/>
  <c r="E72" i="3"/>
  <c r="E70" i="3"/>
  <c r="G70" i="3"/>
  <c r="E65" i="3"/>
  <c r="E66" i="3"/>
  <c r="E67" i="3"/>
  <c r="E62" i="3"/>
  <c r="E63" i="3"/>
  <c r="E64" i="3"/>
  <c r="E61" i="3"/>
  <c r="E60" i="3"/>
  <c r="E59" i="3"/>
  <c r="E58" i="3"/>
  <c r="E57" i="3"/>
  <c r="E56" i="3"/>
  <c r="E53" i="3"/>
  <c r="E51" i="3"/>
  <c r="E90" i="3"/>
  <c r="E52" i="3"/>
  <c r="E93" i="3"/>
  <c r="E119" i="3"/>
  <c r="E118" i="3"/>
  <c r="E114" i="3"/>
  <c r="C32" i="6"/>
  <c r="C39" i="6"/>
  <c r="C56" i="6"/>
  <c r="C16" i="6"/>
  <c r="C62" i="6" s="1"/>
  <c r="N119" i="3" s="1"/>
  <c r="O119" i="3" s="1"/>
  <c r="G119" i="3"/>
  <c r="G118" i="3"/>
  <c r="E32" i="4"/>
  <c r="B32" i="4" s="1"/>
  <c r="E305" i="3" s="1"/>
  <c r="H85" i="6"/>
  <c r="H84" i="6"/>
  <c r="C83" i="6" s="1"/>
  <c r="C219" i="6" s="1"/>
  <c r="F214" i="3" s="1"/>
  <c r="G50" i="9" l="1"/>
  <c r="G51" i="9"/>
  <c r="G57" i="9"/>
  <c r="G48" i="9"/>
  <c r="F58" i="9"/>
  <c r="G55" i="9"/>
  <c r="G54" i="9"/>
  <c r="K233" i="3"/>
  <c r="L235" i="3"/>
  <c r="L233" i="3" s="1"/>
  <c r="G49" i="9"/>
  <c r="I262" i="3"/>
  <c r="G56" i="9"/>
  <c r="G53" i="9"/>
  <c r="J129" i="3"/>
  <c r="J233" i="3"/>
  <c r="G241" i="3"/>
  <c r="E99" i="3"/>
  <c r="N70" i="3"/>
  <c r="O70" i="3" s="1"/>
  <c r="C49" i="6"/>
  <c r="N114" i="3" s="1"/>
  <c r="O114" i="3" s="1"/>
  <c r="O113" i="3" s="1"/>
  <c r="C28" i="9" s="1"/>
  <c r="C238" i="6"/>
  <c r="K230" i="3" s="1"/>
  <c r="L230" i="3" s="1"/>
  <c r="C24" i="6"/>
  <c r="F213" i="3"/>
  <c r="G214" i="3" s="1"/>
  <c r="I214" i="3"/>
  <c r="I213" i="3" s="1"/>
  <c r="C59" i="6"/>
  <c r="N118" i="3" s="1"/>
  <c r="O118" i="3" s="1"/>
  <c r="O117" i="3" s="1"/>
  <c r="C29" i="9" s="1"/>
  <c r="J130" i="3"/>
  <c r="J131" i="3"/>
  <c r="J135" i="3"/>
  <c r="J128" i="3"/>
  <c r="J126" i="3"/>
  <c r="J133" i="3"/>
  <c r="J134" i="3"/>
  <c r="J127" i="3"/>
  <c r="J132" i="3"/>
  <c r="H125" i="3"/>
  <c r="I129" i="3" s="1"/>
  <c r="C308" i="6"/>
  <c r="F308" i="3" s="1"/>
  <c r="C300" i="6"/>
  <c r="F306" i="3" s="1"/>
  <c r="C304" i="6"/>
  <c r="F307" i="3" s="1"/>
  <c r="E14" i="3"/>
  <c r="E13" i="3"/>
  <c r="E11" i="3"/>
  <c r="H88" i="6"/>
  <c r="H89" i="6"/>
  <c r="D154" i="3" l="1"/>
  <c r="C7" i="9" s="1"/>
  <c r="C84" i="9"/>
  <c r="F277" i="3"/>
  <c r="H277" i="3" s="1"/>
  <c r="I277" i="3" s="1"/>
  <c r="I274" i="3" s="1"/>
  <c r="F305" i="3"/>
  <c r="G308" i="3" s="1"/>
  <c r="H214" i="3"/>
  <c r="H219" i="3"/>
  <c r="H215" i="3"/>
  <c r="H217" i="3"/>
  <c r="H218" i="3"/>
  <c r="H216" i="3"/>
  <c r="H221" i="3"/>
  <c r="H220" i="3"/>
  <c r="G218" i="3"/>
  <c r="G217" i="3"/>
  <c r="G215" i="3"/>
  <c r="G220" i="3"/>
  <c r="G221" i="3"/>
  <c r="G219" i="3"/>
  <c r="G216" i="3"/>
  <c r="C87" i="6"/>
  <c r="I134" i="3"/>
  <c r="I130" i="3"/>
  <c r="I126" i="3"/>
  <c r="I131" i="3"/>
  <c r="I127" i="3"/>
  <c r="I128" i="3"/>
  <c r="I132" i="3"/>
  <c r="I135" i="3"/>
  <c r="I133" i="3"/>
  <c r="E15" i="3"/>
  <c r="E6" i="3"/>
  <c r="F158" i="6" s="1"/>
  <c r="E150" i="3" s="1"/>
  <c r="D84" i="9" l="1"/>
  <c r="C85" i="9"/>
  <c r="D81" i="9"/>
  <c r="D83" i="9"/>
  <c r="D82" i="9"/>
  <c r="G213" i="3"/>
  <c r="G306" i="3"/>
  <c r="G307" i="3"/>
  <c r="G305" i="3"/>
  <c r="H213" i="3"/>
  <c r="E7" i="3"/>
  <c r="E8" i="3"/>
  <c r="F140" i="3" l="1"/>
  <c r="F139" i="3"/>
  <c r="G228" i="3"/>
  <c r="J228" i="3" s="1"/>
  <c r="L228" i="3" s="1"/>
  <c r="L227" i="3" s="1"/>
  <c r="D224" i="3" s="1"/>
  <c r="C8" i="9" s="1"/>
  <c r="M118" i="3"/>
  <c r="M70" i="3"/>
  <c r="F142" i="3"/>
  <c r="F141" i="3"/>
  <c r="F148" i="3"/>
  <c r="F147" i="3"/>
  <c r="F146" i="3"/>
  <c r="F145" i="3"/>
  <c r="F144" i="3"/>
  <c r="F143" i="3"/>
  <c r="M119" i="3"/>
  <c r="M51" i="3"/>
  <c r="G115" i="3"/>
  <c r="G114" i="3"/>
  <c r="M114" i="3" s="1"/>
  <c r="G111" i="3"/>
  <c r="M111" i="3" s="1"/>
  <c r="G112" i="3"/>
  <c r="G100" i="3"/>
  <c r="G99" i="3"/>
  <c r="G98" i="3"/>
  <c r="G97" i="3"/>
  <c r="M97" i="3" s="1"/>
  <c r="N112" i="3" l="1"/>
  <c r="O112" i="3" s="1"/>
  <c r="M112" i="3"/>
  <c r="K145" i="3"/>
  <c r="K139" i="3"/>
  <c r="F138" i="3"/>
  <c r="N111" i="3"/>
  <c r="O111" i="3" s="1"/>
  <c r="K140" i="3"/>
  <c r="K143" i="3"/>
  <c r="K148" i="3"/>
  <c r="K147" i="3"/>
  <c r="K144" i="3"/>
  <c r="K146" i="3"/>
  <c r="K141" i="3"/>
  <c r="K142" i="3"/>
  <c r="N97" i="3"/>
  <c r="O97" i="3" s="1"/>
  <c r="M98" i="3"/>
  <c r="N98" i="3" s="1"/>
  <c r="O98" i="3" s="1"/>
  <c r="M99" i="3"/>
  <c r="N99" i="3" s="1"/>
  <c r="O99" i="3" s="1"/>
  <c r="M100" i="3"/>
  <c r="N100" i="3" s="1"/>
  <c r="O100" i="3" s="1"/>
  <c r="O110" i="3" l="1"/>
  <c r="C27" i="9" s="1"/>
  <c r="O96" i="3"/>
  <c r="C25" i="9" s="1"/>
  <c r="G93" i="3"/>
  <c r="M93" i="3" s="1"/>
  <c r="N93" i="3" s="1"/>
  <c r="O93" i="3" s="1"/>
  <c r="G92" i="3"/>
  <c r="M92" i="3" s="1"/>
  <c r="N92" i="3" s="1"/>
  <c r="O92" i="3" s="1"/>
  <c r="O91" i="3" l="1"/>
  <c r="G86" i="3"/>
  <c r="M86" i="3" s="1"/>
  <c r="N86" i="3" s="1"/>
  <c r="O86" i="3" s="1"/>
  <c r="G85" i="3"/>
  <c r="M85" i="3" s="1"/>
  <c r="N85" i="3" s="1"/>
  <c r="O85" i="3" s="1"/>
  <c r="G84" i="3"/>
  <c r="M84" i="3" s="1"/>
  <c r="N84" i="3" s="1"/>
  <c r="O84" i="3" s="1"/>
  <c r="G83" i="3"/>
  <c r="M83" i="3" s="1"/>
  <c r="N83" i="3" s="1"/>
  <c r="O83" i="3" s="1"/>
  <c r="G82" i="3"/>
  <c r="M82" i="3" s="1"/>
  <c r="N82" i="3" s="1"/>
  <c r="O82" i="3" s="1"/>
  <c r="G81" i="3"/>
  <c r="M81" i="3" s="1"/>
  <c r="N81" i="3" s="1"/>
  <c r="O81" i="3" s="1"/>
  <c r="G80" i="3"/>
  <c r="M80" i="3" s="1"/>
  <c r="N80" i="3" s="1"/>
  <c r="O80" i="3" s="1"/>
  <c r="G79" i="3"/>
  <c r="M79" i="3" s="1"/>
  <c r="N79" i="3" s="1"/>
  <c r="O79" i="3" s="1"/>
  <c r="G78" i="3"/>
  <c r="M78" i="3" s="1"/>
  <c r="N78" i="3" s="1"/>
  <c r="O78" i="3" s="1"/>
  <c r="G77" i="3"/>
  <c r="M77" i="3" s="1"/>
  <c r="N77" i="3" s="1"/>
  <c r="O77" i="3" s="1"/>
  <c r="G76" i="3"/>
  <c r="M76" i="3" s="1"/>
  <c r="N76" i="3" s="1"/>
  <c r="O76" i="3" s="1"/>
  <c r="G75" i="3"/>
  <c r="M75" i="3" s="1"/>
  <c r="N75" i="3" s="1"/>
  <c r="O75" i="3" s="1"/>
  <c r="G63" i="3"/>
  <c r="M63" i="3" s="1"/>
  <c r="N63" i="3" s="1"/>
  <c r="O63" i="3" s="1"/>
  <c r="G62" i="3"/>
  <c r="M62" i="3" s="1"/>
  <c r="N62" i="3" s="1"/>
  <c r="O62" i="3" s="1"/>
  <c r="G57" i="3"/>
  <c r="M57" i="3" s="1"/>
  <c r="N57" i="3" s="1"/>
  <c r="O57" i="3" s="1"/>
  <c r="G56" i="3"/>
  <c r="M56" i="3" s="1"/>
  <c r="N56" i="3" s="1"/>
  <c r="G67" i="3"/>
  <c r="M67" i="3" s="1"/>
  <c r="N67" i="3" s="1"/>
  <c r="O67" i="3" s="1"/>
  <c r="G66" i="3"/>
  <c r="M66" i="3" s="1"/>
  <c r="N66" i="3" s="1"/>
  <c r="O66" i="3" s="1"/>
  <c r="G61" i="3"/>
  <c r="M61" i="3" s="1"/>
  <c r="N61" i="3" s="1"/>
  <c r="O61" i="3" s="1"/>
  <c r="G60" i="3"/>
  <c r="M60" i="3" s="1"/>
  <c r="N60" i="3" s="1"/>
  <c r="O60" i="3" s="1"/>
  <c r="G65" i="3"/>
  <c r="M65" i="3" s="1"/>
  <c r="N65" i="3" s="1"/>
  <c r="O65" i="3" s="1"/>
  <c r="G64" i="3"/>
  <c r="M64" i="3" s="1"/>
  <c r="N64" i="3" s="1"/>
  <c r="O64" i="3" s="1"/>
  <c r="G59" i="3"/>
  <c r="M59" i="3" s="1"/>
  <c r="N59" i="3" s="1"/>
  <c r="G58" i="3"/>
  <c r="M58" i="3" s="1"/>
  <c r="N58" i="3" s="1"/>
  <c r="O58" i="3" s="1"/>
  <c r="G90" i="3"/>
  <c r="M90" i="3" s="1"/>
  <c r="N90" i="3" s="1"/>
  <c r="O90" i="3" s="1"/>
  <c r="G89" i="3"/>
  <c r="M89" i="3" s="1"/>
  <c r="N89" i="3" s="1"/>
  <c r="O89" i="3" s="1"/>
  <c r="G74" i="3"/>
  <c r="M74" i="3" s="1"/>
  <c r="N74" i="3" s="1"/>
  <c r="O74" i="3" s="1"/>
  <c r="G73" i="3"/>
  <c r="M73" i="3" s="1"/>
  <c r="N73" i="3" s="1"/>
  <c r="O73" i="3" s="1"/>
  <c r="G72" i="3"/>
  <c r="M72" i="3" s="1"/>
  <c r="N72" i="3" s="1"/>
  <c r="O72" i="3" s="1"/>
  <c r="G71" i="3"/>
  <c r="M71" i="3" s="1"/>
  <c r="N71" i="3" s="1"/>
  <c r="O71" i="3" s="1"/>
  <c r="G55" i="3"/>
  <c r="M55" i="3" s="1"/>
  <c r="N55" i="3" s="1"/>
  <c r="O55" i="3" s="1"/>
  <c r="G54" i="3"/>
  <c r="M54" i="3" s="1"/>
  <c r="N54" i="3" s="1"/>
  <c r="O54" i="3" s="1"/>
  <c r="G53" i="3"/>
  <c r="M53" i="3" s="1"/>
  <c r="N53" i="3" s="1"/>
  <c r="O53" i="3" s="1"/>
  <c r="G52" i="3"/>
  <c r="M52" i="3" s="1"/>
  <c r="N52" i="3" s="1"/>
  <c r="O52" i="3" s="1"/>
  <c r="N51" i="3"/>
  <c r="O51" i="3" s="1"/>
  <c r="O69" i="3" l="1"/>
  <c r="O88" i="3"/>
  <c r="O59" i="3"/>
  <c r="O56" i="3"/>
  <c r="J1" i="2"/>
  <c r="O50" i="3" l="1"/>
  <c r="I1" i="2"/>
  <c r="H1" i="2"/>
  <c r="G1" i="2"/>
  <c r="F1" i="2"/>
  <c r="E1" i="2"/>
  <c r="D1" i="2"/>
  <c r="B1" i="2"/>
  <c r="C1" i="2"/>
  <c r="D47" i="3" l="1"/>
  <c r="C5" i="9" s="1"/>
  <c r="C24" i="9"/>
  <c r="A1" i="2"/>
  <c r="C30" i="9" l="1"/>
  <c r="C22" i="9"/>
  <c r="D24" i="9" s="1"/>
  <c r="I140" i="3"/>
  <c r="K138" i="3"/>
  <c r="H65" i="9" l="1"/>
  <c r="L140" i="3"/>
  <c r="M140" i="3" s="1"/>
  <c r="F65" i="9" s="1"/>
  <c r="D28" i="9"/>
  <c r="D25" i="9"/>
  <c r="D26" i="9"/>
  <c r="D29" i="9"/>
  <c r="D27" i="9"/>
  <c r="G140" i="3"/>
  <c r="H140" i="3" s="1"/>
  <c r="E149" i="3"/>
  <c r="I143" i="3"/>
  <c r="I145" i="3"/>
  <c r="I148" i="3"/>
  <c r="I141" i="3"/>
  <c r="I147" i="3"/>
  <c r="E151" i="3"/>
  <c r="I139" i="3"/>
  <c r="I142" i="3"/>
  <c r="I144" i="3"/>
  <c r="I146" i="3"/>
  <c r="H72" i="9" l="1"/>
  <c r="L147" i="3"/>
  <c r="H66" i="9"/>
  <c r="L141" i="3"/>
  <c r="M141" i="3" s="1"/>
  <c r="F66" i="9" s="1"/>
  <c r="H71" i="9"/>
  <c r="L146" i="3"/>
  <c r="H67" i="9"/>
  <c r="L142" i="3"/>
  <c r="M142" i="3" s="1"/>
  <c r="F67" i="9" s="1"/>
  <c r="H73" i="9"/>
  <c r="L148" i="3"/>
  <c r="M148" i="3" s="1"/>
  <c r="F73" i="9" s="1"/>
  <c r="H70" i="9"/>
  <c r="L145" i="3"/>
  <c r="M145" i="3" s="1"/>
  <c r="F70" i="9" s="1"/>
  <c r="H69" i="9"/>
  <c r="L144" i="3"/>
  <c r="M144" i="3" s="1"/>
  <c r="F69" i="9" s="1"/>
  <c r="H68" i="9"/>
  <c r="L143" i="3"/>
  <c r="M143" i="3" s="1"/>
  <c r="F68" i="9" s="1"/>
  <c r="G139" i="3"/>
  <c r="H64" i="9"/>
  <c r="L139" i="3"/>
  <c r="G141" i="3"/>
  <c r="H141" i="3" s="1"/>
  <c r="G148" i="3"/>
  <c r="H148" i="3" s="1"/>
  <c r="G146" i="3"/>
  <c r="H146" i="3" s="1"/>
  <c r="G145" i="3"/>
  <c r="H145" i="3" s="1"/>
  <c r="G144" i="3"/>
  <c r="H144" i="3" s="1"/>
  <c r="G142" i="3"/>
  <c r="H142" i="3" s="1"/>
  <c r="G143" i="3"/>
  <c r="H143" i="3" s="1"/>
  <c r="G147" i="3"/>
  <c r="H147" i="3" s="1"/>
  <c r="I138" i="3"/>
  <c r="G138" i="3" l="1"/>
  <c r="H139" i="3"/>
  <c r="L138" i="3"/>
  <c r="M139" i="3"/>
  <c r="H138" i="3" l="1"/>
  <c r="I71" i="9"/>
  <c r="I72" i="9"/>
  <c r="I65" i="9"/>
  <c r="I68" i="9"/>
  <c r="I73" i="9"/>
  <c r="I66" i="9"/>
  <c r="I70" i="9"/>
  <c r="I67" i="9"/>
  <c r="I69" i="9"/>
  <c r="F64" i="9"/>
  <c r="M138" i="3"/>
  <c r="J139" i="3" s="1"/>
  <c r="I64" i="9" l="1"/>
  <c r="F74" i="9"/>
  <c r="J147" i="3"/>
  <c r="J146" i="3"/>
  <c r="D122" i="3"/>
  <c r="C6" i="9" s="1"/>
  <c r="C42" i="9"/>
  <c r="J143" i="3"/>
  <c r="J140" i="3"/>
  <c r="J145" i="3"/>
  <c r="J141" i="3"/>
  <c r="J142" i="3"/>
  <c r="J148" i="3"/>
  <c r="J144" i="3"/>
  <c r="J138" i="3" l="1"/>
  <c r="G72" i="9"/>
  <c r="C43" i="9"/>
  <c r="G71" i="9"/>
  <c r="C39" i="9"/>
  <c r="D41" i="9" s="1"/>
  <c r="G65" i="9"/>
  <c r="G68" i="9"/>
  <c r="G70" i="9"/>
  <c r="G67" i="9"/>
  <c r="G69" i="9"/>
  <c r="G66" i="9"/>
  <c r="G73" i="9"/>
  <c r="C9" i="9"/>
  <c r="C11" i="9" s="1"/>
  <c r="C3" i="9"/>
  <c r="G64" i="9"/>
  <c r="D42" i="9" l="1"/>
  <c r="D8" i="9"/>
  <c r="D7" i="9"/>
  <c r="D5" i="9"/>
  <c r="D6" i="9"/>
</calcChain>
</file>

<file path=xl/sharedStrings.xml><?xml version="1.0" encoding="utf-8"?>
<sst xmlns="http://schemas.openxmlformats.org/spreadsheetml/2006/main" count="2733" uniqueCount="1088">
  <si>
    <t>Name</t>
  </si>
  <si>
    <t>Art</t>
  </si>
  <si>
    <t>PLZ</t>
  </si>
  <si>
    <t>Wert</t>
  </si>
  <si>
    <t>GWH Art</t>
  </si>
  <si>
    <t>Kategorie</t>
  </si>
  <si>
    <t>Einheit</t>
  </si>
  <si>
    <t>Thema</t>
  </si>
  <si>
    <t>Basiert auf</t>
  </si>
  <si>
    <t>Mehrfachauswahl</t>
  </si>
  <si>
    <t>Eingabe</t>
  </si>
  <si>
    <t>nein</t>
  </si>
  <si>
    <t>GWH Alter</t>
  </si>
  <si>
    <t>Venlo</t>
  </si>
  <si>
    <t>Deutsche Norm</t>
  </si>
  <si>
    <t>Folie</t>
  </si>
  <si>
    <t>Jahre</t>
  </si>
  <si>
    <t>Bedachungsmaterial</t>
  </si>
  <si>
    <t>&lt;10</t>
  </si>
  <si>
    <t>10-25</t>
  </si>
  <si>
    <t>&gt;10</t>
  </si>
  <si>
    <t>Einfachglas</t>
  </si>
  <si>
    <t>Doppelglas</t>
  </si>
  <si>
    <t>Doppelstegplatte</t>
  </si>
  <si>
    <t>Dreifachstegplatte</t>
  </si>
  <si>
    <t>Auswahl</t>
  </si>
  <si>
    <t>Alter des Bedachungsmaterials</t>
  </si>
  <si>
    <t xml:space="preserve">Bestimmt den geographischen Ort des GWH, wird für die Kalkulation </t>
  </si>
  <si>
    <t>Art des Stehwandmaterial</t>
  </si>
  <si>
    <t>Doppelfolie</t>
  </si>
  <si>
    <t>Einfachfolie</t>
  </si>
  <si>
    <t>Energieschirm</t>
  </si>
  <si>
    <t>einfach</t>
  </si>
  <si>
    <t>doppelt</t>
  </si>
  <si>
    <t>Stehwandhöhe</t>
  </si>
  <si>
    <t>Länge</t>
  </si>
  <si>
    <t>Breite</t>
  </si>
  <si>
    <t>Kappenbreite</t>
  </si>
  <si>
    <t>Meter</t>
  </si>
  <si>
    <t>Verwendung</t>
  </si>
  <si>
    <t>Kalkulation Produktionsfläche</t>
  </si>
  <si>
    <t>Produktion</t>
  </si>
  <si>
    <t>Kultursystem</t>
  </si>
  <si>
    <t>Boden</t>
  </si>
  <si>
    <t>Konventionell</t>
  </si>
  <si>
    <t>Biologisch</t>
  </si>
  <si>
    <t>Fruchtgewicht</t>
  </si>
  <si>
    <t>10-30</t>
  </si>
  <si>
    <t>30-100</t>
  </si>
  <si>
    <t>100-150</t>
  </si>
  <si>
    <t>&gt;150</t>
  </si>
  <si>
    <t>Gramm</t>
  </si>
  <si>
    <t>Kulturfläche</t>
  </si>
  <si>
    <t>wert</t>
  </si>
  <si>
    <t>Quadratmeter</t>
  </si>
  <si>
    <t>Kalenderwoche</t>
  </si>
  <si>
    <t>Kultur Ende</t>
  </si>
  <si>
    <t>Kultur Beginn</t>
  </si>
  <si>
    <t>Pflanzdichte</t>
  </si>
  <si>
    <t>Pfl/m²</t>
  </si>
  <si>
    <t>Pflanzenabstand in der Reihe</t>
  </si>
  <si>
    <t>Reihenabstand</t>
  </si>
  <si>
    <t>Kalkulation Pfl/m²</t>
  </si>
  <si>
    <t>Ertrag</t>
  </si>
  <si>
    <t>kg/Jahr</t>
  </si>
  <si>
    <t>Ertrag/Jahr</t>
  </si>
  <si>
    <t>Ertrag/Monat</t>
  </si>
  <si>
    <t>Ertrag/KW</t>
  </si>
  <si>
    <t>ja</t>
  </si>
  <si>
    <t>kg/Monat</t>
  </si>
  <si>
    <t>kg/KW</t>
  </si>
  <si>
    <t>Notiz</t>
  </si>
  <si>
    <t>Entscheidung</t>
  </si>
  <si>
    <t>Anzahl Triebe</t>
  </si>
  <si>
    <t>1-fach</t>
  </si>
  <si>
    <t>2-fach</t>
  </si>
  <si>
    <t>3-fach</t>
  </si>
  <si>
    <t>Anzahl</t>
  </si>
  <si>
    <t>Mittlere Solltemperatur Tag</t>
  </si>
  <si>
    <t>°C</t>
  </si>
  <si>
    <t>Mittlere Solltemperatur Nacht</t>
  </si>
  <si>
    <t>Entfeuchtung</t>
  </si>
  <si>
    <t>Relative Luftfeuchte</t>
  </si>
  <si>
    <t>%rF</t>
  </si>
  <si>
    <t>Relative Luftfeuchte, Sollwert für aktivierung Entfeuchtung</t>
  </si>
  <si>
    <t>Berechnung</t>
  </si>
  <si>
    <t>Beispielwerte</t>
  </si>
  <si>
    <t>Energieträger</t>
  </si>
  <si>
    <t>Energieverbrauch</t>
  </si>
  <si>
    <t>Erdgas</t>
  </si>
  <si>
    <t>Heizöl</t>
  </si>
  <si>
    <t>Steinkohle</t>
  </si>
  <si>
    <t>Hackschnitzel</t>
  </si>
  <si>
    <t>Biogas</t>
  </si>
  <si>
    <t>Braunkohle</t>
  </si>
  <si>
    <t>Geothermie</t>
  </si>
  <si>
    <t>Kategorie + Wert</t>
  </si>
  <si>
    <t>Auswahl + Eingabe</t>
  </si>
  <si>
    <t>Einheiten</t>
  </si>
  <si>
    <t>Kubikmeter</t>
  </si>
  <si>
    <t>Strom</t>
  </si>
  <si>
    <t>Stromverbrauch für die Kulturfläch</t>
  </si>
  <si>
    <t>kWh</t>
  </si>
  <si>
    <t>Wird die Kultur belichtet?</t>
  </si>
  <si>
    <t>Zusatzbelichtung</t>
  </si>
  <si>
    <t>Anwort "ja" bei Zusatzbelichtung</t>
  </si>
  <si>
    <t>Anschlussleistung pro Lampe</t>
  </si>
  <si>
    <t>Anzahl Lampen</t>
  </si>
  <si>
    <t>Laufzeit pro Tag</t>
  </si>
  <si>
    <t>Stunden</t>
  </si>
  <si>
    <t>Watt</t>
  </si>
  <si>
    <t>Stromherkunft</t>
  </si>
  <si>
    <t>Deutscher Strommix</t>
  </si>
  <si>
    <t>Auswahl + Werte</t>
  </si>
  <si>
    <t>BHKW</t>
  </si>
  <si>
    <t>CO2-Zudosierung</t>
  </si>
  <si>
    <t>Verbrauchsmittel</t>
  </si>
  <si>
    <t>kg</t>
  </si>
  <si>
    <t>CO2-Herkunft</t>
  </si>
  <si>
    <t>bei "Eingabe" von CO2-Zudosierungs-Wert</t>
  </si>
  <si>
    <t>technisches CO2</t>
  </si>
  <si>
    <t>eigenes BHKW</t>
  </si>
  <si>
    <t>Düngemittel: Vereinfachte Angabe</t>
  </si>
  <si>
    <t>Düngemittel vereinfach</t>
  </si>
  <si>
    <t>Düngemittel detaliert</t>
  </si>
  <si>
    <t>Vinasse</t>
  </si>
  <si>
    <t>A/B Bag: Standarddüngung</t>
  </si>
  <si>
    <t>Ammoniumnitrat</t>
  </si>
  <si>
    <t>Kaliumnitrat (Kalisalpeter)</t>
  </si>
  <si>
    <t>Calciumnitrat flüssig (Kalksalpeter)</t>
  </si>
  <si>
    <t>Calciumnitrat fest</t>
  </si>
  <si>
    <t>Kaliumcholird, KCL, muriate of potash</t>
  </si>
  <si>
    <t>Kaliumsulfat</t>
  </si>
  <si>
    <t>Borax</t>
  </si>
  <si>
    <t>Eisen EDDHA 6 %</t>
  </si>
  <si>
    <t>25 % Cu Kupfersulfat</t>
  </si>
  <si>
    <t>32 % Mn Mangansulfat</t>
  </si>
  <si>
    <t>Natriummolybdat</t>
  </si>
  <si>
    <t>Zinksulfat</t>
  </si>
  <si>
    <t>Chlorbleichlauge</t>
  </si>
  <si>
    <t>Bittersalz</t>
  </si>
  <si>
    <t>Düngemittel: Detalierte Angabe</t>
  </si>
  <si>
    <t>Fungizide</t>
  </si>
  <si>
    <t>Liter</t>
  </si>
  <si>
    <t>Insektizide</t>
  </si>
  <si>
    <t>Growbags</t>
  </si>
  <si>
    <t>Verbrauchsmaterialien</t>
  </si>
  <si>
    <t>ja/nein</t>
  </si>
  <si>
    <t>Verwenden Sie Growbags?</t>
  </si>
  <si>
    <t>Auswahl "Konventionell"</t>
  </si>
  <si>
    <t>Volumen Growbags</t>
  </si>
  <si>
    <t>Auswahl "ja" bei Growbags</t>
  </si>
  <si>
    <t>Länge Growbags</t>
  </si>
  <si>
    <t>cm</t>
  </si>
  <si>
    <t>Pflanzen pro Bag</t>
  </si>
  <si>
    <t>Subsrate</t>
  </si>
  <si>
    <t>Standardsubstrat</t>
  </si>
  <si>
    <t>Kokos</t>
  </si>
  <si>
    <t>Kompost</t>
  </si>
  <si>
    <t>Steinwolle</t>
  </si>
  <si>
    <t>Perlite</t>
  </si>
  <si>
    <t>%</t>
  </si>
  <si>
    <t>Anteil des Substrats</t>
  </si>
  <si>
    <t>Substrat</t>
  </si>
  <si>
    <t>Schnüre / Rankhilfen: Material</t>
  </si>
  <si>
    <t>Schnüre</t>
  </si>
  <si>
    <t>Kunststoff</t>
  </si>
  <si>
    <t>Jute</t>
  </si>
  <si>
    <t>Sisal</t>
  </si>
  <si>
    <t>Zellulose</t>
  </si>
  <si>
    <t>andere Nachhaltige/abbaubare Option</t>
  </si>
  <si>
    <t>Bambusstab</t>
  </si>
  <si>
    <t>GWH-Fläche</t>
  </si>
  <si>
    <t>GWH-Länge*GWH-Breite</t>
  </si>
  <si>
    <t>Schnüre / Rankhilfen: Länge</t>
  </si>
  <si>
    <t>je Trieb</t>
  </si>
  <si>
    <t>Schnüre / Rankhilfen: Wiederverwendung</t>
  </si>
  <si>
    <t>Klipse/Rispenbügel</t>
  </si>
  <si>
    <t>Metall</t>
  </si>
  <si>
    <t>Nachhaltige / kompostierbare Option</t>
  </si>
  <si>
    <t>Klipse: Material</t>
  </si>
  <si>
    <t>Klipse: Gesamtmenge</t>
  </si>
  <si>
    <t>Klipse: Anzahl pro Trieb</t>
  </si>
  <si>
    <t>Stück</t>
  </si>
  <si>
    <t>entweder Gesamtmenge oder Anzahl pro Trieb als Eingabe nötig</t>
  </si>
  <si>
    <t>Klipse: Wiederverwendung</t>
  </si>
  <si>
    <t>bei Nichteingabe Standardwert 1 Jahr</t>
  </si>
  <si>
    <t>Rispenbügel: Material</t>
  </si>
  <si>
    <t>Rispenbügel: Gesamtmenge</t>
  </si>
  <si>
    <t>Rispenbügel: Anzahl pro Trieb</t>
  </si>
  <si>
    <t>Rispenbügel: Wiederverwendung</t>
  </si>
  <si>
    <t>Bodenfolien</t>
  </si>
  <si>
    <t>Sonstige Materialien</t>
  </si>
  <si>
    <t>Eisen</t>
  </si>
  <si>
    <t>Alluminium</t>
  </si>
  <si>
    <t>Holz</t>
  </si>
  <si>
    <t>Sonstige Verbrauchsmaterialien</t>
  </si>
  <si>
    <t>Sonstige Verbrauchsmaterialien: Menge</t>
  </si>
  <si>
    <t>Sonstige Verbrauchsmaterialien: Wiederverwendung</t>
  </si>
  <si>
    <t>Werte</t>
  </si>
  <si>
    <t>Jungpflanzen Zukauf</t>
  </si>
  <si>
    <t>Jungpflanzen Entfernung</t>
  </si>
  <si>
    <t>km</t>
  </si>
  <si>
    <t>Wie weit werden die Jungpflanzen zu Ihnen transportiert?</t>
  </si>
  <si>
    <t>Auswahl "ja" bei Zukauf Jungpflanzen</t>
  </si>
  <si>
    <t>Verpackungsmaterial: Karton</t>
  </si>
  <si>
    <t>Wieviel Karton wird insgesamt für Verpackung verwendet?</t>
  </si>
  <si>
    <t>Wieviel plastik wird insgesamt für Verpackung verwendet?</t>
  </si>
  <si>
    <t>Verpackungsmaterial: Plastik</t>
  </si>
  <si>
    <t>Transport der Ware: Auslieferungen</t>
  </si>
  <si>
    <t>Fahrten</t>
  </si>
  <si>
    <t>Transport der Ware: Distanz</t>
  </si>
  <si>
    <t>Wie häufig wird pro Woche Ware ausgeliefert?</t>
  </si>
  <si>
    <t>Welche Strecke wird dabei durchschnittlich gefahren? (Hin- &amp; Rückfahrt)</t>
  </si>
  <si>
    <t>zugehörig zu jeder Auswahlmöglichkeit bei "Sonstige Verbrauchsmaterialien"</t>
  </si>
  <si>
    <t>Notiz 2</t>
  </si>
  <si>
    <t>Bewässerungsart</t>
  </si>
  <si>
    <t>Tropfschläuche</t>
  </si>
  <si>
    <t>Bodensprenkler</t>
  </si>
  <si>
    <t>Handschlauch</t>
  </si>
  <si>
    <t>Nützlinge</t>
  </si>
  <si>
    <t>Raubmilben (Phytoseiulus, Amblyseius, oder vergleichbares)</t>
  </si>
  <si>
    <t>Macrolophus (oder vergleichbares)</t>
  </si>
  <si>
    <t>Schlupfwespen (Aphidius, Dacnusa, Diglyphus, oder vergleichbares)</t>
  </si>
  <si>
    <t>Gallmücken (Aphidoletes, oder vergleichbares)</t>
  </si>
  <si>
    <t>Florfliegen (Chrysoperla, oder vergleichbares)</t>
  </si>
  <si>
    <t>Erzwespe (Encasia, Eretmocerus, oder vergleichbares)</t>
  </si>
  <si>
    <t>Futter für Macrolophus (Ephestia-Eier, Sitrotroga-Eier, Artemia, oder vergleichbares)</t>
  </si>
  <si>
    <t>Nützlinge Menge</t>
  </si>
  <si>
    <t>Hummeln</t>
  </si>
  <si>
    <t>Entscheidung (Eingabe von verscheidenen Werten, jenachdem welche Daten vorhanden sind)</t>
  </si>
  <si>
    <t>Auswahl (Wahl zwischen verscheidenen Kategorien)</t>
  </si>
  <si>
    <t>Beschreibung (Frage)</t>
  </si>
  <si>
    <t>Infotext</t>
  </si>
  <si>
    <t>Relevanz für CO2</t>
  </si>
  <si>
    <t>Relevanz für H20</t>
  </si>
  <si>
    <t>Themengebiet</t>
  </si>
  <si>
    <t>Introtext</t>
  </si>
  <si>
    <t>allgemeine Betriebsdaten</t>
  </si>
  <si>
    <t>Kulturdaten</t>
  </si>
  <si>
    <t>Kulturführung</t>
  </si>
  <si>
    <t>Postleitzahl (zur Wetterdatenbestimmung)</t>
  </si>
  <si>
    <t>Stehwandmaterial</t>
  </si>
  <si>
    <t>Alter des Gewächshauses</t>
  </si>
  <si>
    <t>Bauart des Gewächshauses</t>
  </si>
  <si>
    <t>Art des Energieschirms</t>
  </si>
  <si>
    <t>Auf welche Weise produzieren Sie?</t>
  </si>
  <si>
    <t>Welches Kultursystem wird verwendet?</t>
  </si>
  <si>
    <t>Welche Fruchtgrößen werden in dem betreffenden Gewächshaus erzielt?</t>
  </si>
  <si>
    <t xml:space="preserve">Fruchtgrößen erlauben es verschiedene Tomatentypen mit unterschiedlichen Anforderungen zu unterscheiden. So liegen beispielsweise Cocktailtomaten mit einem Gewicht von 35 bis 50 Gramm  in dem Fruchtgewichtsklasse 30 - 100 Gramm. </t>
  </si>
  <si>
    <t>Auf welcher Fläche wird die genante Fruchtgröße in dem Gewächshaus kultiviert?</t>
  </si>
  <si>
    <t>In welcher Kalenderwoche wird zuletzt geerntet?</t>
  </si>
  <si>
    <t>In welcher Kalenderwoche ist der Kulturbeginn (aufstellen der Jungpflanzen)</t>
  </si>
  <si>
    <t>Geben Sie entweder die Anzahl der Pflanzen pro Quadratmeter ein, oder den Pflanzabstand in der Reihe, sowie den Reihenabstand:</t>
  </si>
  <si>
    <t>müssen zusammen eingegeben werden!</t>
  </si>
  <si>
    <t>" (selber Block)</t>
  </si>
  <si>
    <t>Eingabe für 12 Monate = 12 Eingabefelder</t>
  </si>
  <si>
    <t>Eingabe für 52 Kalenderwochen = 52 Eingabefelder</t>
  </si>
  <si>
    <t>Frage für den "Ertragsblock": Wie hoch ist der Ertrag in der benannten Kulturdauer? ; Frage für diese Eingabemöglichkeit: Gesamtertrag</t>
  </si>
  <si>
    <t>Ertrag: Januar; Februar; März; April; Mai; Juni; Juli; August; September; Oktober; November; Dezember</t>
  </si>
  <si>
    <t>Ertrag: KW1; KW2; KW3; KW4; ... - KW52</t>
  </si>
  <si>
    <t>4-fach</t>
  </si>
  <si>
    <t>evtl. als Dropdown zur Dateneingabe</t>
  </si>
  <si>
    <t>Mittlere Luftsolltemperatur Nacht (Innen; über den Kulturverlauf)</t>
  </si>
  <si>
    <t>Mittlere Luftsolltemperatur Tag (Innen; über den Kulturverlauf)</t>
  </si>
  <si>
    <t>Notiz 3</t>
  </si>
  <si>
    <t>Wie häufig wird ausgegeizt?</t>
  </si>
  <si>
    <t>Anzahl pro Monat</t>
  </si>
  <si>
    <t>Wie häufig wird Ausgeblattet?</t>
  </si>
  <si>
    <t>Transportsystem</t>
  </si>
  <si>
    <t>Verwenden Sie ein Transportsystem? (Buisrail oder vergleichbares)</t>
  </si>
  <si>
    <t>Wie häufig lassen Sie die Pflanzen ab?</t>
  </si>
  <si>
    <t>Kulturmaßnahme Ausgeizen</t>
  </si>
  <si>
    <t>Kulturmaßnahme Ausblatten Anzahl Monat</t>
  </si>
  <si>
    <t>Kulturmaßnahme Ausblatten Menge</t>
  </si>
  <si>
    <t>Kulturmaßnahme Ablassen</t>
  </si>
  <si>
    <t>plus Angabe von jeweiligem Verbrauchswert</t>
  </si>
  <si>
    <t>Welche Stromart beziehen Sie und wieviel? (Mehrfachauswahl möglich)</t>
  </si>
  <si>
    <t>Ist der Stromverbrauch der Belichtung im allgemeinen Stromverbrauch enthalten?</t>
  </si>
  <si>
    <t>Belichtungsstrom</t>
  </si>
  <si>
    <t>Stromverbrauch Belichtung Anschlussleistung</t>
  </si>
  <si>
    <t>Stromverbrauch Belichtung Anzahl Lampen</t>
  </si>
  <si>
    <t>Stromverbrauch Belichtung Laufzeit Tag</t>
  </si>
  <si>
    <t>Anwort "nein" bei Belichtungsstrom</t>
  </si>
  <si>
    <t>Wieviel CO2 wird in der Kulturdauer zudosiert?</t>
  </si>
  <si>
    <t>Entweder Eingabe in kg oder m3</t>
  </si>
  <si>
    <t>Wieviele Fungizide verwenden Sie in der eingetragenen Kulturdauer? Bitte addieren Sie alle verwendeten Fungizide und geben Sie diese in kg und/oder Liter an. Achte Sie jedoch darauf eine Doppelerfassung bei  Angaben in Kilogramm und Litern zu verhindern.</t>
  </si>
  <si>
    <t>Wieviele Insektizide verwenden Sie in der eingetragenen Kulturdauer? Bitte addieren Sie alle verwendeten Mittel und geben Sie diese in Kilogramm und/oder Liter an. Achte Sie jedoch darauf eine Doppelerfassung bei  Angaben in Kilogramm und Litern zu verhindern.</t>
  </si>
  <si>
    <t>Welche und wieviele Nützlinge werden in der genannten Kulturdauer ausgebracht?</t>
  </si>
  <si>
    <t>mögliche Wertspanne/ Vorgaben</t>
  </si>
  <si>
    <t>5-stellig</t>
  </si>
  <si>
    <t>0-10</t>
  </si>
  <si>
    <t>0-52</t>
  </si>
  <si>
    <t>0-15</t>
  </si>
  <si>
    <t>0-5</t>
  </si>
  <si>
    <t>10 - 35</t>
  </si>
  <si>
    <t>x</t>
  </si>
  <si>
    <t>0-30</t>
  </si>
  <si>
    <t>Wieviele Blätter pro Pflanze werden je Durchgang entfernt?</t>
  </si>
  <si>
    <t>0-20</t>
  </si>
  <si>
    <t>0-24</t>
  </si>
  <si>
    <t>Liter/m3</t>
  </si>
  <si>
    <t>Entweder Eingabe von Volumen, Länge, oder Pfl. pro Bag</t>
  </si>
  <si>
    <t>Pfl. /Bag</t>
  </si>
  <si>
    <t>0-200</t>
  </si>
  <si>
    <t>Welches Volumen haben die verwendeten Bags? Sie können entweder direkt das Volumen angeben, die Länge oder die Pflanzen pro Bag</t>
  </si>
  <si>
    <t>Welches Substrat und zu welchem Anteil wird verwendet?</t>
  </si>
  <si>
    <t>Wie lang sind die Schnüre/Rankhilfen je Trieb?</t>
  </si>
  <si>
    <t>Wie lange werden diese wiederverwendet?</t>
  </si>
  <si>
    <t>Aus welchem Material sind die  Schnüre/Rankhilfen, falls welche verwendet werden?</t>
  </si>
  <si>
    <t>Aus welchem Material sind die Klipse, falls welche verwendet werden?</t>
  </si>
  <si>
    <t>Aus welchem Material sind die Rispenbügel, falls welche verwendet werden?</t>
  </si>
  <si>
    <t>Geben Sie entweder die Gesamtmenge pro Kulturdauer, oder die Anzahl pro Trieb und Kulturdauer an:</t>
  </si>
  <si>
    <t>Verwenden Sie Bodenfolien?</t>
  </si>
  <si>
    <t>Wielange verbleiben die Bodenfolien im Gewächshaus?</t>
  </si>
  <si>
    <t>Auswahl "ja" bei Bodenfolien</t>
  </si>
  <si>
    <t>bei Nichteingabe Standardwert 0</t>
  </si>
  <si>
    <t>Geben Sie sonstige Verbrauchsmaterialien und die Gebrauchslänge an:</t>
  </si>
  <si>
    <t>Menge</t>
  </si>
  <si>
    <t>Gebrauchslänge</t>
  </si>
  <si>
    <t>Werden die Junpflanzen zugekauft?</t>
  </si>
  <si>
    <t>Im folgenden Abschnitt, werden die allgemeinen Betriebsdaten erfasst. Diese dienen dazu .....</t>
  </si>
  <si>
    <t>Phosphorsäure 75%</t>
  </si>
  <si>
    <t>Salpetersäure 65%</t>
  </si>
  <si>
    <t>Salpetersäure 38%</t>
  </si>
  <si>
    <t>Monokaliumphosphat (Flory6)</t>
  </si>
  <si>
    <t>Kalksalpeter</t>
  </si>
  <si>
    <t>Magnesiumnitrat</t>
  </si>
  <si>
    <t>Magnesiumsulfat</t>
  </si>
  <si>
    <t>Kalisilikat</t>
  </si>
  <si>
    <t xml:space="preserve"> </t>
  </si>
  <si>
    <t>Mangansulfat</t>
  </si>
  <si>
    <t>Cupfersulfat</t>
  </si>
  <si>
    <t>Ammoniummolybdat</t>
  </si>
  <si>
    <t>Eisen DDTPA 3%</t>
  </si>
  <si>
    <t>Pferdemist</t>
  </si>
  <si>
    <t>Blutmehl</t>
  </si>
  <si>
    <t>Mist</t>
  </si>
  <si>
    <t>Gründüngung</t>
  </si>
  <si>
    <t>Hornmehl, -grieß, -späne</t>
  </si>
  <si>
    <t>Knochenmehl</t>
  </si>
  <si>
    <t>Pflanzkali</t>
  </si>
  <si>
    <t>org. Volldünger</t>
  </si>
  <si>
    <t>Farbliche Markierung um zusammenhängende Eingabethematiken hervorzuheben</t>
  </si>
  <si>
    <t>abwechselnde Farben</t>
  </si>
  <si>
    <t>Allgemeine Betriebsdaten</t>
  </si>
  <si>
    <t>Beton</t>
  </si>
  <si>
    <t>Ausgelassene Werte durch Interpolation berechnen</t>
  </si>
  <si>
    <t>Venlo Carbon Footprint Konstruktion</t>
  </si>
  <si>
    <t>Folientunnel (einfach)</t>
  </si>
  <si>
    <t>Folientunnel (doppelt)</t>
  </si>
  <si>
    <t>Gewicht (kg/m2)</t>
  </si>
  <si>
    <t>jährlicher Materialfluss (kg/m2/a)</t>
  </si>
  <si>
    <t>Lebensdauer (jahre)</t>
  </si>
  <si>
    <t>Aluminium</t>
  </si>
  <si>
    <t>Glas</t>
  </si>
  <si>
    <t>Äquivalent (kg CO2/kg)</t>
  </si>
  <si>
    <t>Nebenkultur</t>
  </si>
  <si>
    <t>Nebenkulturdauer</t>
  </si>
  <si>
    <t>Antwort "ja" bei Nebenkultur</t>
  </si>
  <si>
    <t>Kalenderwochen</t>
  </si>
  <si>
    <t>Wie viele Kalenderwochen wird das GWH anderweitig verwendet?</t>
  </si>
  <si>
    <t>Findet im selben Kulturjahr noch eine andere Nutzung des GWH außerhalb der gennanten Kulturdauer statt?</t>
  </si>
  <si>
    <t>Deutsches Normen GWH Footprint Konstruktion</t>
  </si>
  <si>
    <t>Stahl</t>
  </si>
  <si>
    <t>LDPE - Folie/Plastik</t>
  </si>
  <si>
    <t>Auswahl Venlo</t>
  </si>
  <si>
    <t>GWH Alter&lt;20</t>
  </si>
  <si>
    <t>Berechnung wenn (1)</t>
  </si>
  <si>
    <t>Berechnung wenn (2)</t>
  </si>
  <si>
    <t>GWH Alter&lt;15</t>
  </si>
  <si>
    <t>GWH Alter&lt;12</t>
  </si>
  <si>
    <t>Auswahl Deutsches Norm GWH</t>
  </si>
  <si>
    <t>GWH Alter&lt;5</t>
  </si>
  <si>
    <t>Folientunnel</t>
  </si>
  <si>
    <t>&lt;6</t>
  </si>
  <si>
    <t>6 bis 10</t>
  </si>
  <si>
    <t>10 bis 15</t>
  </si>
  <si>
    <t>15 bis 20</t>
  </si>
  <si>
    <t>&gt;20</t>
  </si>
  <si>
    <t xml:space="preserve">Auswahl </t>
  </si>
  <si>
    <t>Länge*Breite*Stehwandhöhe</t>
  </si>
  <si>
    <t>Scheibenlänge (Bedachung)</t>
  </si>
  <si>
    <t>Hüllfläche Venlo (Stehwand)</t>
  </si>
  <si>
    <t>Hüllfläche Venlo (Dach)</t>
  </si>
  <si>
    <t>Hüllfläche Venlo (Gesamt)</t>
  </si>
  <si>
    <t>Hüllfäche Venlo Stehwand + Hüllfläche Venlo Dach</t>
  </si>
  <si>
    <t>Hüllfläche DN GWH (Stehwand)</t>
  </si>
  <si>
    <t>Hüllfläche DN GWH (Dach)</t>
  </si>
  <si>
    <t>Hüllfläche DN GWH (Gesamt)</t>
  </si>
  <si>
    <t>Hüllfläche Folientunnel</t>
  </si>
  <si>
    <t>Scheibenlänge*Länge*2</t>
  </si>
  <si>
    <t>Hüllfläche DN GWH Stehwand + Hüllfläche DN GWH Dach</t>
  </si>
  <si>
    <t>(Breite*Pi:2)*Länge</t>
  </si>
  <si>
    <t>Einfachglas (Stehwand)</t>
  </si>
  <si>
    <t>Doppelglas (Stehwand)</t>
  </si>
  <si>
    <t>Doppelstegplatte (Stehwand)</t>
  </si>
  <si>
    <t>Dreifachstegplatte (Stehwand)</t>
  </si>
  <si>
    <t>Doppelfolie (Stehwand)</t>
  </si>
  <si>
    <t>Einfachfolie (Stehwand)</t>
  </si>
  <si>
    <t>Einfachglas (Bedachung)</t>
  </si>
  <si>
    <t>Doppelglas (Bedachung)</t>
  </si>
  <si>
    <t>Doppelstegplatte (Bedachung)</t>
  </si>
  <si>
    <t>Dreifachstegplatte (Bedachung)</t>
  </si>
  <si>
    <t>Einfachfolie (Bedachung)</t>
  </si>
  <si>
    <t>Doppelfolie (Bedachung)</t>
  </si>
  <si>
    <t>Hüllfläche Venlo Stehwand *jährlicher Materialsfluss * Äquivalent * (Kulturdauer/Kulturdauer+Nebenkulturdauer)</t>
  </si>
  <si>
    <t>Hüllfläche Venlo Dach *jährlicher Materialfluss * Äquivalent * (Kulturdauer/Kulturdauer+Nebenkulturdauer)</t>
  </si>
  <si>
    <t>Hüllfläche Dn GWH (Stehwand) * jährlicher Materialfluss * Äquivalent * (Kulturdauer/Kulturdauer+Nebenkulturdauer)</t>
  </si>
  <si>
    <t>Hüllfläche DN GWH (Dach) * jährlicher Materialfluss * Äquivalent * (Kulturdauer/Kulturdauer+Nebenkulturdauer)</t>
  </si>
  <si>
    <t>Auswahl entsprechendes Bedachungsmaterial</t>
  </si>
  <si>
    <t>Auswahl entsprechendes Stehwandmaterial</t>
  </si>
  <si>
    <t>GWH Alter&lt;10</t>
  </si>
  <si>
    <t>Berechnen wenn (3)</t>
  </si>
  <si>
    <t>Hüllfläche Folientunnel * jährlicher Materialfluss * Äquivalent * (Kulturdauer/Kulturdauer+Nebenkulturdauer)</t>
  </si>
  <si>
    <t>Auswahl Folientunnel (einfach)</t>
  </si>
  <si>
    <t>Auswahl Folientunnel (doppelt)</t>
  </si>
  <si>
    <t>Energieschirm doppelt</t>
  </si>
  <si>
    <t>einfach, aluminisiert</t>
  </si>
  <si>
    <t>doppelt, aluminisiert</t>
  </si>
  <si>
    <t>Energieschirm einfach</t>
  </si>
  <si>
    <t>Energieschirm doppelt, alumisiert</t>
  </si>
  <si>
    <t>Energieschirm einfach, alumisiert</t>
  </si>
  <si>
    <t>GWH-Fläche * jährlicher Materialfluss * Äquivalent * (Kulturdauer/Kulturdauer+Nebenkulturdauer)</t>
  </si>
  <si>
    <t>Beton+Stahl+Aluminium+ausgewähltes Bedachungsmaterial+ausgewähltes Stehwandmaterial+Energieschirm</t>
  </si>
  <si>
    <t>Alter Energieschirm</t>
  </si>
  <si>
    <t>kein</t>
  </si>
  <si>
    <t>Wie alt ist der Nergieschirm</t>
  </si>
  <si>
    <t>GWH-Fläche *2* jährlicher Materialfluss * Äquivalent * (Kulturdauer/Kulturdauer+Nebenkulturdauer)</t>
  </si>
  <si>
    <t>Energieschirm aluminisiert</t>
  </si>
  <si>
    <t>Auswahl Energieschirm einfach</t>
  </si>
  <si>
    <t>Auswahl Energieschirm doppelt</t>
  </si>
  <si>
    <t>Auswahl Energieschirm einfach, aluminisiert</t>
  </si>
  <si>
    <t>Auswahl Energieschirm doppelt, aluminisert</t>
  </si>
  <si>
    <t>Hydroponik offen</t>
  </si>
  <si>
    <t>Hydroponik geschlossen</t>
  </si>
  <si>
    <t>Faktor Maschineneinsatz</t>
  </si>
  <si>
    <t>Auswahl "Biologisch"</t>
  </si>
  <si>
    <t>Alter Kultursystem</t>
  </si>
  <si>
    <t>Auswahl Hydroponik offen oder Hydroponik geschlossen</t>
  </si>
  <si>
    <t>Wie alt ist das Hydroponiksystem</t>
  </si>
  <si>
    <t>Reihengesamtlänge</t>
  </si>
  <si>
    <t>Wie groß ist der Abstand zwischen den Reihen (Reihenmitte zu Reihenmitte)?</t>
  </si>
  <si>
    <t>Auswahl "Hydroponik offen"</t>
  </si>
  <si>
    <t>Auswahl "Hydroponik geschlossen"</t>
  </si>
  <si>
    <t>Alter E-Schirm&lt;10</t>
  </si>
  <si>
    <t>Alter Bedachungsmaterial&lt;15</t>
  </si>
  <si>
    <t>Alter Bedachungsmaterial&lt;10</t>
  </si>
  <si>
    <t>Alter Bedachungsmaterial&lt;5</t>
  </si>
  <si>
    <t>Material Hydroponiksystem</t>
  </si>
  <si>
    <t>Wegegesamtlänge</t>
  </si>
  <si>
    <t>Auswahl "ja" bei Transportsystem</t>
  </si>
  <si>
    <t>Wegesystem</t>
  </si>
  <si>
    <t>Wegesystem+Transportsystem</t>
  </si>
  <si>
    <t>Wegegesamtlänge/Faktor Weglänge pro 1 Fahrzeug*Äquivalent</t>
  </si>
  <si>
    <t>Kulturdauer</t>
  </si>
  <si>
    <t>Direkte Eingabe Pfl./m2</t>
  </si>
  <si>
    <t>Reihengesamtlänge/Pflanzenabstand in Reihe/Kulturfläche</t>
  </si>
  <si>
    <t>Wenn Eingabe "Pfl./m2"</t>
  </si>
  <si>
    <t>Wenn Eingabe "Pflanzenabstand in Reihe"</t>
  </si>
  <si>
    <t>Wieviele Triebe werden pro Pflanze im Durchschnitt erzielt?</t>
  </si>
  <si>
    <t>Wärmebedarf</t>
  </si>
  <si>
    <t>U'</t>
  </si>
  <si>
    <t xml:space="preserve">Wärmebedarf Gesamt (Venlo) </t>
  </si>
  <si>
    <t>Addition aller "Wärmebedarf pro Stunde" innerhalb der Kulturdauer</t>
  </si>
  <si>
    <t>1/(Ri + R lambda + Ra)</t>
  </si>
  <si>
    <t>Wärmebedarf pro Stunde (Tag 1, Stunde 1) in Wh</t>
  </si>
  <si>
    <t>U: Einfachglas (Bedachung)</t>
  </si>
  <si>
    <t>U:Doppelglas (Bedachung)</t>
  </si>
  <si>
    <t>U: Doppelstegplatte (Bedachung)</t>
  </si>
  <si>
    <t>U: Dreifachstegplatte (Bedachung)</t>
  </si>
  <si>
    <t>U: Einfachfolie (Bedachung)</t>
  </si>
  <si>
    <t>U: Doppelfolie (Bedachung)</t>
  </si>
  <si>
    <t>U': Einfachglas + E-Schirm einfach</t>
  </si>
  <si>
    <t>U': Einfachglas + E-Schirm doppelt</t>
  </si>
  <si>
    <t>U': Doppelglas + E-Schirm einfach</t>
  </si>
  <si>
    <t>U: Doppelstegplatte + E-Schirm einfach</t>
  </si>
  <si>
    <t>U: Doppelstegplatte + E-Schirm doppelt</t>
  </si>
  <si>
    <t>U: Dreifachstegplatte + E-Schirm einfach</t>
  </si>
  <si>
    <t>U: Dreifachstegplatte + E-Schirm doppelt</t>
  </si>
  <si>
    <t>U: Einfachfolie + E-Schirm einfach</t>
  </si>
  <si>
    <t>U: Einfachfolie + E-Schirm doppelt</t>
  </si>
  <si>
    <t>U: Doppelfolie + E-Schirm einfach</t>
  </si>
  <si>
    <t>U: Doppelfolie + E-Schirm doppelt</t>
  </si>
  <si>
    <t>Auswahl "Einfachglas Bedachung"</t>
  </si>
  <si>
    <t>Auswahl kein E-Schirm</t>
  </si>
  <si>
    <t>Keine "E-Schirm-Zeit"</t>
  </si>
  <si>
    <t>Auswahl "Doppelglas Bedachung"</t>
  </si>
  <si>
    <t>Auswahl "Doppelstegplatte Bedachung"</t>
  </si>
  <si>
    <t>Auswahl "Dreifachstegplatte Bedachung"</t>
  </si>
  <si>
    <t>Auswahl "Einfachfolie Bedachung"</t>
  </si>
  <si>
    <t>Auswahl "Doppelfolie Bedachung"</t>
  </si>
  <si>
    <t>Auswahl "E-Schirm einfach"</t>
  </si>
  <si>
    <t>E-Schirm zeit</t>
  </si>
  <si>
    <t>Auswahl "E-Schirm doppelt"</t>
  </si>
  <si>
    <t>U': Doppelglas + E-Schirm doppelt</t>
  </si>
  <si>
    <t>3,2401745     (Achtung! über Regression ermittelt)</t>
  </si>
  <si>
    <t>3,0609382     (Achtung! über Regression ermittelt)</t>
  </si>
  <si>
    <t>Regression ein E-Schirm: f(x)=-0,3747913151062+2,4783549587478ln(x)</t>
  </si>
  <si>
    <t>2,1900278     (Achtung! über Regression ermittelt)</t>
  </si>
  <si>
    <t>1,3430734     (Achtung! über Regression ermittelt)</t>
  </si>
  <si>
    <t>5,3564923     (Achtung! über Regression ermittelt)</t>
  </si>
  <si>
    <t>1,3718468     (Achtung! über Regression ermittelt)</t>
  </si>
  <si>
    <t>3,1027526     (Achtung! über Regression ermittelt)</t>
  </si>
  <si>
    <t>2,1127269     (Achtung! über Regression ermittelt)</t>
  </si>
  <si>
    <t>Regression zwei E-Schirme: 0,6309667787931+1,0688639869481ln(x)</t>
  </si>
  <si>
    <t>Durchlässigkeit für Globalstrahlung (D)</t>
  </si>
  <si>
    <t>Freilandglobalstrahlung (qsf in W/mW)</t>
  </si>
  <si>
    <t>ns (Faktor Umsetzung Strahlung in Wärme)</t>
  </si>
  <si>
    <t>U'*Hüllfläche Venlo Gesamt*(Mittlere Solltemperatur (Tag oder Nacht) - Außentemperatur(aktuell durch API)) - (GWH-Fläche*Strahlungsdurchlässigkeit(D)*Freilandglobalstrahlung (qsf in W/m2)* ns (Faktor Umsetzung Strahlung in Wärme))</t>
  </si>
  <si>
    <t>Tag</t>
  </si>
  <si>
    <t>Nacht</t>
  </si>
  <si>
    <t>Nach Sonnenuntergang, vor Sonnenaufgang (durch API)</t>
  </si>
  <si>
    <t>Nach Sonnenaufgang, vor Sonnenuntergang (durch API)</t>
  </si>
  <si>
    <t>Energieträger (Wärme)</t>
  </si>
  <si>
    <t>Energieverbrauch Wärme Gesamt</t>
  </si>
  <si>
    <t>Energieverbrauch Erdgas + Energieverbrauch Heizöl + Energieverbrauch Steinkohle + Energieverbrauch Braunkohle + Energieverbrauch Hackschnitzel + Energieverbrauch Biogas + Energieverbrauch Geothermie</t>
  </si>
  <si>
    <t>Erdgas: m3 und/oder kWh; Heizöl: Liter und oder kWh; Steinkohle: kg und/oder kWh; Braunkohle: kg und/oder kWh; Hackschnitzel: kg und/oder kWh; Biogas: m3 und/oder kWh; Geothermie: kWh</t>
  </si>
  <si>
    <t>Welche Mengen der verschiedenen Energieträger wurden in der Kulturdauer verbrauch, bzw. welche Wärmemengen wurden dadurch produziert (falls Daten vorhanden)?</t>
  </si>
  <si>
    <t>m3*10,4/1,1268*Äquivalent</t>
  </si>
  <si>
    <t>Liter*0,85*11,87*Äquivalent</t>
  </si>
  <si>
    <t>kg*3,5*Äquivalent</t>
  </si>
  <si>
    <t>m3*5,0/1,1268*Äquivalent</t>
  </si>
  <si>
    <t>kWh*Äquivalent</t>
  </si>
  <si>
    <t>kg*8,06*Äquivalent</t>
  </si>
  <si>
    <t>kg*4,17*Äquivalent</t>
  </si>
  <si>
    <t>Deutscher Strommix Stromverbrauch</t>
  </si>
  <si>
    <t>Ökostrom (Durschnitt Deutschland)</t>
  </si>
  <si>
    <t>Photovoltaik</t>
  </si>
  <si>
    <t>Windenergie (Land)</t>
  </si>
  <si>
    <t>Windenergie (See)</t>
  </si>
  <si>
    <t>Wasserkraft</t>
  </si>
  <si>
    <t>Tiefengeothermie</t>
  </si>
  <si>
    <t>Biomethan</t>
  </si>
  <si>
    <t xml:space="preserve"> (kg/kWh)</t>
  </si>
  <si>
    <t>Stromverbrauch Belichtung</t>
  </si>
  <si>
    <t>Stromverbrauch Gesamt CO2</t>
  </si>
  <si>
    <t>kWh Deutscher Strommix/Stromverbrauch Gesamt kWh*entsprechendes Äquivalent + kWh Ökostrom/Stromverbrauch Gesamt kWh*entsprechendes Äquivalent + kWh PhotovoltaikStromverbrauch Gesamt kWh*entsprechendes Äquivalent + kWh Windenergie Land/Stromverbrauch Gesamt kWh*entsprechendes Äquivalent + kWh Windenergie See/Stromverbrauch Gesamt kWh*entsprechendes Äquivalent + kWh Wasserkraft/Stromverbrauch Gesamt kWh*entsprechendes Äquivalent + kWh Tiefengeothermie/Stromverbrauch Gesamt kWh*entsprechendes Äquivalent + kWh Biomethan/Stromverbrauch Gesamt kWh*entsprechendes Äquivalent + kWh BHKW/Stromverbrauch Gesamt kWh*entsprechendes Äquivalent</t>
  </si>
  <si>
    <t>Durchschnitt Strom CO2/kWh</t>
  </si>
  <si>
    <t>Deutscher Strommix Stromverbrauch + Ökostrom (Durchschnitt Deutschland) + Photovoltaik + Windenergie (Land) + Windenergie (See) + Wasserkraft + Tiefengeothermie + Biomethan + BHKW + Strom Belichtung CO2</t>
  </si>
  <si>
    <t>Hilfswerte zur Berechnung</t>
  </si>
  <si>
    <t>CO2-Zudosierung Gesamt</t>
  </si>
  <si>
    <t>Technisches CO2</t>
  </si>
  <si>
    <t>CO2 aus BHKW</t>
  </si>
  <si>
    <t>kg*Äquivalent + m3*Äquivalent</t>
  </si>
  <si>
    <t>Technisches CO2 + BHKW-CO2</t>
  </si>
  <si>
    <t>Düngemittel (vereinfacht)</t>
  </si>
  <si>
    <t>Düngemittel insgesamt</t>
  </si>
  <si>
    <t>Düngemittel</t>
  </si>
  <si>
    <t>Düngemittel (vereinfacht) + Düngemittel (detailliert)</t>
  </si>
  <si>
    <t>Düngemittel (vereinfacht) insgesamt</t>
  </si>
  <si>
    <t>kg*Äquivalent</t>
  </si>
  <si>
    <t>Addierung aller Werte</t>
  </si>
  <si>
    <t>Düngemittel (detailliert)</t>
  </si>
  <si>
    <t>Düngemittel (detailliert) insgesamt</t>
  </si>
  <si>
    <t>PSM (Pflanzenschutzmittel)</t>
  </si>
  <si>
    <t>PSM Insgesamt</t>
  </si>
  <si>
    <t>Fungizide + Insektizide</t>
  </si>
  <si>
    <t>Nützlinge insgesamt</t>
  </si>
  <si>
    <t>Menge*Äquivalent</t>
  </si>
  <si>
    <t>Reihengesamtlänge * 0,15*2 + Reihengesamtlänge *0,11 + Reihengesamtlänge * 2 * (0,15*,11)</t>
  </si>
  <si>
    <t>Folienfläche Growbags</t>
  </si>
  <si>
    <t>CO2 Growbagfolien</t>
  </si>
  <si>
    <t>Folienfläche Growbags * Faktor Gewicht pro m2 * Äquivalent</t>
  </si>
  <si>
    <t>Schnüre/Rankhilfen</t>
  </si>
  <si>
    <t>Schnüre Insgesamt</t>
  </si>
  <si>
    <t>Schnurlänge</t>
  </si>
  <si>
    <t>Schnurlänge pro Trieb * Triebanzahl (gesamt)</t>
  </si>
  <si>
    <t>CO2 Kunststoffschnur</t>
  </si>
  <si>
    <t>CO2 Juteschnur</t>
  </si>
  <si>
    <t>CO2 Sisalschnur</t>
  </si>
  <si>
    <t>CO2 Zelluloseschnur</t>
  </si>
  <si>
    <t>CO2 Andere nachhaltige Schnur</t>
  </si>
  <si>
    <t>CO2 Bambusstab</t>
  </si>
  <si>
    <t>Klipse</t>
  </si>
  <si>
    <t>CO2 Kunststoffschnur + CO2 Juteschnur + CO2 Zelluloseschnur + CO2 Andere nachhaltige Schnur + CO2 Bambusstab</t>
  </si>
  <si>
    <t xml:space="preserve">Klipse insgesamt </t>
  </si>
  <si>
    <t>Schnurgewicht (gesamt) * Äquivalent / Wiederverwendungen</t>
  </si>
  <si>
    <t>Anzahl Klipse</t>
  </si>
  <si>
    <t>entweder Gesamtmenge gegeben oder: Anzahl pro Trieb * Triebanzahl (gesamt)</t>
  </si>
  <si>
    <t>CO2 Kunsstoffklipse</t>
  </si>
  <si>
    <t>CO2 Metallklipse</t>
  </si>
  <si>
    <t>CO2 nachhaltige Klipse</t>
  </si>
  <si>
    <t>CO2 Kunsstoffklipse + CO2 Metallklipse + Co2 nachhaltige Klipse</t>
  </si>
  <si>
    <t>Anzahl Klipse * Faktor Gewicht pro Klip (materialspezifisch) * Äquivalent / Wiederverwendung</t>
  </si>
  <si>
    <t>Anzahl Klipse * Faktor Gewicht pro Klip (materialspezifisch) * Äquivalent  / Wiederverwendung</t>
  </si>
  <si>
    <t>Rispenbügel</t>
  </si>
  <si>
    <t xml:space="preserve">Rispenbügel insgesamt </t>
  </si>
  <si>
    <t>Anzahl Rispenbügel</t>
  </si>
  <si>
    <t>CO2 KunsstoffRispenbügel</t>
  </si>
  <si>
    <t>CO2 MetallRispenbügel</t>
  </si>
  <si>
    <t>CO2 nachhaltige Rispenbügel</t>
  </si>
  <si>
    <t>CO2 KunsstoffV + CO2 MetallRispenbügel + Co2 nachhaltige Rispenbügel</t>
  </si>
  <si>
    <t>Anzahl Rispenbügel * Faktor Gewicht pro Rispenbügel (materialspezifisch) * Äquivalent / Wiederverwendung</t>
  </si>
  <si>
    <t>Bewässerungsmaterialien</t>
  </si>
  <si>
    <t>Bewässerungsmaterialien insgesamt</t>
  </si>
  <si>
    <t>CO2 Bodensprenkler</t>
  </si>
  <si>
    <t>CO2 Handschlauch</t>
  </si>
  <si>
    <t>Wurzel(GWH-Fläche)*2,5*Faktor Gewicht * Äquivalent / Lebensdauer</t>
  </si>
  <si>
    <t>CO2 Tropfschläuche + CO2 Bodensprenkler + CO2 Handschlauch</t>
  </si>
  <si>
    <t>CO2 Bodenfolien</t>
  </si>
  <si>
    <t>Kulturfläche * Faktor Gewicht pro m2 * Äquivalent</t>
  </si>
  <si>
    <t>Sonstige Verbrauchsmaterialien insgesamt</t>
  </si>
  <si>
    <t>CO2 sonstige Folie</t>
  </si>
  <si>
    <t>CO2 sonstige Eisen</t>
  </si>
  <si>
    <t>CO2 sonstige Alluminium</t>
  </si>
  <si>
    <t>CO2 sonstige Kunststoff</t>
  </si>
  <si>
    <t>CO2 sonstige Holz</t>
  </si>
  <si>
    <t>CO2 sonstige Folie + CO2 sonstige Eisen + CO2 sonstige Alluminium + CO2 sonstige Kunststoff + CO2 sonstige Holz</t>
  </si>
  <si>
    <t>Jungpflanzen</t>
  </si>
  <si>
    <t>Verpackung</t>
  </si>
  <si>
    <t>Plastikverpackung</t>
  </si>
  <si>
    <t>kg * Äquivalent</t>
  </si>
  <si>
    <t>Kartonverpackung</t>
  </si>
  <si>
    <t>Transport</t>
  </si>
  <si>
    <t>Addierung der Werte</t>
  </si>
  <si>
    <t>direkte Gasverbrennung (im Dachraum)</t>
  </si>
  <si>
    <t>kg CO2/kg</t>
  </si>
  <si>
    <t xml:space="preserve"> kg CO2eq/kg CO2</t>
  </si>
  <si>
    <t>CO2 Tropfschläuche</t>
  </si>
  <si>
    <t>kg/m</t>
  </si>
  <si>
    <t>kg/m2</t>
  </si>
  <si>
    <t>CO2 sonstige Pappe</t>
  </si>
  <si>
    <t>Liter Diesel/100km</t>
  </si>
  <si>
    <t>Diesel</t>
  </si>
  <si>
    <t>kg CO2eq/l</t>
  </si>
  <si>
    <t>Daten</t>
  </si>
  <si>
    <t>Anzahl Reihen</t>
  </si>
  <si>
    <t>Kulturende-Kulturbeginn</t>
  </si>
  <si>
    <t>Wochen</t>
  </si>
  <si>
    <t>Anteil Kulturdauer an Nutzung</t>
  </si>
  <si>
    <t>Gewicht (kg/m)</t>
  </si>
  <si>
    <t>Äquivalent (kg CO2/kWh)</t>
  </si>
  <si>
    <t>Stromverbrauch gesamt</t>
  </si>
  <si>
    <t>Stromverrbauch allgemein + Belichtung</t>
  </si>
  <si>
    <t>Betriebsname</t>
  </si>
  <si>
    <t>Postleitzahl</t>
  </si>
  <si>
    <t>Baujahr</t>
  </si>
  <si>
    <t>Deutsches Norm GWH</t>
  </si>
  <si>
    <t xml:space="preserve">GWH-Art </t>
  </si>
  <si>
    <t>Doppelstegplatten</t>
  </si>
  <si>
    <t>Dreifachstegplatten</t>
  </si>
  <si>
    <t>Alter Bedachungsmaterial</t>
  </si>
  <si>
    <t>doppelt, aluminisert</t>
  </si>
  <si>
    <t>Alter E-Schirm</t>
  </si>
  <si>
    <t>GWH-Konstruktion</t>
  </si>
  <si>
    <t>Scheibenlänge</t>
  </si>
  <si>
    <t>Produktionstyp</t>
  </si>
  <si>
    <t>konventionell</t>
  </si>
  <si>
    <t>biologisch</t>
  </si>
  <si>
    <t>Reihenabstand (Rinnenabstand)</t>
  </si>
  <si>
    <t>Alter</t>
  </si>
  <si>
    <t>Jahreszahl</t>
  </si>
  <si>
    <t>0/1</t>
  </si>
  <si>
    <t>10 bis 30</t>
  </si>
  <si>
    <t>Reihenanzahl</t>
  </si>
  <si>
    <t>numerisch</t>
  </si>
  <si>
    <t>30 bis 100 Gramm (Cocktail)</t>
  </si>
  <si>
    <t>10 bis 30 Gramm (Snack)</t>
  </si>
  <si>
    <t>100 bis 150 Gramm (Rispen)</t>
  </si>
  <si>
    <t>&gt;150 Gramm (Fleisch)</t>
  </si>
  <si>
    <t>Kulturbegin</t>
  </si>
  <si>
    <t>KW</t>
  </si>
  <si>
    <t>Kulturende</t>
  </si>
  <si>
    <t>Anzahl Wochen</t>
  </si>
  <si>
    <t>Beginn</t>
  </si>
  <si>
    <t>Ende</t>
  </si>
  <si>
    <t>30 bis 100</t>
  </si>
  <si>
    <t xml:space="preserve">Ertrag </t>
  </si>
  <si>
    <t>siehe extra Blatt</t>
  </si>
  <si>
    <t>Temperatur</t>
  </si>
  <si>
    <t>Grad Celsius</t>
  </si>
  <si>
    <t>Feuchte</t>
  </si>
  <si>
    <t>aktive Entfeuchtung (ja/nein)</t>
  </si>
  <si>
    <t>Luftfeuchte</t>
  </si>
  <si>
    <t>%rLF</t>
  </si>
  <si>
    <t>m3</t>
  </si>
  <si>
    <t>Anteil (von Gasverbrauch)</t>
  </si>
  <si>
    <t>kg (Achtung: Umrechung von Tonnen ggf. nötig)</t>
  </si>
  <si>
    <t>Biogas (Biomethan)</t>
  </si>
  <si>
    <t>Nutzung ja/nein</t>
  </si>
  <si>
    <t>Fläche im GWH (reine Kultur)</t>
  </si>
  <si>
    <t>m2</t>
  </si>
  <si>
    <t>GWH-Wahl</t>
  </si>
  <si>
    <t>Betriebsstruktur</t>
  </si>
  <si>
    <t>GWH-Fläche Insgesamt</t>
  </si>
  <si>
    <t>Einheitliche Wärmeversorung? Ja/nein</t>
  </si>
  <si>
    <t>Jahr</t>
  </si>
  <si>
    <t>GWH Nummer/Name etc.  (Identifizierung)</t>
  </si>
  <si>
    <t>Stromverbrauch</t>
  </si>
  <si>
    <t>Verbrauch spezifisches GWH</t>
  </si>
  <si>
    <t>Verbrauch Betrieb Gesamt</t>
  </si>
  <si>
    <t>Ökostrom</t>
  </si>
  <si>
    <t>Wind (Land)</t>
  </si>
  <si>
    <t>Wind (See)</t>
  </si>
  <si>
    <t>im Stromverbrauch enthalten?</t>
  </si>
  <si>
    <t>Verbrauch Belichtung</t>
  </si>
  <si>
    <t>Anschlussleistung/Lampe</t>
  </si>
  <si>
    <t>Laufzeit pro Jahr</t>
  </si>
  <si>
    <t>direkte Gasverbrennung</t>
  </si>
  <si>
    <t>Menge (Gesamt)</t>
  </si>
  <si>
    <t>kg/m2/a</t>
  </si>
  <si>
    <t>PSM</t>
  </si>
  <si>
    <t>Völker</t>
  </si>
  <si>
    <t>Erzwespe</t>
  </si>
  <si>
    <t>Macrolophus</t>
  </si>
  <si>
    <t>Schlupfwespe</t>
  </si>
  <si>
    <t>Raubmilbe</t>
  </si>
  <si>
    <t>Gallmücke</t>
  </si>
  <si>
    <t>Florfliege</t>
  </si>
  <si>
    <t>Futter für Macrol.</t>
  </si>
  <si>
    <t>Andere</t>
  </si>
  <si>
    <t>Volumen</t>
  </si>
  <si>
    <t>Growbags ja/nein</t>
  </si>
  <si>
    <t>Pfl./Bag</t>
  </si>
  <si>
    <t>Edelstahl</t>
  </si>
  <si>
    <t>Länge je Trieb</t>
  </si>
  <si>
    <t>Gesamtmenge</t>
  </si>
  <si>
    <t>Anzahl je Trieb</t>
  </si>
  <si>
    <t>Bodenfolie ja/nein</t>
  </si>
  <si>
    <t>Nutzungsdauer (Jahre)</t>
  </si>
  <si>
    <t>Zukauf ja/nein</t>
  </si>
  <si>
    <t>Entfernung</t>
  </si>
  <si>
    <t>Verpackungsmaterial</t>
  </si>
  <si>
    <t>Karton</t>
  </si>
  <si>
    <t>Plastik</t>
  </si>
  <si>
    <t>Distanz (hin &amp; zurück)</t>
  </si>
  <si>
    <t>Ansprechpartner</t>
  </si>
  <si>
    <t>Allgemein</t>
  </si>
  <si>
    <t>GWH</t>
  </si>
  <si>
    <t>Zeitraum</t>
  </si>
  <si>
    <t xml:space="preserve">100 bis 150 </t>
  </si>
  <si>
    <t>Jahr 2018</t>
  </si>
  <si>
    <t>Jahr 2020</t>
  </si>
  <si>
    <t>Jahr 2022</t>
  </si>
  <si>
    <t>Jahr 2021</t>
  </si>
  <si>
    <t>Jahr 2019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</si>
  <si>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</si>
  <si>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</si>
  <si>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</si>
  <si>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</si>
  <si>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</si>
  <si>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</si>
  <si>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</si>
  <si>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</si>
  <si>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</si>
  <si>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</si>
  <si>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</si>
  <si>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</si>
  <si>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</si>
  <si>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</si>
  <si>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</si>
  <si>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</si>
  <si>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</si>
  <si>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</si>
  <si>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</si>
  <si>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</si>
  <si>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</si>
  <si>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</si>
  <si>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</si>
  <si>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</si>
  <si>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</si>
  <si>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</si>
  <si>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KW27</t>
  </si>
  <si>
    <t>KW28</t>
  </si>
  <si>
    <t>KW29</t>
  </si>
  <si>
    <t>KW30</t>
  </si>
  <si>
    <t>KW31</t>
  </si>
  <si>
    <t>KW32</t>
  </si>
  <si>
    <t>KW33</t>
  </si>
  <si>
    <t>KW34</t>
  </si>
  <si>
    <t>KW35</t>
  </si>
  <si>
    <t>KW36</t>
  </si>
  <si>
    <t>KW37</t>
  </si>
  <si>
    <t>KW38</t>
  </si>
  <si>
    <t>KW39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</si>
  <si>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</si>
  <si>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</si>
  <si>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</si>
  <si>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</si>
  <si>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</si>
  <si>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</si>
  <si>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</si>
  <si>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</si>
  <si>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</si>
  <si>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</si>
  <si>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</si>
  <si>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</si>
  <si>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</si>
  <si>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Monate (2021)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</si>
  <si>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</si>
  <si>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</si>
  <si>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</si>
  <si>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</si>
  <si>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</si>
  <si>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</si>
  <si>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</si>
  <si>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</si>
  <si>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</si>
  <si>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</si>
  <si>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</si>
  <si>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</si>
  <si>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KW (2021)</t>
  </si>
  <si>
    <t>Rottner Gemüse</t>
  </si>
  <si>
    <t>0&gt;ja 1&gt;nein!!!!!!</t>
  </si>
  <si>
    <t>Datum:</t>
  </si>
  <si>
    <t>Jahr:</t>
  </si>
  <si>
    <t>(Kulturdauer/(Kulturdauer+Nebenkulturdauer))</t>
  </si>
  <si>
    <t>Scheibenlänge*Länge*(Breite/Kappenbreite*2)</t>
  </si>
  <si>
    <t>Länge+Breite*2*Stehwandhöhe+((((Wurzel:Scheibenlänge^2-(Kappenbreite/2)^2)*Kappenbreite)/2)*(Breite/kappenbreite))</t>
  </si>
  <si>
    <t>Vorwegbreite</t>
  </si>
  <si>
    <t>Berechnung (Altersunabhängig)</t>
  </si>
  <si>
    <t>Berechnung (Altersabhängig)</t>
  </si>
  <si>
    <t>Alter Stehwandmaterial</t>
  </si>
  <si>
    <t>Spezifische Berechnung je nach Auswahl</t>
  </si>
  <si>
    <t>Zusätzlicher Maschineneinsatz (ZM) Diesel</t>
  </si>
  <si>
    <t xml:space="preserve">Verbrauch </t>
  </si>
  <si>
    <t>l/h</t>
  </si>
  <si>
    <t>Stunden pro Woche</t>
  </si>
  <si>
    <t>Stunden pro Jahr</t>
  </si>
  <si>
    <t>h</t>
  </si>
  <si>
    <t>ZM Diesel 2</t>
  </si>
  <si>
    <t>ZM Diesel 3</t>
  </si>
  <si>
    <t>Maschinenart</t>
  </si>
  <si>
    <t>Beschreibung</t>
  </si>
  <si>
    <t>Gabelstapler</t>
  </si>
  <si>
    <t>ZM Diesel 1</t>
  </si>
  <si>
    <t>Äquivalent (kg CO2/l)</t>
  </si>
  <si>
    <t>Liter pro TJ</t>
  </si>
  <si>
    <t>Funktionelle Einheit TJ</t>
  </si>
  <si>
    <t>CO2-Äquivalent pro TJ</t>
  </si>
  <si>
    <t>https://www.probas.umweltbundesamt.de/php/prozessdetails.php?id={5C5F79A1-3CFC-4CEE-80C5-72986840D900}</t>
  </si>
  <si>
    <t>Berechnung Verbrauch Gesamt</t>
  </si>
  <si>
    <t>Berechnung CO2 Gesamt</t>
  </si>
  <si>
    <t>Reihengesamtlänge*Gewicht pro Meter*jährlicher Materialfluss*Äquivalent</t>
  </si>
  <si>
    <t>GWH -Fläche (Gesamtfläche eines Hauses)</t>
  </si>
  <si>
    <t>Zusätzliches Heizsystem</t>
  </si>
  <si>
    <t>Vegetationsheizung</t>
  </si>
  <si>
    <t>Konvektionsheizung</t>
  </si>
  <si>
    <t>Auswahl "Vegetationsheizung"</t>
  </si>
  <si>
    <t>Wenn Alter&lt;15</t>
  </si>
  <si>
    <t>Auswahl "Konvektionsheizung"</t>
  </si>
  <si>
    <t>Alter Transportsystem</t>
  </si>
  <si>
    <t>Baujahr Transportsystem</t>
  </si>
  <si>
    <t>LDPE Folie Äqui</t>
  </si>
  <si>
    <t>Erdgas Heizung</t>
  </si>
  <si>
    <t>Gemis</t>
  </si>
  <si>
    <t>ProBas + Umrechnung</t>
  </si>
  <si>
    <t>UBA -- GEMIS 4.8 (IINAS, 2013), (Öko-Institut, 2012), (GZB, 2012)</t>
  </si>
  <si>
    <t>UBA - https://www.umweltbundesamt.de/themen/klima-energie/energieversorgung/strom-waermeversorgung-in-zahlen#Strommix</t>
  </si>
  <si>
    <t>UBA - Marktanalyse Ökostrom II</t>
  </si>
  <si>
    <t>UBA - Co2-Emissionsfaktoren für fossile Brennstoffehttps://www.umweltbundesamt.de/sites/default/files/medien/1968/publikationen/co2-emissionsfaktoren_fur_fossile_brennstoffe_korrektur.pdf</t>
  </si>
  <si>
    <t>kg/kWh</t>
  </si>
  <si>
    <t xml:space="preserve"> kg/kWh</t>
  </si>
  <si>
    <t xml:space="preserve"> kg CO2e/kWh</t>
  </si>
  <si>
    <t>kg/kg</t>
  </si>
  <si>
    <t>kg/l</t>
  </si>
  <si>
    <t>Konstruktion</t>
  </si>
  <si>
    <t>kg CO2e/ Stück / Jahr</t>
  </si>
  <si>
    <t>Gewicht Buisrailsystem</t>
  </si>
  <si>
    <t xml:space="preserve">Durchmesser: 51mm; Wanddicke: 2,25 mm; </t>
  </si>
  <si>
    <t>https://www-stigas-nl.translate.goog/agroarbo/glastuinbouw/buisrailsysteem/?_x_tr_sl=nl&amp;_x_tr_tl=de&amp;_x_tr_hl=de&amp;_x_tr_pto=wapp</t>
  </si>
  <si>
    <t>Alter Transportsystem&lt;20</t>
  </si>
  <si>
    <t>Fahrzeuge (über Wegelänge)</t>
  </si>
  <si>
    <t>Fahrzeuge (über Anzahl)</t>
  </si>
  <si>
    <t>Anzahl Fahrzeuge * Faktor * Äquivalent</t>
  </si>
  <si>
    <t>Buisrail Fahrzeuge (Stück)</t>
  </si>
  <si>
    <t>Buisrail Fahrzeuge (pro Strecke)</t>
  </si>
  <si>
    <t>Geothermie (oberflächennah)</t>
  </si>
  <si>
    <t>BHKW (Biomethan)</t>
  </si>
  <si>
    <t>kWh/m3</t>
  </si>
  <si>
    <t>kWh/Liter</t>
  </si>
  <si>
    <t>Anteil an Emissionen (%)</t>
  </si>
  <si>
    <t>Berechnung (mit Berücksichtung verschiedener Eingabearten -&gt; m3, kg, kWh; kWh bevorzugt)</t>
  </si>
  <si>
    <t>BHKW (Erdgas)</t>
  </si>
  <si>
    <t>BHKW-Anteil Erdgas</t>
  </si>
  <si>
    <t>BHKW-Anteil Biomethan</t>
  </si>
  <si>
    <t>Menge gesamt</t>
  </si>
  <si>
    <t>BHKW Menge Erdgas</t>
  </si>
  <si>
    <t>BHKW Menge Biomethan</t>
  </si>
  <si>
    <t>Anteil an kWh (%)</t>
  </si>
  <si>
    <t>Berechnung (mit Berücksichtung verschiedener Eingabearten -&gt; %, kWh; kWh bevorzugt)</t>
  </si>
  <si>
    <t>kWh (für das GWH)</t>
  </si>
  <si>
    <t>BHKW Biomethan</t>
  </si>
  <si>
    <t>BHKW Erdgas</t>
  </si>
  <si>
    <t>kWh Licht Berechnung</t>
  </si>
  <si>
    <t>Berechnung (inklusive Belichtung, falls vorhanden und nicht bereits inkludiert)</t>
  </si>
  <si>
    <t>Stromverbrauch Gesamt</t>
  </si>
  <si>
    <t>Stromverbrauch + Stromverbrauch Belichtung</t>
  </si>
  <si>
    <t>pro kWh</t>
  </si>
  <si>
    <t>Anteil an CO2-Menge</t>
  </si>
  <si>
    <t>Anteil an Emissionen</t>
  </si>
  <si>
    <t xml:space="preserve">Berechnung </t>
  </si>
  <si>
    <t>Menge (kg)</t>
  </si>
  <si>
    <t>Berechnung (abzüglich Doppeltzählung: BHKW)</t>
  </si>
  <si>
    <t>Anteil an Emissionen (abzüglich Doppelzählung)</t>
  </si>
  <si>
    <t>Äquivalent (kg CO2/kg CO2)</t>
  </si>
  <si>
    <t>Anteil an Dünge-kg-Menge</t>
  </si>
  <si>
    <t>(kg+Liter*Faktor(100))*Äquivalent</t>
  </si>
  <si>
    <t>Anteil an PSM-kg-Menge</t>
  </si>
  <si>
    <t>kg CO2eq/ Volk</t>
  </si>
  <si>
    <t>kg CO2eq/ Einheit</t>
  </si>
  <si>
    <t>pro KW:</t>
  </si>
  <si>
    <t>Anteil an Menge</t>
  </si>
  <si>
    <t>Äquivalent (kg CO2/Einheit)</t>
  </si>
  <si>
    <t>Pflanzbehälter</t>
  </si>
  <si>
    <t>Growbags (Folien)</t>
  </si>
  <si>
    <t>Foliengewicht pro m2</t>
  </si>
  <si>
    <t>Folienvolumen pro m2</t>
  </si>
  <si>
    <t>Dicke:</t>
  </si>
  <si>
    <t>m</t>
  </si>
  <si>
    <t>Dichte:</t>
  </si>
  <si>
    <t>kg/m3</t>
  </si>
  <si>
    <t>m3/m2</t>
  </si>
  <si>
    <t>Emission pro kWh</t>
  </si>
  <si>
    <t>Berechnung (abzüglich Doppeltzählung: Tiefengeothermie &amp; BHKW)</t>
  </si>
  <si>
    <t>Wegegesamtlänge*jährlicher Materialfluss*Äquivalent* Anteil Kulturdauer</t>
  </si>
  <si>
    <t>Reihengesamtlänge*Gewicht pro Meter*jährlicher Materialfluss*Äquivalent*Anteil Kulturdauer</t>
  </si>
  <si>
    <t>Länge *0,8*2*Gewicht pro Meter*jährlicher Materialfluss*Äquivalent*Anteil Kulturdauer</t>
  </si>
  <si>
    <t>kWh*Äquivalent*Anteil Kulturdauer</t>
  </si>
  <si>
    <t>Anschlussleistung pro Lampe*Laufzeit pro Tag*Anzahl der Lampen/1000*Anteil Kulturdauer</t>
  </si>
  <si>
    <t>Reihengesamtlänge*Breite Growbag (,2m)*2(oben und unten)+Reihengesamtlänge*0,11*2(beide Seiten)+Reihengesamtlänge/Länge Growbag (1m)*2*(0,15*0,11)*Faktor Gewicht pro m2</t>
  </si>
  <si>
    <t>Kübel</t>
  </si>
  <si>
    <t>PP Kunststoff (für Kübel)</t>
  </si>
  <si>
    <t>https://www.probas.umweltbundesamt.de/php/prozessdetails.php?id={109B44FC-3E16-4528-82FF-641E040D47DB}</t>
  </si>
  <si>
    <t xml:space="preserve"> kg CO2eq/kg</t>
  </si>
  <si>
    <t>jährlicher Materialfluss (kg/m/a)</t>
  </si>
  <si>
    <t>Verwendung Kübel/Töpfe (ja/nein)</t>
  </si>
  <si>
    <t>Anschaffungsjahr</t>
  </si>
  <si>
    <t>Kübel/Töpfe</t>
  </si>
  <si>
    <t>Volumen (m3)</t>
  </si>
  <si>
    <t>Wiederverwendungsdauer (Jahre)</t>
  </si>
  <si>
    <t>Verwendungsdauer (Jahre)</t>
  </si>
  <si>
    <t>Volumen pro Topf</t>
  </si>
  <si>
    <t>Jungpflanzen pro Topf</t>
  </si>
  <si>
    <t>Kübelberechnungen</t>
  </si>
  <si>
    <t>Gewicht:</t>
  </si>
  <si>
    <t>Liter:</t>
  </si>
  <si>
    <t>Gewicht Kübel pro Liter Funktion</t>
  </si>
  <si>
    <t>0,03x-0,0214</t>
  </si>
  <si>
    <t>Gewicht pro Kübel</t>
  </si>
  <si>
    <t>Gewicht pro Pflanze</t>
  </si>
  <si>
    <t>Ermittlung Gewicht pro Liter über Regression*Volumen/Anzahl Pflanzen pro Kübel*Gesamtanzahl Pflanzen</t>
  </si>
  <si>
    <t>Gewicht (kg)</t>
  </si>
  <si>
    <t>Pflanzabstand in der Reihe (Jungpflanzen)</t>
  </si>
  <si>
    <t>Gesamtanzahl Jungpflanzen</t>
  </si>
  <si>
    <t>Einzelreihenlänge</t>
  </si>
  <si>
    <t>Anzahl Reihen * Einzelreihenlänge</t>
  </si>
  <si>
    <t>(Anzahl Reihen-1) * Einzelreihenlänge</t>
  </si>
  <si>
    <t>Länge-Vorwegbreite</t>
  </si>
  <si>
    <t>Reihenanzahl (Sorte)*Reihenlänge/Pflanzabstand (Sorte)</t>
  </si>
  <si>
    <t>Anzahl Jungpflanzen (10-30g)</t>
  </si>
  <si>
    <t>Anzahl Jungpflanzen (30-100g)</t>
  </si>
  <si>
    <t>Anzahl Jungpflanzen (100-150g)</t>
  </si>
  <si>
    <t>Anzahl Jungpflanzen (&gt;150g)</t>
  </si>
  <si>
    <t>Addierung der einzelnen Jungpflanzenmengen</t>
  </si>
  <si>
    <t>Gesamtvolumen (m3)</t>
  </si>
  <si>
    <t>Gewicht Kokossubstrat</t>
  </si>
  <si>
    <t>Gewicht</t>
  </si>
  <si>
    <t>https://erdbeerportal.de/wp-content/uploads/2017/03/Brill_Infoblatt-A4-Growbag-D-2_2017.pdf</t>
  </si>
  <si>
    <t>Gewicht pro Liter</t>
  </si>
  <si>
    <t>kg pro m3</t>
  </si>
  <si>
    <t>kg CO2/m3</t>
  </si>
  <si>
    <t>Nachhaltiges Substrat</t>
  </si>
  <si>
    <t>https://klasmann-deilmann.com/de/produkte-loesungen/growbag/</t>
  </si>
  <si>
    <t>Volumen*Äquivalent</t>
  </si>
  <si>
    <t>Äquivalent (kg CO2/m3)</t>
  </si>
  <si>
    <t>Berechnung (Nutzungsdauer)</t>
  </si>
  <si>
    <t>Jungpflanzen-Substrat</t>
  </si>
  <si>
    <t>Jungpflanzen Transport</t>
  </si>
  <si>
    <t>Fläche Kühlauflieger</t>
  </si>
  <si>
    <t>Platzbedarf pro Pflanze</t>
  </si>
  <si>
    <t>Pflanzen pro Ebene</t>
  </si>
  <si>
    <t>Anzahl Pflanzen gesamt (3 Ebenen)</t>
  </si>
  <si>
    <t>Transport LKW 40t</t>
  </si>
  <si>
    <t>kg CO2/Tonnenkm</t>
  </si>
  <si>
    <t>Triebanzahl (10-30g)</t>
  </si>
  <si>
    <t>Triebanzahl (30-100g)</t>
  </si>
  <si>
    <t>Triebanzahl (100-150g)</t>
  </si>
  <si>
    <t>Triebanzahl (&gt;150g)</t>
  </si>
  <si>
    <t>Gesamttriebanzahl</t>
  </si>
  <si>
    <t>Anzahl Jungpflanzen (Sorte)*Anzahl Triebe (Sorte)</t>
  </si>
  <si>
    <t>Addierung der einzelnen Triebanzahlen</t>
  </si>
  <si>
    <t>Triebzahl (pro Pflanze am Kulturende)</t>
  </si>
  <si>
    <t>Kunststoffschnur</t>
  </si>
  <si>
    <t>Juteschnur</t>
  </si>
  <si>
    <t>Sisalschnur</t>
  </si>
  <si>
    <t>Zelluloseschnur</t>
  </si>
  <si>
    <t>Andere nachhaltige Schnur</t>
  </si>
  <si>
    <t>Schnurmaterialien</t>
  </si>
  <si>
    <t>Schnurgewichte kg pro m</t>
  </si>
  <si>
    <t>https://royalbrinkman.de/kulturwechsel/schnure-und-seile/melonenschnur/schnur-valent-twine-1-1000-weiss-6kg-952022265</t>
  </si>
  <si>
    <t>https://royalbrinkman.de/kulturwechsel/schnure-und-seile/juteschnur/juteschnur-5-drahtig-3kg-952019809</t>
  </si>
  <si>
    <t>https://www.bambushandel-conbam.de/Produkte/details/Bambusrohre-Tonkin</t>
  </si>
  <si>
    <t>Nutzungsdauer</t>
  </si>
  <si>
    <t>Materialien Klipse / Rispenbügel</t>
  </si>
  <si>
    <t>nachhaltige Variante</t>
  </si>
  <si>
    <t>Kunsstoff</t>
  </si>
  <si>
    <t>Klipsgewicht</t>
  </si>
  <si>
    <t>kg/Klips</t>
  </si>
  <si>
    <t>Rispenbügelgewicht</t>
  </si>
  <si>
    <t>kg/Bügel</t>
  </si>
  <si>
    <t>!!!!!entweder Gesamtmenge gegeben oder: Anzahl pro Trieb * Triebanzahl (100-150g)+Anzahl pro Trieb * Triebanzahl (&gt;150g)</t>
  </si>
  <si>
    <t>Wasser</t>
  </si>
  <si>
    <t>Schlauchmaterial</t>
  </si>
  <si>
    <t>Tropfschlauch</t>
  </si>
  <si>
    <t>Schlauchgewichte</t>
  </si>
  <si>
    <t>Material:</t>
  </si>
  <si>
    <t>PC</t>
  </si>
  <si>
    <t>Dichte</t>
  </si>
  <si>
    <t>g/cm3</t>
  </si>
  <si>
    <t>1,2 kg/dm3</t>
  </si>
  <si>
    <t>Durchmesser</t>
  </si>
  <si>
    <t>Dicke</t>
  </si>
  <si>
    <t>1mm</t>
  </si>
  <si>
    <t>4,6mm</t>
  </si>
  <si>
    <t>PVC</t>
  </si>
  <si>
    <t>(Reihengesamtlänge+Breite) * Faktor Gewicht * Äquivalent / Lebensdauer</t>
  </si>
  <si>
    <t>(Reihengesamtlänge / 3 +Breite) * Faktor Gewicht * Äquivalent / Lebensdauer</t>
  </si>
  <si>
    <t>Lebensdauer</t>
  </si>
  <si>
    <t>CO2 Bodengewebe</t>
  </si>
  <si>
    <t>Bodenmaterial</t>
  </si>
  <si>
    <t>Wenn gegeben, dann nehmen, sonst: GWH-Fläche-(Vorwegbreite*Breite)</t>
  </si>
  <si>
    <t>Bodengewebe</t>
  </si>
  <si>
    <t>kg*Äquivalent / Nutzungsdauer</t>
  </si>
  <si>
    <t>Verpackungsmaterialien</t>
  </si>
  <si>
    <t>Mahrwegsteigen</t>
  </si>
  <si>
    <t>Herstellung</t>
  </si>
  <si>
    <t>kg CO2eq</t>
  </si>
  <si>
    <t>Lebensende</t>
  </si>
  <si>
    <t>Gesamt</t>
  </si>
  <si>
    <t>Lebenserwartung</t>
  </si>
  <si>
    <t>Nutzungen</t>
  </si>
  <si>
    <t>https://www.stiftung-mehrweg.de/de/nachhaltigkeit/umweltrechner-2020</t>
  </si>
  <si>
    <t>Anzahl Nutzungen/Lebenserwartung(Nutzungen) * Äquivalent</t>
  </si>
  <si>
    <t>Mehrwegsteige (IFCO, EPS)</t>
  </si>
  <si>
    <t>Mehrwegsteigen (IFCO, EPS)</t>
  </si>
  <si>
    <t>Anzahl Nutzungen von Mehrwegsteigen (IFCO, EPS)</t>
  </si>
  <si>
    <t>Pappe</t>
  </si>
  <si>
    <t>Warentransport</t>
  </si>
  <si>
    <t>Transport (10-30g)</t>
  </si>
  <si>
    <t>Transport (30-100g)</t>
  </si>
  <si>
    <t>Transport (100-150g)</t>
  </si>
  <si>
    <t>Transport (&gt;150g)</t>
  </si>
  <si>
    <t>Jahresertrag</t>
  </si>
  <si>
    <t>kg CO2/kgkm</t>
  </si>
  <si>
    <t>Äquivalent (kg CO2/kgkm)</t>
  </si>
  <si>
    <t>Spezifische Berechnung je nach Auswahl Kultursystem &amp; nur bei konventionell</t>
  </si>
  <si>
    <t>CARBON-Berechnung</t>
  </si>
  <si>
    <t>Gewächshauskonstruktion</t>
  </si>
  <si>
    <t>Regenwasser</t>
  </si>
  <si>
    <t>Stadtwasser/Verbandswasser</t>
  </si>
  <si>
    <t>Tiefenwasser/Brunnenwasser</t>
  </si>
  <si>
    <t>Seewasser</t>
  </si>
  <si>
    <t>Wassernutzung</t>
  </si>
  <si>
    <t xml:space="preserve"> kg CO2eq/m3</t>
  </si>
  <si>
    <t xml:space="preserve"> kg CO2eq/m4</t>
  </si>
  <si>
    <t xml:space="preserve"> kg CO2eq/m5</t>
  </si>
  <si>
    <t xml:space="preserve"> kg CO2eq/m6</t>
  </si>
  <si>
    <t>Wassermenge (m3)*Äquivalent</t>
  </si>
  <si>
    <t>Menge (m3)</t>
  </si>
  <si>
    <t>Ergebnis</t>
  </si>
  <si>
    <t>t CO2eq</t>
  </si>
  <si>
    <t>Bestandteil</t>
  </si>
  <si>
    <t>E-Schirm</t>
  </si>
  <si>
    <t>Bodenabdeckung</t>
  </si>
  <si>
    <t>zus. Heizsystem</t>
  </si>
  <si>
    <t>Carbon Footprint Gesamt</t>
  </si>
  <si>
    <t>Bestandteile</t>
  </si>
  <si>
    <t>kg CO2 eq</t>
  </si>
  <si>
    <t>% Emissionen</t>
  </si>
  <si>
    <t>% Mengen</t>
  </si>
  <si>
    <t>kWh (Belichtung)</t>
  </si>
  <si>
    <t>kWh (Gesamt für das GWH)</t>
  </si>
  <si>
    <t>kg CO2eq/kWh</t>
  </si>
  <si>
    <t>Jungpflanzen-Transport</t>
  </si>
  <si>
    <t>Bügel</t>
  </si>
  <si>
    <t>Bewässerung</t>
  </si>
  <si>
    <t>Maschineneinsatz</t>
  </si>
  <si>
    <t>Wärmeteilung mit wieviel Fläche insgesamt? (wenn nicht "einheitliche Wärmeversorgung")</t>
  </si>
  <si>
    <t>Gesamtjungpflanzenanzahl/Jungpflanzen pro LKW*Gewicht pro Pflanze*Entfernung*Äquivalent</t>
  </si>
  <si>
    <t>Jahresertrag (Sorte)*Entfernung*Äquivalent</t>
  </si>
  <si>
    <t>Datenblatt zur Eingabe der vorhandenen Betriebsdaten</t>
  </si>
  <si>
    <t>Datenblatt zur Eingabe der Ertragsdaten</t>
  </si>
  <si>
    <t>Berechnung des CO2-Fußabdrucks</t>
  </si>
  <si>
    <t>Darstellung des CO2-Fußabdrucks (Gesamt)</t>
  </si>
  <si>
    <t>Darstellung CO2-FP pro kg</t>
  </si>
  <si>
    <t>bevorzugte Einheit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</si>
</sst>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49" fontId="0" fillId="0" borderId="0" xfId="0" applyNumberFormat="1" applyFill="1"/>
    <xf numFmtId="11" fontId="0" fillId="0" borderId="0" xfId="0" applyNumberFormat="1" applyFill="1"/>
    <xf numFmtId="0" fontId="0" fillId="0" borderId="0" xfId="0" applyNumberFormat="1" applyFill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0" fillId="7" borderId="0" xfId="0" applyFill="1" applyAlignment="1">
      <alignment horizontal="left" vertic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7" borderId="0" xfId="0" applyFill="1"/>
    <xf numFmtId="0" fontId="0" fillId="0" borderId="0" xfId="0" applyFont="1"/>
    <xf numFmtId="0" fontId="0" fillId="7" borderId="0" xfId="0" applyFont="1" applyFill="1"/>
    <xf numFmtId="0" fontId="0" fillId="8" borderId="0" xfId="0" applyFill="1"/>
    <xf numFmtId="0" fontId="0" fillId="9" borderId="0" xfId="0" applyFill="1"/>
    <xf numFmtId="0" fontId="1" fillId="8" borderId="0" xfId="0" applyFont="1" applyFill="1"/>
    <xf numFmtId="0" fontId="3" fillId="9" borderId="0" xfId="0" applyFont="1" applyFill="1"/>
    <xf numFmtId="0" fontId="0" fillId="9" borderId="1" xfId="0" applyFill="1" applyBorder="1"/>
    <xf numFmtId="0" fontId="0" fillId="9" borderId="0" xfId="0" applyFont="1" applyFill="1"/>
    <xf numFmtId="0" fontId="0" fillId="0" borderId="0" xfId="0" applyFont="1" applyFill="1"/>
    <xf numFmtId="0" fontId="1" fillId="3" borderId="0" xfId="0" applyFont="1" applyFill="1"/>
    <xf numFmtId="0" fontId="0" fillId="3" borderId="0" xfId="0" applyFill="1"/>
    <xf numFmtId="16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10" borderId="0" xfId="0" applyFill="1"/>
    <xf numFmtId="0" fontId="0" fillId="8" borderId="1" xfId="0" applyFill="1" applyBorder="1"/>
    <xf numFmtId="0" fontId="1" fillId="8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0" fontId="0" fillId="0" borderId="0" xfId="0" applyFill="1" applyBorder="1"/>
    <xf numFmtId="0" fontId="0" fillId="0" borderId="0" xfId="0" applyBorder="1"/>
    <xf numFmtId="164" fontId="0" fillId="0" borderId="0" xfId="0" applyNumberFormat="1" applyFill="1" applyBorder="1"/>
    <xf numFmtId="0" fontId="0" fillId="4" borderId="0" xfId="0" applyFill="1"/>
    <xf numFmtId="0" fontId="1" fillId="4" borderId="0" xfId="0" applyFont="1" applyFill="1"/>
    <xf numFmtId="0" fontId="2" fillId="7" borderId="0" xfId="0" applyFont="1" applyFill="1"/>
    <xf numFmtId="10" fontId="0" fillId="0" borderId="0" xfId="0" applyNumberFormat="1" applyFont="1"/>
    <xf numFmtId="10" fontId="0" fillId="0" borderId="0" xfId="0" applyNumberFormat="1"/>
    <xf numFmtId="10" fontId="1" fillId="8" borderId="0" xfId="0" applyNumberFormat="1" applyFont="1" applyFill="1"/>
    <xf numFmtId="0" fontId="1" fillId="0" borderId="0" xfId="0" applyFont="1" applyFill="1"/>
    <xf numFmtId="0" fontId="6" fillId="8" borderId="0" xfId="0" applyFont="1" applyFill="1"/>
    <xf numFmtId="0" fontId="4" fillId="8" borderId="0" xfId="0" applyFont="1" applyFill="1"/>
    <xf numFmtId="0" fontId="7" fillId="8" borderId="0" xfId="0" applyFont="1" applyFill="1"/>
    <xf numFmtId="0" fontId="8" fillId="0" borderId="0" xfId="2"/>
    <xf numFmtId="0" fontId="0" fillId="5" borderId="0" xfId="0" applyFill="1"/>
    <xf numFmtId="0" fontId="1" fillId="5" borderId="0" xfId="0" applyFont="1" applyFill="1"/>
    <xf numFmtId="0" fontId="1" fillId="11" borderId="0" xfId="0" applyFont="1" applyFill="1"/>
    <xf numFmtId="0" fontId="10" fillId="5" borderId="0" xfId="0" applyFont="1" applyFill="1"/>
    <xf numFmtId="0" fontId="9" fillId="11" borderId="0" xfId="0" applyFont="1" applyFill="1"/>
    <xf numFmtId="0" fontId="9" fillId="0" borderId="0" xfId="0" applyFont="1" applyFill="1"/>
    <xf numFmtId="0" fontId="0" fillId="0" borderId="1" xfId="0" applyFill="1" applyBorder="1"/>
    <xf numFmtId="1" fontId="0" fillId="0" borderId="0" xfId="0" applyNumberFormat="1"/>
    <xf numFmtId="165" fontId="0" fillId="0" borderId="0" xfId="1" applyNumberFormat="1" applyFont="1"/>
    <xf numFmtId="0" fontId="9" fillId="0" borderId="0" xfId="0" applyFont="1"/>
    <xf numFmtId="165" fontId="1" fillId="8" borderId="0" xfId="1" applyNumberFormat="1" applyFont="1" applyFill="1"/>
    <xf numFmtId="0" fontId="0" fillId="12" borderId="2" xfId="0" applyFont="1" applyFill="1" applyBorder="1"/>
    <xf numFmtId="0" fontId="0" fillId="12" borderId="2" xfId="0" applyFill="1" applyBorder="1"/>
    <xf numFmtId="0" fontId="0" fillId="12" borderId="2" xfId="0" applyNumberFormat="1" applyFill="1" applyBorder="1"/>
  </cellXfs>
  <cellStyles count="3">
    <cellStyle name="Komma" xfId="1" builtinId="3"/>
    <cellStyle name="Link" xfId="2" builtinId="8"/>
    <cellStyle name="Standard" xfId="0" builtinId="0"/>
  </cellStyles>
  <dxfs count="1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4" formatCode="0.00%"/>
    </dxf>
    <dxf>
      <numFmt numFmtId="14" formatCode="0.00%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Carbon Footprint</a:t>
            </a:r>
          </a:p>
          <a:p>
            <a:pPr>
              <a:defRPr/>
            </a:pPr>
            <a:r>
              <a:rPr lang="de-DE"/>
              <a:t>Gesamt</a:t>
            </a:r>
          </a:p>
        </c:rich>
      </c:tx>
      <c:layout>
        <c:manualLayout>
          <c:xMode val="edge"/>
          <c:yMode val="edge"/>
          <c:x val="0.65098600174978127"/>
          <c:y val="4.62962962962962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98-4CE7-8CB6-CB94064662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98-4CE7-8CB6-CB94064662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98-4CE7-8CB6-CB94064662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98-4CE7-8CB6-CB94064662E7}"/>
              </c:ext>
            </c:extLst>
          </c:dPt>
          <c:cat>
            <c:strRef>
              <c:f>Aufbereitung!$B$5:$B$8</c:f>
              <c:strCache>
                <c:ptCount val="4"/>
                <c:pt idx="0">
                  <c:v>Gewächshauskonstruktion</c:v>
                </c:pt>
                <c:pt idx="1">
                  <c:v>Energieverbrauch</c:v>
                </c:pt>
                <c:pt idx="2">
                  <c:v>Verbrauchsmittel</c:v>
                </c:pt>
                <c:pt idx="3">
                  <c:v>Verbrauchsmaterialien</c:v>
                </c:pt>
              </c:strCache>
            </c:strRef>
          </c:cat>
          <c:val>
            <c:numRef>
              <c:f>Aufbereitung!$C$5:$C$8</c:f>
              <c:numCache>
                <c:formatCode>_-* #,##0_-;\-* #,##0_-;_-* "-"??_-;_-@_-</c:formatCode>
                <c:ptCount val="4"/>
                <c:pt idx="0">
                  <c:v>5613.4293333333335</c:v>
                </c:pt>
                <c:pt idx="1">
                  <c:v>1043331972.1615211</c:v>
                </c:pt>
                <c:pt idx="2">
                  <c:v>42935.885999999999</c:v>
                </c:pt>
                <c:pt idx="3">
                  <c:v>8037816.4975541122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C-4113-8448-F49680FF6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CF</a:t>
            </a:r>
            <a:r>
              <a:rPr lang="de-DE" baseline="0"/>
              <a:t> Gewächshauskonstruktion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00-4AB9-A1ED-44FE254AC7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00-4AB9-A1ED-44FE254AC7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00-4AB9-A1ED-44FE254AC7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00-4AB9-A1ED-44FE254AC7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00-4AB9-A1ED-44FE254AC7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00-4AB9-A1ED-44FE254AC7B2}"/>
              </c:ext>
            </c:extLst>
          </c:dPt>
          <c:cat>
            <c:strRef>
              <c:f>Aufbereitung!$B$24:$B$29</c:f>
              <c:strCache>
                <c:ptCount val="6"/>
                <c:pt idx="0">
                  <c:v>Konstruktion</c:v>
                </c:pt>
                <c:pt idx="1">
                  <c:v>E-Schirm</c:v>
                </c:pt>
                <c:pt idx="2">
                  <c:v>Bodenabdeckung</c:v>
                </c:pt>
                <c:pt idx="3">
                  <c:v>Kultursystem</c:v>
                </c:pt>
                <c:pt idx="4">
                  <c:v>Transportsystem</c:v>
                </c:pt>
                <c:pt idx="5">
                  <c:v>zus. Heizsystem</c:v>
                </c:pt>
              </c:strCache>
            </c:strRef>
          </c:cat>
          <c:val>
            <c:numRef>
              <c:f>Aufbereitung!$C$24:$C$29</c:f>
              <c:numCache>
                <c:formatCode>General</c:formatCode>
                <c:ptCount val="6"/>
                <c:pt idx="0">
                  <c:v>2911.8613333333333</c:v>
                </c:pt>
                <c:pt idx="1">
                  <c:v>0</c:v>
                </c:pt>
                <c:pt idx="2">
                  <c:v>0</c:v>
                </c:pt>
                <c:pt idx="3">
                  <c:v>2701.5679999999998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1-43E7-B751-52730C11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5C-4C9D-8D39-51FA03C3C8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5C-4C9D-8D39-51FA03C3C8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Aufbereitung!$B$41:$B$42</c:f>
              <c:strCache>
                <c:ptCount val="2"/>
                <c:pt idx="0">
                  <c:v>Energieträger (Wärme)</c:v>
                </c:pt>
                <c:pt idx="1">
                  <c:v>Strom</c:v>
                </c:pt>
              </c:strCache>
            </c:strRef>
          </c:cat>
          <c:val>
            <c:numRef>
              <c:f>Aufbereitung!$C$41:$C$42</c:f>
              <c:numCache>
                <c:formatCode>General</c:formatCode>
                <c:ptCount val="2"/>
                <c:pt idx="0">
                  <c:v>1043328103.2103955</c:v>
                </c:pt>
                <c:pt idx="1">
                  <c:v>3868.9511256000001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2-46DD-9669-07922E6913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30-421F-8152-4EE3882918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30-421F-8152-4EE3882918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30-421F-8152-4EE3882918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30-421F-8152-4EE3882918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30-421F-8152-4EE3882918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30-421F-8152-4EE38829183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430-421F-8152-4EE38829183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430-421F-8152-4EE38829183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430-421F-8152-4EE38829183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430-421F-8152-4EE3882918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Aufbereitung!$E$48:$E$57</c:f>
              <c:strCache>
                <c:ptCount val="10"/>
                <c:pt idx="0">
                  <c:v>Erdgas</c:v>
                </c:pt>
                <c:pt idx="1">
                  <c:v>Biogas</c:v>
                </c:pt>
                <c:pt idx="2">
                  <c:v>Heizöl</c:v>
                </c:pt>
                <c:pt idx="3">
                  <c:v>Steinkohle</c:v>
                </c:pt>
                <c:pt idx="4">
                  <c:v>Braunkohle</c:v>
                </c:pt>
                <c:pt idx="5">
                  <c:v>Hackschnitzel</c:v>
                </c:pt>
                <c:pt idx="6">
                  <c:v>Geothermie (oberflächennah)</c:v>
                </c:pt>
                <c:pt idx="7">
                  <c:v>Tiefengeothermie</c:v>
                </c:pt>
                <c:pt idx="8">
                  <c:v>BHKW (Erdgas)</c:v>
                </c:pt>
                <c:pt idx="9">
                  <c:v>BHKW (Biomethan)</c:v>
                </c:pt>
              </c:strCache>
            </c:strRef>
          </c:cat>
          <c:val>
            <c:numRef>
              <c:f>Aufbereitung!$F$48:$F$57</c:f>
              <c:numCache>
                <c:formatCode>0</c:formatCode>
                <c:ptCount val="10"/>
                <c:pt idx="0">
                  <c:v>2.3258785942492013</c:v>
                </c:pt>
                <c:pt idx="1">
                  <c:v>1.3569999999999998</c:v>
                </c:pt>
                <c:pt idx="2">
                  <c:v>3523.016005284524</c:v>
                </c:pt>
                <c:pt idx="3">
                  <c:v>689.13</c:v>
                </c:pt>
                <c:pt idx="4">
                  <c:v>60.715200000000003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884549520.7667731</c:v>
                </c:pt>
                <c:pt idx="9">
                  <c:v>158774298.89953852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A-4EAE-B576-5B4451D2342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Aufbereitung!$F$63</c:f>
              <c:strCache>
                <c:ptCount val="1"/>
                <c:pt idx="0">
                  <c:v>kg CO2 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Aufbereitung!$E$64:$E$73</c:f>
              <c:strCache>
                <c:ptCount val="10"/>
                <c:pt idx="0">
                  <c:v>Deutscher Strommix Stromverbrauch</c:v>
                </c:pt>
                <c:pt idx="1">
                  <c:v>Ökostrom (Durschnitt Deutschland)</c:v>
                </c:pt>
                <c:pt idx="2">
                  <c:v>Photovoltaik</c:v>
                </c:pt>
                <c:pt idx="3">
                  <c:v>Windenergie (Land)</c:v>
                </c:pt>
                <c:pt idx="4">
                  <c:v>Windenergie (See)</c:v>
                </c:pt>
                <c:pt idx="5">
                  <c:v>Wasserkraft</c:v>
                </c:pt>
                <c:pt idx="6">
                  <c:v>Tiefengeothermie</c:v>
                </c:pt>
                <c:pt idx="7">
                  <c:v>BHKW Biomethan</c:v>
                </c:pt>
                <c:pt idx="8">
                  <c:v>BHKW Erdgas</c:v>
                </c:pt>
                <c:pt idx="9">
                  <c:v>Diesel</c:v>
                </c:pt>
              </c:strCache>
            </c:strRef>
          </c:cat>
          <c:val>
            <c:numRef>
              <c:f>Aufbereitung!$F$64:$F$73</c:f>
              <c:numCache>
                <c:formatCode>General</c:formatCode>
                <c:ptCount val="10"/>
                <c:pt idx="0">
                  <c:v>3409.4581052631579</c:v>
                </c:pt>
                <c:pt idx="1">
                  <c:v>204.93303646315795</c:v>
                </c:pt>
                <c:pt idx="2">
                  <c:v>254.55998387368425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6-4035-98CB-A1091B18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3316088"/>
        <c:axId val="5933141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Aufbereitung!$G$63</c15:sqref>
                        </c15:formulaRef>
                      </c:ext>
                    </c:extLst>
                    <c:strCache>
                      <c:ptCount val="1"/>
                      <c:pt idx="0">
                        <c:v>% Emissionen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Aufbereitung!$E$64:$E$73</c15:sqref>
                        </c15:formulaRef>
                      </c:ext>
                    </c:extLst>
                    <c:strCache>
                      <c:ptCount val="10"/>
                      <c:pt idx="0">
                        <c:v>Deutscher Strommix Stromverbrauch</c:v>
                      </c:pt>
                      <c:pt idx="1">
                        <c:v>Ökostrom (Durschnitt Deutschland)</c:v>
                      </c:pt>
                      <c:pt idx="2">
                        <c:v>Photovoltaik</c:v>
                      </c:pt>
                      <c:pt idx="3">
                        <c:v>Windenergie (Land)</c:v>
                      </c:pt>
                      <c:pt idx="4">
                        <c:v>Windenergie (See)</c:v>
                      </c:pt>
                      <c:pt idx="5">
                        <c:v>Wasserkraft</c:v>
                      </c:pt>
                      <c:pt idx="6">
                        <c:v>Tiefengeothermie</c:v>
                      </c:pt>
                      <c:pt idx="7">
                        <c:v>BHKW Biomethan</c:v>
                      </c:pt>
                      <c:pt idx="8">
                        <c:v>BHKW Erdgas</c:v>
                      </c:pt>
                      <c:pt idx="9">
                        <c:v>Diesel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Aufbereitung!$G$64:$G$73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0.88123576508979973</c:v>
                      </c:pt>
                      <c:pt idx="1">
                        <c:v>5.2968628915253294E-2</c:v>
                      </c:pt>
                      <c:pt idx="2">
                        <c:v>6.5795605994946979E-2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6A6-4035-98CB-A1091B188A5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Aufbereitung!$H$63</c:f>
              <c:strCache>
                <c:ptCount val="1"/>
                <c:pt idx="0">
                  <c:v>% Mengen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Aufbereitung!$E$64:$E$73</c:f>
              <c:strCache>
                <c:ptCount val="10"/>
                <c:pt idx="0">
                  <c:v>Deutscher Strommix Stromverbrauch</c:v>
                </c:pt>
                <c:pt idx="1">
                  <c:v>Ökostrom (Durschnitt Deutschland)</c:v>
                </c:pt>
                <c:pt idx="2">
                  <c:v>Photovoltaik</c:v>
                </c:pt>
                <c:pt idx="3">
                  <c:v>Windenergie (Land)</c:v>
                </c:pt>
                <c:pt idx="4">
                  <c:v>Windenergie (See)</c:v>
                </c:pt>
                <c:pt idx="5">
                  <c:v>Wasserkraft</c:v>
                </c:pt>
                <c:pt idx="6">
                  <c:v>Tiefengeothermie</c:v>
                </c:pt>
                <c:pt idx="7">
                  <c:v>BHKW Biomethan</c:v>
                </c:pt>
                <c:pt idx="8">
                  <c:v>BHKW Erdgas</c:v>
                </c:pt>
                <c:pt idx="9">
                  <c:v>Diesel</c:v>
                </c:pt>
              </c:strCache>
            </c:strRef>
          </c:cat>
          <c:val>
            <c:numRef>
              <c:f>Aufbereitung!$H$64:$H$73</c:f>
              <c:numCache>
                <c:formatCode>0.00%</c:formatCode>
                <c:ptCount val="10"/>
                <c:pt idx="0">
                  <c:v>0.35087719298245618</c:v>
                </c:pt>
                <c:pt idx="1">
                  <c:v>0.4210526315789474</c:v>
                </c:pt>
                <c:pt idx="2">
                  <c:v>0.22807017543859651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6-4035-98CB-A1091B188A5E}"/>
            </c:ext>
          </c:extLst>
        </c:ser>
        <c:ser>
          <c:idx val="3"/>
          <c:order val="3"/>
          <c:tx>
            <c:strRef>
              <c:f>Aufbereitung!$I$63</c:f>
              <c:strCache>
                <c:ptCount val="1"/>
                <c:pt idx="0">
                  <c:v>kg CO2eq/kWh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Aufbereitung!$E$64:$E$73</c:f>
              <c:strCache>
                <c:ptCount val="10"/>
                <c:pt idx="0">
                  <c:v>Deutscher Strommix Stromverbrauch</c:v>
                </c:pt>
                <c:pt idx="1">
                  <c:v>Ökostrom (Durschnitt Deutschland)</c:v>
                </c:pt>
                <c:pt idx="2">
                  <c:v>Photovoltaik</c:v>
                </c:pt>
                <c:pt idx="3">
                  <c:v>Windenergie (Land)</c:v>
                </c:pt>
                <c:pt idx="4">
                  <c:v>Windenergie (See)</c:v>
                </c:pt>
                <c:pt idx="5">
                  <c:v>Wasserkraft</c:v>
                </c:pt>
                <c:pt idx="6">
                  <c:v>Tiefengeothermie</c:v>
                </c:pt>
                <c:pt idx="7">
                  <c:v>BHKW Biomethan</c:v>
                </c:pt>
                <c:pt idx="8">
                  <c:v>BHKW Erdgas</c:v>
                </c:pt>
                <c:pt idx="9">
                  <c:v>Diesel</c:v>
                </c:pt>
              </c:strCache>
            </c:strRef>
          </c:cat>
          <c:val>
            <c:numRef>
              <c:f>Aufbereitung!$I$64:$I$73</c:f>
              <c:numCache>
                <c:formatCode>General</c:formatCode>
                <c:ptCount val="10"/>
                <c:pt idx="0">
                  <c:v>0.48499999999999999</c:v>
                </c:pt>
                <c:pt idx="1">
                  <c:v>2.9152000000000008E-2</c:v>
                </c:pt>
                <c:pt idx="2">
                  <c:v>3.6211500000000008E-2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A6-4035-98CB-A1091B18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824120"/>
        <c:axId val="627819856"/>
      </c:lineChart>
      <c:catAx>
        <c:axId val="59331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314120"/>
        <c:crosses val="autoZero"/>
        <c:auto val="1"/>
        <c:lblAlgn val="ctr"/>
        <c:lblOffset val="100"/>
        <c:noMultiLvlLbl val="0"/>
      </c:catAx>
      <c:valAx>
        <c:axId val="59331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316088"/>
        <c:crosses val="autoZero"/>
        <c:crossBetween val="between"/>
      </c:valAx>
      <c:valAx>
        <c:axId val="6278198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824120"/>
        <c:crosses val="max"/>
        <c:crossBetween val="between"/>
      </c:valAx>
      <c:catAx>
        <c:axId val="627824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81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 Verbrauchsmittel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Aufbereitung!$C$80</c:f>
              <c:strCache>
                <c:ptCount val="1"/>
                <c:pt idx="0">
                  <c:v>kg CO2 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Aufbereitung!$B$81:$B$84</c:f>
              <c:strCache>
                <c:ptCount val="4"/>
                <c:pt idx="0">
                  <c:v>CO2-Zudosierung</c:v>
                </c:pt>
                <c:pt idx="1">
                  <c:v>Düngemittel</c:v>
                </c:pt>
                <c:pt idx="2">
                  <c:v>PSM</c:v>
                </c:pt>
                <c:pt idx="3">
                  <c:v>Nützlinge</c:v>
                </c:pt>
              </c:strCache>
            </c:strRef>
          </c:cat>
          <c:val>
            <c:numRef>
              <c:f>Aufbereitung!$C$81:$C$84</c:f>
              <c:numCache>
                <c:formatCode>General</c:formatCode>
                <c:ptCount val="4"/>
                <c:pt idx="0">
                  <c:v>83.495999999999995</c:v>
                </c:pt>
                <c:pt idx="1">
                  <c:v>27735.39</c:v>
                </c:pt>
                <c:pt idx="2">
                  <c:v>14377</c:v>
                </c:pt>
                <c:pt idx="3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5-4B51-ACE5-381FDFE1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511592"/>
        <c:axId val="591510608"/>
      </c:barChart>
      <c:catAx>
        <c:axId val="59151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510608"/>
        <c:crosses val="autoZero"/>
        <c:auto val="1"/>
        <c:lblAlgn val="ctr"/>
        <c:lblOffset val="100"/>
        <c:noMultiLvlLbl val="0"/>
      </c:catAx>
      <c:valAx>
        <c:axId val="5915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kg CO2 eq</a:t>
                </a:r>
                <a:endParaRPr lang="de-DE" sz="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51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'Andere Berechnungen'!$D$42</c:f>
              <c:strCache>
                <c:ptCount val="1"/>
                <c:pt idx="0">
                  <c:v>Gewicht: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'Andere Berechnungen'!$E$41:$H$41</c:f>
              <c:numCache>
                <c:formatCode>General</c:formatCode>
                <c:ptCount val="4"/>
                <c:pt idx="0">
                  <c:v>3.5</c:v>
                </c:pt>
                <c:pt idx="1">
                  <c:v>5.7</c:v>
                </c:pt>
                <c:pt idx="2">
                  <c:v>7</c:v>
                </c:pt>
                <c:pt idx="3">
                  <c:v>11</c:v>
                </c:pt>
              </c:numCache>
            </c:numRef>
          </c:xVal>
          <c:yVal>
            <c:numRef>
              <c:f>'Andere Berechnungen'!$E$42:$H$42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0.16</c:v>
                </c:pt>
                <c:pt idx="2">
                  <c:v>0.2</c:v>
                </c:pt>
                <c:pt idx="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E-494E-AB52-8642383E4495}"/>
            </c:ext>
          </c:extLst>
        </c:ser>
        <c:ser>
          <c:idx val="1"/>
          <c:order val="1"/>
          <c:tx>
            <c:strRef>
              <c:f>'Andere Berechnungen'!$D$41</c:f>
              <c:strCache>
                <c:ptCount val="1"/>
                <c:pt idx="0">
                  <c:v>Liter: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'Andere Berechnungen'!$E$41:$H$41</c:f>
              <c:numCache>
                <c:formatCode>General</c:formatCode>
                <c:ptCount val="4"/>
                <c:pt idx="0">
                  <c:v>3.5</c:v>
                </c:pt>
                <c:pt idx="1">
                  <c:v>5.7</c:v>
                </c:pt>
                <c:pt idx="2">
                  <c:v>7</c:v>
                </c:pt>
                <c:pt idx="3">
                  <c:v>11</c:v>
                </c:pt>
              </c:numCache>
            </c:numRef>
          </c:xVal>
          <c:yVal>
            <c:numRef>
              <c:f>'Andere Berechnungen'!$E$42:$H$42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0.16</c:v>
                </c:pt>
                <c:pt idx="2">
                  <c:v>0.2</c:v>
                </c:pt>
                <c:pt idx="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E-494E-AB52-8642383E4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66200"/>
        <c:axId val="585569152"/>
      </c:scatterChart>
      <c:valAx>
        <c:axId val="5855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569152"/>
        <c:crosses val="autoZero"/>
        <c:crossBetween val="midCat"/>
      </c:valAx>
      <c:valAx>
        <c:axId val="5855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5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cid:image001.png@01D876C3.41EE82C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1</xdr:row>
      <xdr:rowOff>123825</xdr:rowOff>
    </xdr:from>
    <xdr:to>
      <xdr:col>10</xdr:col>
      <xdr:colOff>90487</xdr:colOff>
      <xdr:row>17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119062</xdr:colOff>
      <xdr:row>18</xdr:row>
      <xdr:rowOff>171450</xdr:rowOff>
    </xdr:from>
    <xdr:to>
      <xdr:col>10</xdr:col>
      <xdr:colOff>119062</xdr:colOff>
      <xdr:row>35</xdr:row>
      <xdr:rowOff>57150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35</xdr:row>
      <xdr:rowOff>114300</xdr:rowOff>
    </xdr:from>
    <xdr:to>
      <xdr:col>8</xdr:col>
      <xdr:colOff>342900</xdr:colOff>
      <xdr:row>44</xdr:row>
      <xdr:rowOff>38100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44</xdr:row>
      <xdr:rowOff>104775</xdr:rowOff>
    </xdr:from>
    <xdr:to>
      <xdr:col>13</xdr:col>
      <xdr:colOff>28575</xdr:colOff>
      <xdr:row>59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271462</xdr:colOff>
      <xdr:row>60</xdr:row>
      <xdr:rowOff>57150</xdr:rowOff>
    </xdr:from>
    <xdr:to>
      <xdr:col>15</xdr:col>
      <xdr:colOff>271462</xdr:colOff>
      <xdr:row>74</xdr:row>
      <xdr:rowOff>123825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404812</xdr:colOff>
      <xdr:row>75</xdr:row>
      <xdr:rowOff>19050</xdr:rowOff>
    </xdr:from>
    <xdr:to>
      <xdr:col>7</xdr:col>
      <xdr:colOff>828675</xdr:colOff>
      <xdr:row>88</xdr:row>
      <xdr:rowOff>47625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7</xdr:row>
      <xdr:rowOff>161925</xdr:rowOff>
    </xdr:from>
    <xdr:to>
      <xdr:col>7</xdr:col>
      <xdr:colOff>57150</xdr:colOff>
      <xdr:row>10</xdr:row>
      <xdr:rowOff>104775</xdr:rowOff>
    </xdr:to>
    <xdr:pic>
      <xdr:nvPicPr>
        <xdr:cNvPr id="2" name="Grafik 1" descr="cid:image001.png@01D876C3.41EE82C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1495425"/>
          <a:ext cx="33051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590549</xdr:colOff>
      <xdr:row>36</xdr:row>
      <xdr:rowOff>19050</xdr:rowOff>
    </xdr:from>
    <xdr:to>
      <xdr:col>13</xdr:col>
      <xdr:colOff>528636</xdr:colOff>
      <xdr:row>44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e3" displayName="Tabelle3" ref="B4:D9" totalsRowCount="1">
  <autoFilter ref="B4:D8"/>
  <tableColumns count="3">
    <tableColumn id="1" name="Kategorie" totalsRowLabel="Ergebnis"/>
    <tableColumn id="2" name="kg CO2eq" totalsRowFunction="sum" dataDxfId="18" totalsRowDxfId="17" dataCellStyle="Komma"/>
    <tableColumn id="3" name="%" dataDxfId="16" totalsRowDxfId="15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4" name="Tabelle4" displayName="Tabelle4" ref="B23:D30" totalsRowCount="1">
  <autoFilter ref="B23:D29"/>
  <tableColumns count="3">
    <tableColumn id="1" name="Bestandteil" totalsRowLabel="Ergebnis"/>
    <tableColumn id="2" name="kg CO2eq" totalsRowFunction="sum"/>
    <tableColumn id="3" name="%" dataDxfId="14" totalsRowDxfId="13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5" name="Tabelle5" displayName="Tabelle5" ref="B40:D43" totalsRowCount="1">
  <autoFilter ref="B40:D42"/>
  <tableColumns count="3">
    <tableColumn id="1" name="Bestandteile" totalsRowLabel="Ergebnis"/>
    <tableColumn id="2" name="kg CO2 eq" totalsRowFunction="sum">
      <calculatedColumnFormula>Kalkulation!M137</calculatedColumnFormula>
    </tableColumn>
    <tableColumn id="3" name="%" dataDxfId="12" totalsRowDxfId="11">
      <calculatedColumnFormula>C41/C38</calculatedColumnFormula>
    </tableColumn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6" name="Tabelle6" displayName="Tabelle6" ref="E47:G58" totalsRowCount="1">
  <autoFilter ref="E47:G57"/>
  <tableColumns count="3">
    <tableColumn id="1" name="Bestandteile" totalsRowLabel="Ergebnis" dataDxfId="10" totalsRowDxfId="9"/>
    <tableColumn id="2" name="kg CO2 eq" totalsRowFunction="sum" dataDxfId="8">
      <calculatedColumnFormula>Kalkulation!K126</calculatedColumnFormula>
    </tableColumn>
    <tableColumn id="3" name="%" dataDxfId="7" totalsRowDxfId="6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7" name="Tabelle7" displayName="Tabelle7" ref="E63:I74" totalsRowCount="1">
  <autoFilter ref="E63:I73"/>
  <tableColumns count="5">
    <tableColumn id="1" name="Bestandteile" totalsRowLabel="Ergebnis" dataDxfId="5" totalsRowDxfId="4"/>
    <tableColumn id="2" name="kg CO2 eq" totalsRowFunction="sum">
      <calculatedColumnFormula>Kalkulation!M139</calculatedColumnFormula>
    </tableColumn>
    <tableColumn id="3" name="% Emissionen" dataDxfId="3"/>
    <tableColumn id="4" name="% Mengen" dataDxfId="2">
      <calculatedColumnFormula>Kalkulation!I139</calculatedColumnFormula>
    </tableColumn>
    <tableColumn id="5" name="kg CO2eq/kWh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8" name="Tabelle8" displayName="Tabelle8" ref="B80:D85" totalsRowCount="1">
  <autoFilter ref="B80:D84"/>
  <tableColumns count="3">
    <tableColumn id="1" name="Bestandteile" totalsRowLabel="Ergebnis"/>
    <tableColumn id="2" name="kg CO2 eq" totalsRowFunction="sum"/>
    <tableColumn id="3" name="%" dataDxfId="1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klasmann-deilmann.com/de/produkte-loesungen/growba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zoomScale="70" zoomScaleNormal="70" workbookViewId="0">
      <selection activeCell="F64" sqref="F64"/>
    </sheetView>
  </sheetViews>
  <sheetFormatPr baseColWidth="10" defaultColWidth="11.28515625" defaultRowHeight="15" x14ac:dyDescent="0.25"/>
  <cols>
    <col min="1" max="1" width="22.28515625" style="2" customWidth="1"/>
    <col min="2" max="2" width="21" style="2" bestFit="1" customWidth="1"/>
    <col min="3" max="3" width="14.140625" style="2" bestFit="1" customWidth="1"/>
    <col min="4" max="4" width="13.7109375" style="2" customWidth="1"/>
    <col min="5" max="5" width="11.28515625" style="2"/>
    <col min="6" max="6" width="20" style="2" customWidth="1"/>
    <col min="7" max="7" width="15.85546875" style="2" customWidth="1"/>
    <col min="8" max="8" width="16.85546875" style="2" bestFit="1" customWidth="1"/>
    <col min="9" max="9" width="16.85546875" style="2" customWidth="1"/>
    <col min="10" max="10" width="11.28515625" style="2"/>
    <col min="11" max="11" width="12.7109375" style="2" customWidth="1"/>
    <col min="12" max="13" width="11.28515625" style="2"/>
    <col min="14" max="15" width="11.28515625" style="3"/>
    <col min="16" max="16" width="11.28515625" style="5"/>
    <col min="17" max="16384" width="11.28515625" style="3"/>
  </cols>
  <sheetData>
    <row r="1" spans="1:19" s="7" customFormat="1" x14ac:dyDescent="0.25">
      <c r="A1" s="6" t="s">
        <v>0</v>
      </c>
      <c r="B1" s="6" t="s">
        <v>7</v>
      </c>
      <c r="C1" s="6" t="s">
        <v>1</v>
      </c>
      <c r="D1" s="6" t="s">
        <v>230</v>
      </c>
      <c r="E1" s="6" t="s">
        <v>8</v>
      </c>
      <c r="F1" s="6" t="s">
        <v>231</v>
      </c>
      <c r="G1" s="6" t="s">
        <v>232</v>
      </c>
      <c r="H1" s="6" t="s">
        <v>9</v>
      </c>
      <c r="I1" s="6" t="s">
        <v>626</v>
      </c>
      <c r="J1" s="6" t="s">
        <v>6</v>
      </c>
      <c r="K1" s="6" t="s">
        <v>71</v>
      </c>
      <c r="L1" s="6" t="s">
        <v>215</v>
      </c>
      <c r="M1" s="6" t="s">
        <v>265</v>
      </c>
      <c r="N1" s="6" t="s">
        <v>39</v>
      </c>
      <c r="O1" s="7" t="s">
        <v>233</v>
      </c>
      <c r="P1" s="8" t="s">
        <v>289</v>
      </c>
      <c r="Q1" s="6" t="s">
        <v>86</v>
      </c>
      <c r="R1" s="7" t="s">
        <v>234</v>
      </c>
      <c r="S1" s="7" t="s">
        <v>235</v>
      </c>
    </row>
    <row r="2" spans="1:19" x14ac:dyDescent="0.25">
      <c r="A2" s="10" t="s">
        <v>2</v>
      </c>
      <c r="B2" s="11" t="s">
        <v>238</v>
      </c>
      <c r="C2" s="2" t="s">
        <v>3</v>
      </c>
      <c r="G2" s="2" t="s">
        <v>241</v>
      </c>
      <c r="H2" s="2" t="s">
        <v>11</v>
      </c>
      <c r="I2" s="2">
        <v>71735</v>
      </c>
      <c r="K2" s="2" t="s">
        <v>27</v>
      </c>
      <c r="P2" s="5" t="s">
        <v>290</v>
      </c>
    </row>
    <row r="3" spans="1:19" x14ac:dyDescent="0.25">
      <c r="A3" s="10" t="s">
        <v>4</v>
      </c>
      <c r="B3" s="11" t="s">
        <v>238</v>
      </c>
      <c r="C3" s="2" t="s">
        <v>5</v>
      </c>
      <c r="F3" s="2" t="s">
        <v>13</v>
      </c>
      <c r="G3" s="2" t="s">
        <v>244</v>
      </c>
      <c r="H3" s="2" t="s">
        <v>11</v>
      </c>
    </row>
    <row r="4" spans="1:19" x14ac:dyDescent="0.25">
      <c r="A4" s="10" t="s">
        <v>12</v>
      </c>
      <c r="B4" s="11" t="s">
        <v>238</v>
      </c>
      <c r="C4" s="2" t="s">
        <v>5</v>
      </c>
      <c r="F4" s="2" t="s">
        <v>375</v>
      </c>
      <c r="G4" s="2" t="s">
        <v>243</v>
      </c>
      <c r="H4" s="2" t="s">
        <v>11</v>
      </c>
      <c r="I4" s="2">
        <v>6</v>
      </c>
      <c r="J4" s="2" t="s">
        <v>16</v>
      </c>
    </row>
    <row r="5" spans="1:19" x14ac:dyDescent="0.25">
      <c r="A5" s="10" t="s">
        <v>17</v>
      </c>
      <c r="B5" s="11" t="s">
        <v>238</v>
      </c>
      <c r="C5" s="2" t="s">
        <v>5</v>
      </c>
      <c r="F5" s="2" t="s">
        <v>21</v>
      </c>
      <c r="G5" s="2" t="s">
        <v>17</v>
      </c>
      <c r="H5" s="2" t="s">
        <v>11</v>
      </c>
    </row>
    <row r="6" spans="1:19" x14ac:dyDescent="0.25">
      <c r="A6" s="10" t="s">
        <v>26</v>
      </c>
      <c r="B6" s="11" t="s">
        <v>238</v>
      </c>
      <c r="C6" s="2" t="s">
        <v>5</v>
      </c>
      <c r="F6" s="2" t="s">
        <v>18</v>
      </c>
      <c r="G6" s="2" t="s">
        <v>26</v>
      </c>
      <c r="H6" s="2" t="s">
        <v>11</v>
      </c>
      <c r="I6" s="2">
        <v>6</v>
      </c>
      <c r="J6" s="2" t="s">
        <v>16</v>
      </c>
    </row>
    <row r="7" spans="1:19" x14ac:dyDescent="0.25">
      <c r="A7" s="10" t="s">
        <v>28</v>
      </c>
      <c r="B7" s="11" t="s">
        <v>238</v>
      </c>
      <c r="C7" s="2" t="s">
        <v>5</v>
      </c>
      <c r="F7" s="2" t="s">
        <v>22</v>
      </c>
      <c r="G7" s="2" t="s">
        <v>242</v>
      </c>
      <c r="H7" s="2" t="s">
        <v>11</v>
      </c>
    </row>
    <row r="8" spans="1:19" x14ac:dyDescent="0.25">
      <c r="A8" s="10" t="s">
        <v>31</v>
      </c>
      <c r="B8" s="11" t="s">
        <v>238</v>
      </c>
      <c r="C8" s="2" t="s">
        <v>5</v>
      </c>
      <c r="F8" s="2" t="s">
        <v>33</v>
      </c>
      <c r="G8" s="2" t="s">
        <v>245</v>
      </c>
      <c r="H8" s="2" t="s">
        <v>11</v>
      </c>
    </row>
    <row r="9" spans="1:19" x14ac:dyDescent="0.25">
      <c r="A9" s="10" t="s">
        <v>425</v>
      </c>
      <c r="B9" s="11" t="s">
        <v>238</v>
      </c>
      <c r="C9" s="2" t="s">
        <v>3</v>
      </c>
      <c r="G9" s="2" t="s">
        <v>427</v>
      </c>
      <c r="H9" s="2" t="s">
        <v>11</v>
      </c>
      <c r="I9" s="2">
        <v>6</v>
      </c>
      <c r="J9" s="2" t="s">
        <v>16</v>
      </c>
    </row>
    <row r="10" spans="1:19" x14ac:dyDescent="0.25">
      <c r="A10" s="10" t="s">
        <v>34</v>
      </c>
      <c r="B10" s="11" t="s">
        <v>238</v>
      </c>
      <c r="C10" s="2" t="s">
        <v>3</v>
      </c>
      <c r="G10" s="2" t="s">
        <v>34</v>
      </c>
      <c r="H10" s="2" t="s">
        <v>11</v>
      </c>
      <c r="I10" s="2">
        <v>6.5</v>
      </c>
      <c r="J10" s="2" t="s">
        <v>38</v>
      </c>
      <c r="P10" s="5" t="s">
        <v>291</v>
      </c>
    </row>
    <row r="11" spans="1:19" x14ac:dyDescent="0.25">
      <c r="A11" s="10" t="s">
        <v>35</v>
      </c>
      <c r="B11" s="11" t="s">
        <v>238</v>
      </c>
      <c r="C11" s="2" t="s">
        <v>3</v>
      </c>
      <c r="G11" s="2" t="s">
        <v>35</v>
      </c>
      <c r="H11" s="2" t="s">
        <v>11</v>
      </c>
      <c r="I11" s="2">
        <v>200</v>
      </c>
      <c r="J11" s="2" t="s">
        <v>38</v>
      </c>
      <c r="N11" s="3" t="s">
        <v>40</v>
      </c>
    </row>
    <row r="12" spans="1:19" x14ac:dyDescent="0.25">
      <c r="A12" s="10" t="s">
        <v>36</v>
      </c>
      <c r="B12" s="11" t="s">
        <v>238</v>
      </c>
      <c r="C12" s="2" t="s">
        <v>3</v>
      </c>
      <c r="G12" s="2" t="s">
        <v>36</v>
      </c>
      <c r="H12" s="2" t="s">
        <v>11</v>
      </c>
      <c r="I12" s="2">
        <v>100</v>
      </c>
      <c r="J12" s="2" t="s">
        <v>38</v>
      </c>
      <c r="N12" s="3" t="s">
        <v>40</v>
      </c>
    </row>
    <row r="13" spans="1:19" x14ac:dyDescent="0.25">
      <c r="A13" s="10" t="s">
        <v>37</v>
      </c>
      <c r="B13" s="11" t="s">
        <v>238</v>
      </c>
      <c r="C13" s="2" t="s">
        <v>3</v>
      </c>
      <c r="G13" s="2" t="s">
        <v>37</v>
      </c>
      <c r="H13" s="2" t="s">
        <v>11</v>
      </c>
      <c r="I13" s="2">
        <v>4</v>
      </c>
      <c r="J13" s="2" t="s">
        <v>38</v>
      </c>
    </row>
    <row r="14" spans="1:19" x14ac:dyDescent="0.25">
      <c r="A14" s="10" t="s">
        <v>382</v>
      </c>
      <c r="B14" s="11" t="s">
        <v>238</v>
      </c>
      <c r="C14" s="2" t="s">
        <v>3</v>
      </c>
      <c r="G14" s="2" t="s">
        <v>382</v>
      </c>
      <c r="H14" s="2" t="s">
        <v>11</v>
      </c>
      <c r="I14" s="2">
        <v>2.5099999999999998</v>
      </c>
      <c r="J14" s="2" t="s">
        <v>38</v>
      </c>
    </row>
    <row r="15" spans="1:19" x14ac:dyDescent="0.25">
      <c r="A15" s="10" t="s">
        <v>41</v>
      </c>
      <c r="B15" s="11" t="s">
        <v>238</v>
      </c>
      <c r="C15" s="2" t="s">
        <v>5</v>
      </c>
      <c r="F15" s="2" t="s">
        <v>44</v>
      </c>
      <c r="G15" s="2" t="s">
        <v>246</v>
      </c>
      <c r="H15" s="2" t="s">
        <v>11</v>
      </c>
    </row>
    <row r="16" spans="1:19" x14ac:dyDescent="0.25">
      <c r="A16" s="10" t="s">
        <v>42</v>
      </c>
      <c r="B16" s="11" t="s">
        <v>238</v>
      </c>
      <c r="C16" s="2" t="s">
        <v>5</v>
      </c>
      <c r="F16" s="2" t="s">
        <v>435</v>
      </c>
      <c r="G16" s="2" t="s">
        <v>247</v>
      </c>
      <c r="H16" s="2" t="s">
        <v>11</v>
      </c>
    </row>
    <row r="17" spans="1:16" x14ac:dyDescent="0.25">
      <c r="A17" s="10" t="s">
        <v>438</v>
      </c>
      <c r="B17" s="11" t="s">
        <v>238</v>
      </c>
      <c r="C17" s="2" t="s">
        <v>3</v>
      </c>
      <c r="E17" s="2" t="s">
        <v>439</v>
      </c>
      <c r="G17" s="2" t="s">
        <v>440</v>
      </c>
      <c r="H17" s="2" t="s">
        <v>11</v>
      </c>
      <c r="I17" s="2">
        <v>6</v>
      </c>
      <c r="J17" s="2" t="s">
        <v>16</v>
      </c>
    </row>
    <row r="18" spans="1:16" x14ac:dyDescent="0.25">
      <c r="A18" s="10" t="s">
        <v>61</v>
      </c>
      <c r="B18" s="11" t="s">
        <v>238</v>
      </c>
      <c r="C18" s="2" t="s">
        <v>3</v>
      </c>
      <c r="G18" s="2" t="s">
        <v>442</v>
      </c>
      <c r="H18" s="2" t="s">
        <v>11</v>
      </c>
      <c r="I18" s="2">
        <v>1.6</v>
      </c>
      <c r="J18" s="2" t="s">
        <v>38</v>
      </c>
    </row>
    <row r="19" spans="1:16" x14ac:dyDescent="0.25">
      <c r="A19" s="10" t="s">
        <v>269</v>
      </c>
      <c r="B19" s="11" t="s">
        <v>238</v>
      </c>
      <c r="C19" s="2" t="s">
        <v>72</v>
      </c>
      <c r="D19" s="2" t="s">
        <v>147</v>
      </c>
      <c r="G19" s="2" t="s">
        <v>270</v>
      </c>
      <c r="H19" s="2" t="s">
        <v>11</v>
      </c>
      <c r="I19" s="2" t="s">
        <v>68</v>
      </c>
    </row>
    <row r="20" spans="1:16" x14ac:dyDescent="0.25">
      <c r="A20" s="13" t="s">
        <v>46</v>
      </c>
      <c r="B20" s="12" t="s">
        <v>239</v>
      </c>
      <c r="C20" s="2" t="s">
        <v>5</v>
      </c>
      <c r="F20" s="2" t="s">
        <v>47</v>
      </c>
      <c r="G20" s="2" t="s">
        <v>248</v>
      </c>
      <c r="H20" s="2" t="s">
        <v>11</v>
      </c>
      <c r="I20" s="23"/>
      <c r="J20" s="2" t="s">
        <v>51</v>
      </c>
      <c r="O20" s="3" t="s">
        <v>249</v>
      </c>
    </row>
    <row r="21" spans="1:16" x14ac:dyDescent="0.25">
      <c r="A21" s="10" t="s">
        <v>52</v>
      </c>
      <c r="B21" s="12" t="s">
        <v>239</v>
      </c>
      <c r="C21" s="2" t="s">
        <v>53</v>
      </c>
      <c r="G21" s="2" t="s">
        <v>250</v>
      </c>
      <c r="H21" s="2" t="s">
        <v>11</v>
      </c>
      <c r="I21" s="2">
        <v>20000</v>
      </c>
      <c r="J21" s="2" t="s">
        <v>54</v>
      </c>
    </row>
    <row r="22" spans="1:16" x14ac:dyDescent="0.25">
      <c r="A22" s="13" t="s">
        <v>57</v>
      </c>
      <c r="B22" s="12" t="s">
        <v>239</v>
      </c>
      <c r="C22" s="2" t="s">
        <v>53</v>
      </c>
      <c r="G22" s="2" t="s">
        <v>252</v>
      </c>
      <c r="H22" s="2" t="s">
        <v>11</v>
      </c>
      <c r="I22" s="2">
        <v>34</v>
      </c>
      <c r="J22" s="2" t="s">
        <v>55</v>
      </c>
      <c r="P22" s="5" t="s">
        <v>292</v>
      </c>
    </row>
    <row r="23" spans="1:16" x14ac:dyDescent="0.25">
      <c r="A23" s="13" t="s">
        <v>56</v>
      </c>
      <c r="B23" s="12" t="s">
        <v>239</v>
      </c>
      <c r="C23" s="2" t="s">
        <v>53</v>
      </c>
      <c r="G23" s="2" t="s">
        <v>251</v>
      </c>
      <c r="H23" s="2" t="s">
        <v>11</v>
      </c>
      <c r="I23" s="2">
        <v>30</v>
      </c>
      <c r="J23" s="2" t="s">
        <v>55</v>
      </c>
      <c r="P23" s="5" t="s">
        <v>292</v>
      </c>
    </row>
    <row r="24" spans="1:16" x14ac:dyDescent="0.25">
      <c r="A24" s="13" t="s">
        <v>357</v>
      </c>
      <c r="B24" s="12" t="s">
        <v>239</v>
      </c>
      <c r="C24" s="2" t="s">
        <v>72</v>
      </c>
      <c r="D24" s="2" t="s">
        <v>147</v>
      </c>
      <c r="G24" s="2" t="s">
        <v>362</v>
      </c>
      <c r="H24" s="2" t="s">
        <v>11</v>
      </c>
      <c r="I24" s="2" t="s">
        <v>11</v>
      </c>
    </row>
    <row r="25" spans="1:16" x14ac:dyDescent="0.25">
      <c r="A25" s="13" t="s">
        <v>358</v>
      </c>
      <c r="B25" s="12" t="s">
        <v>239</v>
      </c>
      <c r="C25" s="2" t="s">
        <v>3</v>
      </c>
      <c r="E25" s="2" t="s">
        <v>359</v>
      </c>
      <c r="G25" s="2" t="s">
        <v>361</v>
      </c>
      <c r="H25" s="2" t="s">
        <v>11</v>
      </c>
      <c r="J25" s="2" t="s">
        <v>360</v>
      </c>
    </row>
    <row r="26" spans="1:16" x14ac:dyDescent="0.25">
      <c r="A26" s="10" t="s">
        <v>58</v>
      </c>
      <c r="B26" s="12" t="s">
        <v>239</v>
      </c>
      <c r="C26" s="2" t="s">
        <v>72</v>
      </c>
      <c r="D26" s="2" t="s">
        <v>59</v>
      </c>
      <c r="E26" s="2" t="s">
        <v>10</v>
      </c>
      <c r="G26" s="2" t="s">
        <v>253</v>
      </c>
      <c r="H26" s="2" t="s">
        <v>11</v>
      </c>
      <c r="I26" s="23"/>
      <c r="J26" s="2" t="s">
        <v>59</v>
      </c>
      <c r="P26" s="5" t="s">
        <v>293</v>
      </c>
    </row>
    <row r="27" spans="1:16" x14ac:dyDescent="0.25">
      <c r="A27" s="10" t="s">
        <v>58</v>
      </c>
      <c r="B27" s="12" t="s">
        <v>239</v>
      </c>
      <c r="C27" s="2" t="s">
        <v>72</v>
      </c>
      <c r="D27" s="2" t="s">
        <v>60</v>
      </c>
      <c r="E27" s="2" t="s">
        <v>10</v>
      </c>
      <c r="G27" s="4" t="s">
        <v>255</v>
      </c>
      <c r="H27" s="2" t="s">
        <v>11</v>
      </c>
      <c r="I27" s="23"/>
      <c r="J27" s="2" t="s">
        <v>38</v>
      </c>
      <c r="K27" s="4" t="s">
        <v>254</v>
      </c>
      <c r="N27" s="2" t="s">
        <v>62</v>
      </c>
      <c r="P27" s="5" t="s">
        <v>294</v>
      </c>
    </row>
    <row r="28" spans="1:16" x14ac:dyDescent="0.25">
      <c r="A28" s="23" t="s">
        <v>58</v>
      </c>
      <c r="B28" s="12" t="s">
        <v>239</v>
      </c>
      <c r="C28" s="2" t="s">
        <v>72</v>
      </c>
      <c r="D28" s="2" t="s">
        <v>61</v>
      </c>
      <c r="E28" s="2" t="s">
        <v>10</v>
      </c>
      <c r="G28" s="4" t="s">
        <v>255</v>
      </c>
      <c r="H28" s="2" t="s">
        <v>11</v>
      </c>
      <c r="J28" s="2" t="s">
        <v>38</v>
      </c>
      <c r="K28" s="4" t="s">
        <v>254</v>
      </c>
      <c r="N28" s="2" t="s">
        <v>62</v>
      </c>
      <c r="P28" s="5" t="s">
        <v>294</v>
      </c>
    </row>
    <row r="29" spans="1:16" x14ac:dyDescent="0.25">
      <c r="A29" s="13" t="s">
        <v>63</v>
      </c>
      <c r="B29" s="12" t="s">
        <v>239</v>
      </c>
      <c r="C29" s="2" t="s">
        <v>72</v>
      </c>
      <c r="D29" s="2" t="s">
        <v>65</v>
      </c>
      <c r="E29" s="2" t="s">
        <v>10</v>
      </c>
      <c r="G29" s="2" t="s">
        <v>258</v>
      </c>
      <c r="H29" s="2" t="s">
        <v>11</v>
      </c>
      <c r="J29" s="2" t="s">
        <v>64</v>
      </c>
    </row>
    <row r="30" spans="1:16" x14ac:dyDescent="0.25">
      <c r="A30" s="13" t="s">
        <v>63</v>
      </c>
      <c r="B30" s="12" t="s">
        <v>239</v>
      </c>
      <c r="C30" s="2" t="s">
        <v>72</v>
      </c>
      <c r="D30" s="2" t="s">
        <v>66</v>
      </c>
      <c r="E30" s="2" t="s">
        <v>10</v>
      </c>
      <c r="G30" s="2" t="s">
        <v>259</v>
      </c>
      <c r="H30" s="2" t="s">
        <v>68</v>
      </c>
      <c r="J30" s="2" t="s">
        <v>69</v>
      </c>
      <c r="K30" s="2" t="s">
        <v>256</v>
      </c>
      <c r="L30" s="2" t="s">
        <v>262</v>
      </c>
      <c r="M30" s="2" t="s">
        <v>347</v>
      </c>
    </row>
    <row r="31" spans="1:16" x14ac:dyDescent="0.25">
      <c r="A31" s="13" t="s">
        <v>63</v>
      </c>
      <c r="B31" s="12" t="s">
        <v>239</v>
      </c>
      <c r="C31" s="2" t="s">
        <v>72</v>
      </c>
      <c r="D31" s="2" t="s">
        <v>67</v>
      </c>
      <c r="E31" s="2" t="s">
        <v>10</v>
      </c>
      <c r="G31" s="2" t="s">
        <v>260</v>
      </c>
      <c r="H31" s="2" t="s">
        <v>68</v>
      </c>
      <c r="J31" s="2" t="s">
        <v>70</v>
      </c>
      <c r="K31" s="2" t="s">
        <v>257</v>
      </c>
      <c r="L31" s="2" t="s">
        <v>262</v>
      </c>
      <c r="M31" s="2" t="s">
        <v>347</v>
      </c>
    </row>
    <row r="32" spans="1:16" x14ac:dyDescent="0.25">
      <c r="A32" s="10" t="s">
        <v>73</v>
      </c>
      <c r="B32" s="11" t="s">
        <v>240</v>
      </c>
      <c r="C32" s="2" t="s">
        <v>25</v>
      </c>
      <c r="F32" s="2" t="s">
        <v>75</v>
      </c>
      <c r="G32" s="2" t="s">
        <v>460</v>
      </c>
      <c r="H32" s="2" t="s">
        <v>11</v>
      </c>
      <c r="J32" s="2" t="s">
        <v>77</v>
      </c>
    </row>
    <row r="33" spans="1:18" x14ac:dyDescent="0.25">
      <c r="A33" s="13" t="s">
        <v>78</v>
      </c>
      <c r="B33" s="11" t="s">
        <v>240</v>
      </c>
      <c r="C33" s="2" t="s">
        <v>3</v>
      </c>
      <c r="G33" s="2" t="s">
        <v>264</v>
      </c>
      <c r="H33" s="2" t="s">
        <v>11</v>
      </c>
      <c r="I33" s="2">
        <v>20.6</v>
      </c>
      <c r="J33" s="2" t="s">
        <v>79</v>
      </c>
      <c r="P33" s="5" t="s">
        <v>295</v>
      </c>
    </row>
    <row r="34" spans="1:18" x14ac:dyDescent="0.25">
      <c r="A34" s="13" t="s">
        <v>80</v>
      </c>
      <c r="B34" s="11" t="s">
        <v>240</v>
      </c>
      <c r="C34" s="2" t="s">
        <v>3</v>
      </c>
      <c r="G34" s="2" t="s">
        <v>263</v>
      </c>
      <c r="H34" s="2" t="s">
        <v>11</v>
      </c>
      <c r="I34" s="2">
        <v>19.600000000000001</v>
      </c>
      <c r="J34" s="2" t="s">
        <v>79</v>
      </c>
      <c r="P34" s="5" t="s">
        <v>295</v>
      </c>
    </row>
    <row r="35" spans="1:18" x14ac:dyDescent="0.25">
      <c r="A35" s="13" t="s">
        <v>81</v>
      </c>
      <c r="B35" s="11" t="s">
        <v>240</v>
      </c>
      <c r="C35" s="2" t="s">
        <v>72</v>
      </c>
      <c r="D35" s="2" t="s">
        <v>68</v>
      </c>
      <c r="E35" s="2" t="s">
        <v>10</v>
      </c>
      <c r="G35" s="2" t="s">
        <v>84</v>
      </c>
      <c r="H35" s="2" t="s">
        <v>11</v>
      </c>
      <c r="I35" s="2">
        <v>80</v>
      </c>
      <c r="J35" s="2" t="s">
        <v>83</v>
      </c>
      <c r="P35" s="5" t="s">
        <v>296</v>
      </c>
    </row>
    <row r="36" spans="1:18" x14ac:dyDescent="0.25">
      <c r="A36" s="13" t="s">
        <v>81</v>
      </c>
      <c r="B36" s="11" t="s">
        <v>240</v>
      </c>
      <c r="C36" s="2" t="s">
        <v>72</v>
      </c>
      <c r="D36" s="2" t="s">
        <v>11</v>
      </c>
      <c r="E36" s="2" t="s">
        <v>10</v>
      </c>
      <c r="G36" s="2" t="s">
        <v>82</v>
      </c>
      <c r="H36" s="2" t="s">
        <v>11</v>
      </c>
      <c r="I36" s="2" t="s">
        <v>68</v>
      </c>
      <c r="P36" s="5" t="s">
        <v>296</v>
      </c>
    </row>
    <row r="37" spans="1:18" x14ac:dyDescent="0.25">
      <c r="A37" s="10" t="s">
        <v>272</v>
      </c>
      <c r="B37" s="11" t="s">
        <v>240</v>
      </c>
      <c r="C37" s="2" t="s">
        <v>3</v>
      </c>
      <c r="G37" s="2" t="s">
        <v>266</v>
      </c>
      <c r="H37" s="2" t="s">
        <v>11</v>
      </c>
      <c r="J37" s="2" t="s">
        <v>267</v>
      </c>
      <c r="P37" s="5" t="s">
        <v>297</v>
      </c>
    </row>
    <row r="38" spans="1:18" x14ac:dyDescent="0.25">
      <c r="A38" s="10" t="s">
        <v>273</v>
      </c>
      <c r="B38" s="11" t="s">
        <v>240</v>
      </c>
      <c r="C38" s="2" t="s">
        <v>3</v>
      </c>
      <c r="G38" s="2" t="s">
        <v>268</v>
      </c>
      <c r="H38" s="2" t="s">
        <v>11</v>
      </c>
      <c r="J38" s="2" t="s">
        <v>267</v>
      </c>
      <c r="P38" s="5" t="s">
        <v>297</v>
      </c>
    </row>
    <row r="39" spans="1:18" x14ac:dyDescent="0.25">
      <c r="A39" s="10" t="s">
        <v>274</v>
      </c>
      <c r="B39" s="11" t="s">
        <v>240</v>
      </c>
      <c r="C39" s="2" t="s">
        <v>3</v>
      </c>
      <c r="G39" s="2" t="s">
        <v>298</v>
      </c>
      <c r="H39" s="2" t="s">
        <v>11</v>
      </c>
      <c r="J39" s="2" t="s">
        <v>77</v>
      </c>
      <c r="P39" s="5" t="s">
        <v>299</v>
      </c>
    </row>
    <row r="40" spans="1:18" x14ac:dyDescent="0.25">
      <c r="A40" s="10" t="s">
        <v>275</v>
      </c>
      <c r="B40" s="11" t="s">
        <v>240</v>
      </c>
      <c r="C40" s="2" t="s">
        <v>3</v>
      </c>
      <c r="G40" s="2" t="s">
        <v>271</v>
      </c>
      <c r="H40" s="2" t="s">
        <v>11</v>
      </c>
      <c r="J40" s="2" t="s">
        <v>267</v>
      </c>
      <c r="P40" s="5" t="s">
        <v>297</v>
      </c>
    </row>
    <row r="41" spans="1:18" x14ac:dyDescent="0.25">
      <c r="A41" s="13" t="s">
        <v>87</v>
      </c>
      <c r="B41" s="12" t="s">
        <v>88</v>
      </c>
      <c r="C41" s="2" t="s">
        <v>96</v>
      </c>
      <c r="E41" s="2" t="s">
        <v>97</v>
      </c>
      <c r="F41" s="2" t="s">
        <v>89</v>
      </c>
      <c r="G41" s="2" t="s">
        <v>518</v>
      </c>
      <c r="H41" s="2" t="s">
        <v>68</v>
      </c>
      <c r="J41" s="2" t="s">
        <v>517</v>
      </c>
      <c r="R41" s="15"/>
    </row>
    <row r="42" spans="1:18" x14ac:dyDescent="0.25">
      <c r="A42" s="10" t="s">
        <v>100</v>
      </c>
      <c r="B42" s="12" t="s">
        <v>88</v>
      </c>
      <c r="C42" s="2" t="s">
        <v>3</v>
      </c>
      <c r="E42" s="2" t="s">
        <v>10</v>
      </c>
      <c r="G42" s="2" t="s">
        <v>101</v>
      </c>
      <c r="H42" s="2" t="s">
        <v>11</v>
      </c>
      <c r="J42" s="2" t="s">
        <v>102</v>
      </c>
      <c r="R42" s="15"/>
    </row>
    <row r="43" spans="1:18" x14ac:dyDescent="0.25">
      <c r="A43" s="10" t="s">
        <v>111</v>
      </c>
      <c r="B43" s="12" t="s">
        <v>88</v>
      </c>
      <c r="C43" s="2" t="s">
        <v>113</v>
      </c>
      <c r="E43" s="2" t="s">
        <v>25</v>
      </c>
      <c r="F43" s="2" t="s">
        <v>112</v>
      </c>
      <c r="G43" s="3" t="s">
        <v>277</v>
      </c>
      <c r="H43" s="2" t="s">
        <v>68</v>
      </c>
      <c r="J43" s="2" t="s">
        <v>102</v>
      </c>
      <c r="K43" s="2" t="s">
        <v>276</v>
      </c>
      <c r="R43" s="15"/>
    </row>
    <row r="44" spans="1:18" x14ac:dyDescent="0.25">
      <c r="A44" s="10" t="s">
        <v>104</v>
      </c>
      <c r="B44" s="12" t="s">
        <v>88</v>
      </c>
      <c r="C44" s="2" t="s">
        <v>72</v>
      </c>
      <c r="D44" s="2" t="s">
        <v>147</v>
      </c>
      <c r="E44" s="2" t="s">
        <v>25</v>
      </c>
      <c r="G44" s="2" t="s">
        <v>103</v>
      </c>
      <c r="H44" s="2" t="s">
        <v>11</v>
      </c>
      <c r="R44" s="15"/>
    </row>
    <row r="45" spans="1:18" x14ac:dyDescent="0.25">
      <c r="A45" s="10" t="s">
        <v>279</v>
      </c>
      <c r="B45" s="12" t="s">
        <v>88</v>
      </c>
      <c r="C45" s="2" t="s">
        <v>25</v>
      </c>
      <c r="D45" s="2" t="s">
        <v>147</v>
      </c>
      <c r="E45" s="2" t="s">
        <v>105</v>
      </c>
      <c r="G45" s="2" t="s">
        <v>278</v>
      </c>
      <c r="H45" s="2" t="s">
        <v>11</v>
      </c>
      <c r="R45" s="15"/>
    </row>
    <row r="46" spans="1:18" x14ac:dyDescent="0.25">
      <c r="A46" s="10" t="s">
        <v>280</v>
      </c>
      <c r="B46" s="12" t="s">
        <v>88</v>
      </c>
      <c r="C46" s="2" t="s">
        <v>3</v>
      </c>
      <c r="E46" s="2" t="s">
        <v>283</v>
      </c>
      <c r="G46" s="2" t="s">
        <v>106</v>
      </c>
      <c r="H46" s="2" t="s">
        <v>11</v>
      </c>
      <c r="J46" s="2" t="s">
        <v>110</v>
      </c>
      <c r="R46" s="15"/>
    </row>
    <row r="47" spans="1:18" x14ac:dyDescent="0.25">
      <c r="A47" s="10" t="s">
        <v>281</v>
      </c>
      <c r="B47" s="12" t="s">
        <v>88</v>
      </c>
      <c r="C47" s="2" t="s">
        <v>3</v>
      </c>
      <c r="E47" s="2" t="s">
        <v>283</v>
      </c>
      <c r="G47" s="2" t="s">
        <v>107</v>
      </c>
      <c r="H47" s="2" t="s">
        <v>11</v>
      </c>
      <c r="R47" s="15"/>
    </row>
    <row r="48" spans="1:18" x14ac:dyDescent="0.25">
      <c r="A48" s="10" t="s">
        <v>282</v>
      </c>
      <c r="B48" s="12" t="s">
        <v>88</v>
      </c>
      <c r="C48" s="2" t="s">
        <v>3</v>
      </c>
      <c r="E48" s="2" t="s">
        <v>283</v>
      </c>
      <c r="G48" s="2" t="s">
        <v>108</v>
      </c>
      <c r="H48" s="2" t="s">
        <v>11</v>
      </c>
      <c r="J48" s="2" t="s">
        <v>109</v>
      </c>
      <c r="P48" s="5" t="s">
        <v>300</v>
      </c>
    </row>
    <row r="49" spans="1:16" x14ac:dyDescent="0.25">
      <c r="A49" s="13" t="s">
        <v>115</v>
      </c>
      <c r="B49" s="11" t="s">
        <v>116</v>
      </c>
      <c r="C49" s="2" t="s">
        <v>3</v>
      </c>
      <c r="G49" s="2" t="s">
        <v>284</v>
      </c>
      <c r="H49" s="2" t="s">
        <v>11</v>
      </c>
      <c r="J49" s="2" t="s">
        <v>117</v>
      </c>
      <c r="K49" s="2" t="s">
        <v>285</v>
      </c>
    </row>
    <row r="50" spans="1:16" x14ac:dyDescent="0.25">
      <c r="A50" s="13" t="s">
        <v>115</v>
      </c>
      <c r="B50" s="11" t="s">
        <v>116</v>
      </c>
      <c r="C50" s="2" t="s">
        <v>3</v>
      </c>
      <c r="G50" s="2" t="s">
        <v>255</v>
      </c>
      <c r="H50" s="2" t="s">
        <v>11</v>
      </c>
      <c r="J50" s="2" t="s">
        <v>99</v>
      </c>
    </row>
    <row r="51" spans="1:16" x14ac:dyDescent="0.25">
      <c r="A51" s="13" t="s">
        <v>118</v>
      </c>
      <c r="B51" s="11" t="s">
        <v>116</v>
      </c>
      <c r="C51" s="2" t="s">
        <v>25</v>
      </c>
      <c r="E51" s="2" t="s">
        <v>119</v>
      </c>
      <c r="F51" s="2" t="s">
        <v>120</v>
      </c>
      <c r="H51" s="2" t="s">
        <v>11</v>
      </c>
    </row>
    <row r="52" spans="1:16" x14ac:dyDescent="0.25">
      <c r="A52" s="10" t="s">
        <v>141</v>
      </c>
      <c r="B52" s="11" t="s">
        <v>116</v>
      </c>
      <c r="C52" s="2" t="s">
        <v>113</v>
      </c>
      <c r="F52" s="2" t="s">
        <v>126</v>
      </c>
      <c r="H52" s="2" t="s">
        <v>68</v>
      </c>
      <c r="J52" s="2" t="s">
        <v>117</v>
      </c>
    </row>
    <row r="53" spans="1:16" x14ac:dyDescent="0.25">
      <c r="A53" s="10" t="s">
        <v>122</v>
      </c>
      <c r="B53" s="11" t="s">
        <v>116</v>
      </c>
      <c r="C53" s="2" t="s">
        <v>113</v>
      </c>
      <c r="F53" s="2" t="s">
        <v>127</v>
      </c>
      <c r="H53" s="2" t="s">
        <v>68</v>
      </c>
      <c r="J53" s="2" t="s">
        <v>117</v>
      </c>
    </row>
    <row r="54" spans="1:16" x14ac:dyDescent="0.25">
      <c r="A54" s="13" t="s">
        <v>142</v>
      </c>
      <c r="B54" s="11" t="s">
        <v>116</v>
      </c>
      <c r="C54" s="2" t="s">
        <v>3</v>
      </c>
      <c r="G54" s="2" t="s">
        <v>286</v>
      </c>
      <c r="H54" s="2" t="s">
        <v>68</v>
      </c>
      <c r="J54" s="2" t="s">
        <v>117</v>
      </c>
    </row>
    <row r="55" spans="1:16" x14ac:dyDescent="0.25">
      <c r="A55" s="13" t="s">
        <v>142</v>
      </c>
      <c r="B55" s="11" t="s">
        <v>116</v>
      </c>
      <c r="C55" s="2" t="s">
        <v>3</v>
      </c>
      <c r="H55" s="2" t="s">
        <v>68</v>
      </c>
      <c r="J55" s="2" t="s">
        <v>143</v>
      </c>
    </row>
    <row r="56" spans="1:16" x14ac:dyDescent="0.25">
      <c r="A56" s="13" t="s">
        <v>144</v>
      </c>
      <c r="B56" s="11" t="s">
        <v>116</v>
      </c>
      <c r="C56" s="2" t="s">
        <v>3</v>
      </c>
      <c r="G56" s="2" t="s">
        <v>287</v>
      </c>
      <c r="H56" s="2" t="s">
        <v>68</v>
      </c>
      <c r="J56" s="2" t="s">
        <v>117</v>
      </c>
    </row>
    <row r="57" spans="1:16" x14ac:dyDescent="0.25">
      <c r="A57" s="13" t="s">
        <v>144</v>
      </c>
      <c r="B57" s="11" t="s">
        <v>116</v>
      </c>
      <c r="C57" s="2" t="s">
        <v>3</v>
      </c>
      <c r="H57" s="2" t="s">
        <v>68</v>
      </c>
      <c r="J57" s="2" t="s">
        <v>143</v>
      </c>
    </row>
    <row r="58" spans="1:16" x14ac:dyDescent="0.25">
      <c r="A58" s="10" t="s">
        <v>220</v>
      </c>
      <c r="B58" s="11" t="s">
        <v>116</v>
      </c>
      <c r="C58" s="2" t="s">
        <v>25</v>
      </c>
      <c r="F58" s="2" t="s">
        <v>226</v>
      </c>
      <c r="G58" s="2" t="s">
        <v>288</v>
      </c>
      <c r="H58" s="2" t="s">
        <v>68</v>
      </c>
      <c r="J58" s="3"/>
    </row>
    <row r="59" spans="1:16" x14ac:dyDescent="0.25">
      <c r="A59" s="10" t="s">
        <v>228</v>
      </c>
      <c r="B59" s="11" t="s">
        <v>116</v>
      </c>
      <c r="C59" s="2" t="s">
        <v>199</v>
      </c>
      <c r="J59" s="14" t="s">
        <v>183</v>
      </c>
    </row>
    <row r="60" spans="1:16" x14ac:dyDescent="0.25">
      <c r="A60" s="13" t="s">
        <v>145</v>
      </c>
      <c r="B60" s="12" t="s">
        <v>146</v>
      </c>
      <c r="C60" s="2" t="s">
        <v>72</v>
      </c>
      <c r="D60" s="2" t="s">
        <v>147</v>
      </c>
      <c r="E60" s="2" t="s">
        <v>149</v>
      </c>
      <c r="G60" s="2" t="s">
        <v>148</v>
      </c>
      <c r="H60" s="2" t="s">
        <v>11</v>
      </c>
    </row>
    <row r="61" spans="1:16" x14ac:dyDescent="0.25">
      <c r="A61" s="13" t="s">
        <v>150</v>
      </c>
      <c r="B61" s="12" t="s">
        <v>146</v>
      </c>
      <c r="C61" s="2" t="s">
        <v>3</v>
      </c>
      <c r="E61" s="2" t="s">
        <v>151</v>
      </c>
      <c r="G61" s="2" t="s">
        <v>305</v>
      </c>
      <c r="H61" s="2" t="s">
        <v>11</v>
      </c>
      <c r="J61" s="14" t="s">
        <v>301</v>
      </c>
      <c r="K61" s="2" t="s">
        <v>302</v>
      </c>
      <c r="P61" s="5" t="s">
        <v>304</v>
      </c>
    </row>
    <row r="62" spans="1:16" x14ac:dyDescent="0.25">
      <c r="A62" s="13" t="s">
        <v>152</v>
      </c>
      <c r="B62" s="12" t="s">
        <v>146</v>
      </c>
      <c r="C62" s="2" t="s">
        <v>3</v>
      </c>
      <c r="E62" s="2" t="s">
        <v>151</v>
      </c>
      <c r="G62" s="2" t="s">
        <v>35</v>
      </c>
      <c r="H62" s="2" t="s">
        <v>11</v>
      </c>
      <c r="J62" s="2" t="s">
        <v>153</v>
      </c>
      <c r="P62" s="5" t="s">
        <v>304</v>
      </c>
    </row>
    <row r="63" spans="1:16" x14ac:dyDescent="0.25">
      <c r="A63" s="13" t="s">
        <v>154</v>
      </c>
      <c r="B63" s="12" t="s">
        <v>146</v>
      </c>
      <c r="C63" s="2" t="s">
        <v>3</v>
      </c>
      <c r="E63" s="2" t="s">
        <v>151</v>
      </c>
      <c r="G63" s="2" t="s">
        <v>154</v>
      </c>
      <c r="H63" s="2" t="s">
        <v>11</v>
      </c>
      <c r="J63" s="2" t="s">
        <v>303</v>
      </c>
      <c r="P63" s="5" t="s">
        <v>291</v>
      </c>
    </row>
    <row r="64" spans="1:16" x14ac:dyDescent="0.25">
      <c r="A64" s="13" t="s">
        <v>163</v>
      </c>
      <c r="B64" s="12" t="s">
        <v>146</v>
      </c>
      <c r="C64" s="2" t="s">
        <v>113</v>
      </c>
      <c r="E64" s="2" t="s">
        <v>151</v>
      </c>
      <c r="F64" s="2" t="s">
        <v>157</v>
      </c>
      <c r="G64" s="2" t="s">
        <v>306</v>
      </c>
      <c r="H64" s="2" t="s">
        <v>68</v>
      </c>
      <c r="J64" s="2" t="s">
        <v>161</v>
      </c>
      <c r="K64" s="2" t="s">
        <v>162</v>
      </c>
    </row>
    <row r="65" spans="1:12" x14ac:dyDescent="0.25">
      <c r="A65" s="10" t="s">
        <v>164</v>
      </c>
      <c r="B65" s="12" t="s">
        <v>146</v>
      </c>
      <c r="C65" s="2" t="s">
        <v>25</v>
      </c>
      <c r="F65" s="2" t="s">
        <v>166</v>
      </c>
      <c r="G65" s="2" t="s">
        <v>309</v>
      </c>
      <c r="H65" s="2" t="s">
        <v>11</v>
      </c>
    </row>
    <row r="66" spans="1:12" x14ac:dyDescent="0.25">
      <c r="A66" s="10" t="s">
        <v>174</v>
      </c>
      <c r="B66" s="12" t="s">
        <v>146</v>
      </c>
      <c r="C66" s="2" t="s">
        <v>3</v>
      </c>
      <c r="G66" s="2" t="s">
        <v>307</v>
      </c>
      <c r="H66" s="2" t="s">
        <v>11</v>
      </c>
      <c r="J66" s="2" t="s">
        <v>38</v>
      </c>
      <c r="K66" s="2" t="s">
        <v>175</v>
      </c>
      <c r="L66" s="2" t="s">
        <v>316</v>
      </c>
    </row>
    <row r="67" spans="1:12" x14ac:dyDescent="0.25">
      <c r="A67" s="10" t="s">
        <v>176</v>
      </c>
      <c r="B67" s="12" t="s">
        <v>146</v>
      </c>
      <c r="C67" s="2" t="s">
        <v>3</v>
      </c>
      <c r="G67" s="2" t="s">
        <v>308</v>
      </c>
      <c r="H67" s="2" t="s">
        <v>11</v>
      </c>
      <c r="J67" s="2" t="s">
        <v>16</v>
      </c>
      <c r="K67" s="2" t="s">
        <v>186</v>
      </c>
    </row>
    <row r="68" spans="1:12" x14ac:dyDescent="0.25">
      <c r="A68" s="13" t="s">
        <v>180</v>
      </c>
      <c r="B68" s="12" t="s">
        <v>146</v>
      </c>
      <c r="C68" s="2" t="s">
        <v>25</v>
      </c>
      <c r="F68" s="2" t="s">
        <v>166</v>
      </c>
      <c r="G68" s="2" t="s">
        <v>310</v>
      </c>
      <c r="H68" s="2" t="s">
        <v>11</v>
      </c>
    </row>
    <row r="69" spans="1:12" x14ac:dyDescent="0.25">
      <c r="A69" s="13" t="s">
        <v>181</v>
      </c>
      <c r="B69" s="12" t="s">
        <v>146</v>
      </c>
      <c r="C69" s="2" t="s">
        <v>3</v>
      </c>
      <c r="G69" s="2" t="s">
        <v>312</v>
      </c>
      <c r="H69" s="2" t="s">
        <v>11</v>
      </c>
      <c r="J69" s="2" t="s">
        <v>183</v>
      </c>
      <c r="K69" s="2" t="s">
        <v>184</v>
      </c>
    </row>
    <row r="70" spans="1:12" x14ac:dyDescent="0.25">
      <c r="A70" s="13" t="s">
        <v>182</v>
      </c>
      <c r="B70" s="12" t="s">
        <v>146</v>
      </c>
      <c r="C70" s="2" t="s">
        <v>3</v>
      </c>
      <c r="H70" s="2" t="s">
        <v>11</v>
      </c>
      <c r="J70" s="2" t="s">
        <v>183</v>
      </c>
      <c r="L70" s="2" t="s">
        <v>316</v>
      </c>
    </row>
    <row r="71" spans="1:12" x14ac:dyDescent="0.25">
      <c r="A71" s="13" t="s">
        <v>185</v>
      </c>
      <c r="B71" s="12" t="s">
        <v>146</v>
      </c>
      <c r="C71" s="2" t="s">
        <v>3</v>
      </c>
      <c r="G71" s="2" t="s">
        <v>308</v>
      </c>
      <c r="H71" s="2" t="s">
        <v>11</v>
      </c>
      <c r="J71" s="2" t="s">
        <v>16</v>
      </c>
      <c r="K71" s="2" t="s">
        <v>186</v>
      </c>
    </row>
    <row r="72" spans="1:12" x14ac:dyDescent="0.25">
      <c r="A72" s="10" t="s">
        <v>187</v>
      </c>
      <c r="B72" s="12" t="s">
        <v>146</v>
      </c>
      <c r="C72" s="2" t="s">
        <v>25</v>
      </c>
      <c r="F72" s="2" t="s">
        <v>166</v>
      </c>
      <c r="G72" s="2" t="s">
        <v>311</v>
      </c>
      <c r="H72" s="2" t="s">
        <v>11</v>
      </c>
    </row>
    <row r="73" spans="1:12" x14ac:dyDescent="0.25">
      <c r="A73" s="10" t="s">
        <v>188</v>
      </c>
      <c r="B73" s="12" t="s">
        <v>146</v>
      </c>
      <c r="C73" s="2" t="s">
        <v>3</v>
      </c>
      <c r="G73" s="2" t="s">
        <v>312</v>
      </c>
      <c r="H73" s="2" t="s">
        <v>11</v>
      </c>
      <c r="J73" s="2" t="s">
        <v>183</v>
      </c>
      <c r="K73" s="2" t="s">
        <v>184</v>
      </c>
      <c r="L73" s="2" t="s">
        <v>316</v>
      </c>
    </row>
    <row r="74" spans="1:12" x14ac:dyDescent="0.25">
      <c r="A74" s="10" t="s">
        <v>189</v>
      </c>
      <c r="B74" s="12" t="s">
        <v>146</v>
      </c>
      <c r="C74" s="2" t="s">
        <v>3</v>
      </c>
      <c r="H74" s="2" t="s">
        <v>11</v>
      </c>
      <c r="J74" s="2" t="s">
        <v>183</v>
      </c>
      <c r="L74" s="2" t="s">
        <v>316</v>
      </c>
    </row>
    <row r="75" spans="1:12" x14ac:dyDescent="0.25">
      <c r="A75" s="10" t="s">
        <v>190</v>
      </c>
      <c r="B75" s="12" t="s">
        <v>146</v>
      </c>
      <c r="C75" s="2" t="s">
        <v>3</v>
      </c>
      <c r="G75" s="2" t="s">
        <v>308</v>
      </c>
      <c r="H75" s="2" t="s">
        <v>11</v>
      </c>
      <c r="J75" s="2" t="s">
        <v>16</v>
      </c>
      <c r="K75" s="2" t="s">
        <v>186</v>
      </c>
    </row>
    <row r="76" spans="1:12" x14ac:dyDescent="0.25">
      <c r="A76" s="13" t="s">
        <v>216</v>
      </c>
      <c r="B76" s="12" t="s">
        <v>146</v>
      </c>
      <c r="C76" s="2" t="s">
        <v>25</v>
      </c>
      <c r="F76" s="2" t="s">
        <v>217</v>
      </c>
      <c r="H76" s="2" t="s">
        <v>11</v>
      </c>
    </row>
    <row r="77" spans="1:12" x14ac:dyDescent="0.25">
      <c r="A77" s="10" t="s">
        <v>191</v>
      </c>
      <c r="B77" s="12" t="s">
        <v>146</v>
      </c>
      <c r="C77" s="2" t="s">
        <v>25</v>
      </c>
      <c r="D77" s="2" t="s">
        <v>147</v>
      </c>
      <c r="G77" s="2" t="s">
        <v>313</v>
      </c>
      <c r="H77" s="2" t="s">
        <v>11</v>
      </c>
    </row>
    <row r="78" spans="1:12" x14ac:dyDescent="0.25">
      <c r="A78" s="10" t="s">
        <v>191</v>
      </c>
      <c r="B78" s="12" t="s">
        <v>146</v>
      </c>
      <c r="C78" s="2" t="s">
        <v>3</v>
      </c>
      <c r="E78" s="2" t="s">
        <v>315</v>
      </c>
      <c r="G78" s="2" t="s">
        <v>314</v>
      </c>
      <c r="H78" s="2" t="s">
        <v>11</v>
      </c>
      <c r="J78" s="2" t="s">
        <v>16</v>
      </c>
      <c r="K78" s="2" t="s">
        <v>186</v>
      </c>
    </row>
    <row r="79" spans="1:12" x14ac:dyDescent="0.25">
      <c r="A79" s="13" t="s">
        <v>196</v>
      </c>
      <c r="B79" s="12" t="s">
        <v>146</v>
      </c>
      <c r="C79" s="2" t="s">
        <v>113</v>
      </c>
      <c r="F79" s="2" t="s">
        <v>195</v>
      </c>
      <c r="G79" s="2" t="s">
        <v>317</v>
      </c>
      <c r="H79" s="2" t="s">
        <v>68</v>
      </c>
    </row>
    <row r="80" spans="1:12" x14ac:dyDescent="0.25">
      <c r="A80" s="13" t="s">
        <v>197</v>
      </c>
      <c r="B80" s="12" t="s">
        <v>146</v>
      </c>
      <c r="C80" s="2" t="s">
        <v>199</v>
      </c>
      <c r="G80" s="2" t="s">
        <v>318</v>
      </c>
      <c r="H80" s="2" t="s">
        <v>11</v>
      </c>
      <c r="J80" s="2" t="s">
        <v>117</v>
      </c>
      <c r="K80" s="2" t="s">
        <v>214</v>
      </c>
    </row>
    <row r="81" spans="1:12" x14ac:dyDescent="0.25">
      <c r="A81" s="13" t="s">
        <v>198</v>
      </c>
      <c r="B81" s="12" t="s">
        <v>146</v>
      </c>
      <c r="C81" s="2" t="s">
        <v>199</v>
      </c>
      <c r="G81" s="2" t="s">
        <v>319</v>
      </c>
      <c r="H81" s="2" t="s">
        <v>11</v>
      </c>
      <c r="J81" s="2" t="s">
        <v>16</v>
      </c>
      <c r="K81" s="2" t="s">
        <v>214</v>
      </c>
      <c r="L81" s="2" t="s">
        <v>186</v>
      </c>
    </row>
    <row r="82" spans="1:12" x14ac:dyDescent="0.25">
      <c r="A82" s="10" t="s">
        <v>200</v>
      </c>
      <c r="B82" s="12" t="s">
        <v>146</v>
      </c>
      <c r="C82" s="2" t="s">
        <v>72</v>
      </c>
      <c r="D82" s="2" t="s">
        <v>147</v>
      </c>
      <c r="G82" s="2" t="s">
        <v>320</v>
      </c>
      <c r="H82" s="2" t="s">
        <v>11</v>
      </c>
    </row>
    <row r="83" spans="1:12" x14ac:dyDescent="0.25">
      <c r="A83" s="10" t="s">
        <v>201</v>
      </c>
      <c r="B83" s="12" t="s">
        <v>146</v>
      </c>
      <c r="C83" s="2" t="s">
        <v>3</v>
      </c>
      <c r="E83" s="2" t="s">
        <v>204</v>
      </c>
      <c r="G83" s="2" t="s">
        <v>203</v>
      </c>
      <c r="H83" s="2" t="s">
        <v>11</v>
      </c>
      <c r="J83" s="2" t="s">
        <v>202</v>
      </c>
    </row>
    <row r="84" spans="1:12" x14ac:dyDescent="0.25">
      <c r="A84" s="13" t="s">
        <v>205</v>
      </c>
      <c r="B84" s="12" t="s">
        <v>146</v>
      </c>
      <c r="C84" s="2" t="s">
        <v>3</v>
      </c>
      <c r="G84" s="2" t="s">
        <v>206</v>
      </c>
      <c r="H84" s="2" t="s">
        <v>11</v>
      </c>
      <c r="J84" s="2" t="s">
        <v>117</v>
      </c>
    </row>
    <row r="85" spans="1:12" x14ac:dyDescent="0.25">
      <c r="A85" s="13" t="s">
        <v>208</v>
      </c>
      <c r="B85" s="12" t="s">
        <v>146</v>
      </c>
      <c r="C85" s="2" t="s">
        <v>3</v>
      </c>
      <c r="G85" s="2" t="s">
        <v>207</v>
      </c>
      <c r="H85" s="2" t="s">
        <v>11</v>
      </c>
      <c r="J85" s="2" t="s">
        <v>117</v>
      </c>
    </row>
    <row r="86" spans="1:12" x14ac:dyDescent="0.25">
      <c r="A86" s="10" t="s">
        <v>209</v>
      </c>
      <c r="B86" s="12" t="s">
        <v>146</v>
      </c>
      <c r="C86" s="2" t="s">
        <v>3</v>
      </c>
      <c r="G86" s="2" t="s">
        <v>212</v>
      </c>
      <c r="H86" s="2" t="s">
        <v>11</v>
      </c>
      <c r="J86" s="2" t="s">
        <v>210</v>
      </c>
    </row>
    <row r="87" spans="1:12" x14ac:dyDescent="0.25">
      <c r="A87" s="10" t="s">
        <v>211</v>
      </c>
      <c r="B87" s="12" t="s">
        <v>146</v>
      </c>
      <c r="C87" s="2" t="s">
        <v>3</v>
      </c>
      <c r="G87" s="2" t="s">
        <v>213</v>
      </c>
      <c r="H87" s="2" t="s">
        <v>11</v>
      </c>
      <c r="J87" s="2" t="s">
        <v>202</v>
      </c>
    </row>
    <row r="94" spans="1:12" x14ac:dyDescent="0.25">
      <c r="A94" s="10" t="s">
        <v>343</v>
      </c>
    </row>
    <row r="95" spans="1:12" x14ac:dyDescent="0.25">
      <c r="A95" s="13" t="s">
        <v>344</v>
      </c>
    </row>
  </sheetData>
  <pageMargins left="0.7" right="0.7" top="0.78740157499999996" bottom="0.78740157499999996" header="0.3" footer="0.3"/>
  <ignoredErrors>
    <ignoredError sqref="F20" twoDigitTextYear="1"/>
  </ignoredErrors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>
          <x14:formula1>
            <xm:f>Dropdown!$A$2:$A$4</xm:f>
          </x14:formula1>
          <xm:sqref>F3</xm:sqref>
        </x14:dataValidation>
        <x14:dataValidation type="list" allowBlank="1" showInputMessage="1" showErrorMessage="1">
          <x14:formula1>
            <xm:f>Dropdown!$B$2:$B$6</xm:f>
          </x14:formula1>
          <xm:sqref>F4</xm:sqref>
        </x14:dataValidation>
        <x14:dataValidation type="list" allowBlank="1" showInputMessage="1" showErrorMessage="1">
          <x14:formula1>
            <xm:f>Dropdown!$C$2:$C$7</xm:f>
          </x14:formula1>
          <xm:sqref>F5</xm:sqref>
        </x14:dataValidation>
        <x14:dataValidation type="list" allowBlank="1" showInputMessage="1" showErrorMessage="1">
          <x14:formula1>
            <xm:f>Dropdown!$D$2:$D$4</xm:f>
          </x14:formula1>
          <xm:sqref>F6</xm:sqref>
        </x14:dataValidation>
        <x14:dataValidation type="list" allowBlank="1" showInputMessage="1" showErrorMessage="1">
          <x14:formula1>
            <xm:f>Dropdown!$E$2:$E$7</xm:f>
          </x14:formula1>
          <xm:sqref>F7</xm:sqref>
        </x14:dataValidation>
        <x14:dataValidation type="list" allowBlank="1" showInputMessage="1" showErrorMessage="1">
          <x14:formula1>
            <xm:f>Dropdown!$F$3:$F$6</xm:f>
          </x14:formula1>
          <xm:sqref>F9</xm:sqref>
        </x14:dataValidation>
        <x14:dataValidation type="list" allowBlank="1" showInputMessage="1" showErrorMessage="1">
          <x14:formula1>
            <xm:f>Dropdown!$G$2:$G$3</xm:f>
          </x14:formula1>
          <xm:sqref>F15</xm:sqref>
        </x14:dataValidation>
        <x14:dataValidation type="list" allowBlank="1" showInputMessage="1" showErrorMessage="1">
          <x14:formula1>
            <xm:f>Dropdown!$H$2:$H$4</xm:f>
          </x14:formula1>
          <xm:sqref>F16:F18</xm:sqref>
        </x14:dataValidation>
        <x14:dataValidation type="list" allowBlank="1" showInputMessage="1" showErrorMessage="1">
          <x14:formula1>
            <xm:f>Dropdown!$I$2:$I$5</xm:f>
          </x14:formula1>
          <xm:sqref>F20</xm:sqref>
        </x14:dataValidation>
        <x14:dataValidation type="list" allowBlank="1" showInputMessage="1" showErrorMessage="1">
          <x14:formula1>
            <xm:f>Dropdown!$J$2:$J$5</xm:f>
          </x14:formula1>
          <xm:sqref>F32</xm:sqref>
        </x14:dataValidation>
        <x14:dataValidation type="list" allowBlank="1" showInputMessage="1" showErrorMessage="1">
          <x14:formula1>
            <xm:f>Dropdown!$K$2:$K$9</xm:f>
          </x14:formula1>
          <xm:sqref>F41</xm:sqref>
        </x14:dataValidation>
        <x14:dataValidation type="list" allowBlank="1" showInputMessage="1" showErrorMessage="1">
          <x14:formula1>
            <xm:f>Dropdown!$M$2:$M$10</xm:f>
          </x14:formula1>
          <xm:sqref>F43</xm:sqref>
        </x14:dataValidation>
        <x14:dataValidation type="list" allowBlank="1" showInputMessage="1" showErrorMessage="1">
          <x14:formula1>
            <xm:f>Dropdown!$N$2:$N$3</xm:f>
          </x14:formula1>
          <xm:sqref>F51</xm:sqref>
        </x14:dataValidation>
        <x14:dataValidation type="list" allowBlank="1" showInputMessage="1" showErrorMessage="1">
          <x14:formula1>
            <xm:f>Dropdown!$R$2:$R$8</xm:f>
          </x14:formula1>
          <xm:sqref>F65</xm:sqref>
        </x14:dataValidation>
        <x14:dataValidation type="list" allowBlank="1" showInputMessage="1" showErrorMessage="1">
          <x14:formula1>
            <xm:f>Dropdown!$S$2:$S$4</xm:f>
          </x14:formula1>
          <xm:sqref>F68 F72</xm:sqref>
        </x14:dataValidation>
        <x14:dataValidation type="list" allowBlank="1" showInputMessage="1" showErrorMessage="1">
          <x14:formula1>
            <xm:f>Dropdown!$T$2:$T$6</xm:f>
          </x14:formula1>
          <xm:sqref>F79</xm:sqref>
        </x14:dataValidation>
        <x14:dataValidation type="list" allowBlank="1" showInputMessage="1" showErrorMessage="1">
          <x14:formula1>
            <xm:f>Dropdown!$U$2:$U$4</xm:f>
          </x14:formula1>
          <xm:sqref>F76</xm:sqref>
        </x14:dataValidation>
        <x14:dataValidation type="list" allowBlank="1" showInputMessage="1" showErrorMessage="1">
          <x14:formula1>
            <xm:f>Dropdown!$V$3:$V$9</xm:f>
          </x14:formula1>
          <xm:sqref>F58:F59</xm:sqref>
        </x14:dataValidation>
        <x14:dataValidation type="list" allowBlank="1" showInputMessage="1" showErrorMessage="1">
          <x14:formula1>
            <xm:f>Dropdown!$P$2:$P$27</xm:f>
          </x14:formula1>
          <xm:sqref>F53</xm:sqref>
        </x14:dataValidation>
        <x14:dataValidation type="list" allowBlank="1" showInputMessage="1" showErrorMessage="1">
          <x14:formula1>
            <xm:f>Dropdown!$O$2:$O$12</xm:f>
          </x14:formula1>
          <xm:sqref>F52</xm:sqref>
        </x14:dataValidation>
        <x14:dataValidation type="list" allowBlank="1" showInputMessage="1" showErrorMessage="1">
          <x14:formula1>
            <xm:f>Dropdown!$F$2:$F$6</xm:f>
          </x14:formula1>
          <xm:sqref>F8</xm:sqref>
        </x14:dataValidation>
        <x14:dataValidation type="list" allowBlank="1" showInputMessage="1" showErrorMessage="1">
          <x14:formula1>
            <xm:f>Dropdown!$Q$2:$Q$6</xm:f>
          </x14:formula1>
          <xm:sqref>F64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2"/>
  <sheetViews>
    <sheetView topLeftCell="A40" workbookViewId="0">
      <selection activeCell="C81" sqref="C81"/>
    </sheetView>
  </sheetViews>
  <sheetFormatPr baseColWidth="10" defaultRowHeight="15" x14ac:dyDescent="0.25"/>
  <cols>
    <col min="2" max="2" width="23.42578125" customWidth="1"/>
  </cols>
  <sheetData>
    <row r="2" spans="1:10" x14ac:dyDescent="0.25">
      <c r="A2" t="s">
        <v>859</v>
      </c>
      <c r="B2" t="s">
        <v>860</v>
      </c>
      <c r="C2">
        <v>2.7</v>
      </c>
      <c r="D2" t="s">
        <v>620</v>
      </c>
      <c r="E2" t="s">
        <v>861</v>
      </c>
    </row>
    <row r="5" spans="1:10" x14ac:dyDescent="0.25">
      <c r="A5" t="s">
        <v>461</v>
      </c>
      <c r="B5" t="s">
        <v>463</v>
      </c>
      <c r="C5" t="s">
        <v>464</v>
      </c>
    </row>
    <row r="6" spans="1:10" x14ac:dyDescent="0.25">
      <c r="B6" t="s">
        <v>466</v>
      </c>
      <c r="C6" t="s">
        <v>509</v>
      </c>
    </row>
    <row r="7" spans="1:10" x14ac:dyDescent="0.25">
      <c r="B7" t="s">
        <v>462</v>
      </c>
      <c r="C7" t="s">
        <v>465</v>
      </c>
    </row>
    <row r="8" spans="1:10" x14ac:dyDescent="0.25">
      <c r="B8" s="15" t="s">
        <v>467</v>
      </c>
      <c r="C8">
        <v>8.1999999999999993</v>
      </c>
      <c r="H8" t="s">
        <v>484</v>
      </c>
      <c r="I8" t="s">
        <v>485</v>
      </c>
      <c r="J8" t="s">
        <v>486</v>
      </c>
    </row>
    <row r="9" spans="1:10" x14ac:dyDescent="0.25">
      <c r="B9" s="15" t="s">
        <v>468</v>
      </c>
      <c r="C9">
        <v>3.5</v>
      </c>
      <c r="H9" t="s">
        <v>487</v>
      </c>
      <c r="I9" t="s">
        <v>485</v>
      </c>
      <c r="J9" t="s">
        <v>486</v>
      </c>
    </row>
    <row r="10" spans="1:10" x14ac:dyDescent="0.25">
      <c r="B10" s="15" t="s">
        <v>469</v>
      </c>
      <c r="C10">
        <v>4.3</v>
      </c>
      <c r="H10" t="s">
        <v>488</v>
      </c>
      <c r="I10" t="s">
        <v>485</v>
      </c>
      <c r="J10" t="s">
        <v>486</v>
      </c>
    </row>
    <row r="11" spans="1:10" x14ac:dyDescent="0.25">
      <c r="B11" s="15" t="s">
        <v>470</v>
      </c>
      <c r="C11">
        <v>2</v>
      </c>
      <c r="H11" t="s">
        <v>489</v>
      </c>
      <c r="I11" t="s">
        <v>485</v>
      </c>
      <c r="J11" t="s">
        <v>486</v>
      </c>
    </row>
    <row r="12" spans="1:10" x14ac:dyDescent="0.25">
      <c r="B12" s="15" t="s">
        <v>471</v>
      </c>
      <c r="C12">
        <v>10.1</v>
      </c>
      <c r="H12" t="s">
        <v>490</v>
      </c>
      <c r="I12" t="s">
        <v>485</v>
      </c>
      <c r="J12" t="s">
        <v>486</v>
      </c>
    </row>
    <row r="13" spans="1:10" x14ac:dyDescent="0.25">
      <c r="B13" s="15" t="s">
        <v>472</v>
      </c>
      <c r="C13">
        <v>4</v>
      </c>
      <c r="H13" t="s">
        <v>491</v>
      </c>
      <c r="I13" t="s">
        <v>485</v>
      </c>
      <c r="J13" t="s">
        <v>486</v>
      </c>
    </row>
    <row r="14" spans="1:10" x14ac:dyDescent="0.25">
      <c r="B14" s="15" t="s">
        <v>473</v>
      </c>
      <c r="C14">
        <v>4.84</v>
      </c>
      <c r="H14" t="s">
        <v>484</v>
      </c>
      <c r="I14" t="s">
        <v>492</v>
      </c>
      <c r="J14" t="s">
        <v>493</v>
      </c>
    </row>
    <row r="15" spans="1:10" x14ac:dyDescent="0.25">
      <c r="B15" s="15" t="s">
        <v>474</v>
      </c>
      <c r="C15">
        <v>2.88</v>
      </c>
      <c r="H15" t="s">
        <v>484</v>
      </c>
      <c r="I15" t="s">
        <v>494</v>
      </c>
      <c r="J15" t="s">
        <v>493</v>
      </c>
    </row>
    <row r="16" spans="1:10" x14ac:dyDescent="0.25">
      <c r="B16" s="15" t="s">
        <v>475</v>
      </c>
      <c r="C16">
        <v>2.73</v>
      </c>
      <c r="H16" t="s">
        <v>487</v>
      </c>
      <c r="I16" t="s">
        <v>492</v>
      </c>
      <c r="J16" t="s">
        <v>493</v>
      </c>
    </row>
    <row r="17" spans="2:13" x14ac:dyDescent="0.25">
      <c r="B17" s="15" t="s">
        <v>495</v>
      </c>
      <c r="C17">
        <v>1.97</v>
      </c>
      <c r="H17" t="s">
        <v>487</v>
      </c>
      <c r="I17" t="s">
        <v>494</v>
      </c>
      <c r="J17" t="s">
        <v>493</v>
      </c>
    </row>
    <row r="18" spans="2:13" x14ac:dyDescent="0.25">
      <c r="B18" s="15" t="s">
        <v>476</v>
      </c>
      <c r="C18" s="25" t="s">
        <v>496</v>
      </c>
      <c r="H18" t="s">
        <v>488</v>
      </c>
      <c r="I18" t="s">
        <v>492</v>
      </c>
      <c r="J18" t="s">
        <v>493</v>
      </c>
      <c r="M18" t="s">
        <v>498</v>
      </c>
    </row>
    <row r="19" spans="2:13" x14ac:dyDescent="0.25">
      <c r="B19" s="15" t="s">
        <v>477</v>
      </c>
      <c r="C19" s="25" t="s">
        <v>499</v>
      </c>
      <c r="H19" t="s">
        <v>488</v>
      </c>
      <c r="I19" t="s">
        <v>494</v>
      </c>
      <c r="J19" t="s">
        <v>493</v>
      </c>
      <c r="M19" t="s">
        <v>505</v>
      </c>
    </row>
    <row r="20" spans="2:13" x14ac:dyDescent="0.25">
      <c r="B20" s="15" t="s">
        <v>478</v>
      </c>
      <c r="C20" s="25" t="s">
        <v>500</v>
      </c>
      <c r="H20" t="s">
        <v>489</v>
      </c>
      <c r="I20" t="s">
        <v>492</v>
      </c>
      <c r="J20" t="s">
        <v>493</v>
      </c>
    </row>
    <row r="21" spans="2:13" x14ac:dyDescent="0.25">
      <c r="B21" s="15" t="s">
        <v>479</v>
      </c>
      <c r="C21" s="25" t="s">
        <v>502</v>
      </c>
      <c r="H21" t="s">
        <v>489</v>
      </c>
      <c r="I21" t="s">
        <v>494</v>
      </c>
      <c r="J21" t="s">
        <v>493</v>
      </c>
    </row>
    <row r="22" spans="2:13" x14ac:dyDescent="0.25">
      <c r="B22" s="15" t="s">
        <v>480</v>
      </c>
      <c r="C22" s="25" t="s">
        <v>501</v>
      </c>
      <c r="H22" t="s">
        <v>490</v>
      </c>
      <c r="I22" t="s">
        <v>492</v>
      </c>
      <c r="J22" t="s">
        <v>493</v>
      </c>
    </row>
    <row r="23" spans="2:13" x14ac:dyDescent="0.25">
      <c r="B23" s="15" t="s">
        <v>481</v>
      </c>
      <c r="C23" s="25" t="s">
        <v>503</v>
      </c>
      <c r="H23" t="s">
        <v>490</v>
      </c>
      <c r="I23" t="s">
        <v>494</v>
      </c>
      <c r="J23" t="s">
        <v>493</v>
      </c>
    </row>
    <row r="24" spans="2:13" x14ac:dyDescent="0.25">
      <c r="B24" s="15" t="s">
        <v>482</v>
      </c>
      <c r="C24" s="25" t="s">
        <v>497</v>
      </c>
      <c r="H24" t="s">
        <v>491</v>
      </c>
      <c r="I24" t="s">
        <v>492</v>
      </c>
      <c r="J24" t="s">
        <v>493</v>
      </c>
    </row>
    <row r="25" spans="2:13" x14ac:dyDescent="0.25">
      <c r="B25" s="15" t="s">
        <v>483</v>
      </c>
      <c r="C25" s="25" t="s">
        <v>504</v>
      </c>
      <c r="H25" t="s">
        <v>491</v>
      </c>
      <c r="I25" t="s">
        <v>494</v>
      </c>
      <c r="J25" t="s">
        <v>493</v>
      </c>
    </row>
    <row r="26" spans="2:13" x14ac:dyDescent="0.25">
      <c r="B26" s="26" t="s">
        <v>506</v>
      </c>
    </row>
    <row r="27" spans="2:13" x14ac:dyDescent="0.25">
      <c r="B27" s="26" t="s">
        <v>507</v>
      </c>
    </row>
    <row r="28" spans="2:13" x14ac:dyDescent="0.25">
      <c r="B28" s="26" t="s">
        <v>508</v>
      </c>
    </row>
    <row r="29" spans="2:13" x14ac:dyDescent="0.25">
      <c r="B29" t="s">
        <v>510</v>
      </c>
      <c r="C29" t="s">
        <v>513</v>
      </c>
    </row>
    <row r="30" spans="2:13" x14ac:dyDescent="0.25">
      <c r="B30" t="s">
        <v>511</v>
      </c>
      <c r="C30" t="s">
        <v>512</v>
      </c>
    </row>
    <row r="35" spans="2:8" x14ac:dyDescent="0.25">
      <c r="B35" t="s">
        <v>561</v>
      </c>
      <c r="C35" t="s">
        <v>560</v>
      </c>
    </row>
    <row r="36" spans="2:8" x14ac:dyDescent="0.25">
      <c r="B36" t="s">
        <v>908</v>
      </c>
      <c r="C36">
        <f>1*1*F36</f>
        <v>2.0000000000000001E-4</v>
      </c>
      <c r="D36" t="s">
        <v>913</v>
      </c>
      <c r="E36" t="s">
        <v>909</v>
      </c>
      <c r="F36">
        <v>2.0000000000000001E-4</v>
      </c>
      <c r="G36" t="s">
        <v>910</v>
      </c>
    </row>
    <row r="37" spans="2:8" x14ac:dyDescent="0.25">
      <c r="B37" t="s">
        <v>907</v>
      </c>
      <c r="C37">
        <f>C36*F37</f>
        <v>0.186</v>
      </c>
      <c r="D37" t="s">
        <v>621</v>
      </c>
      <c r="E37" t="s">
        <v>911</v>
      </c>
      <c r="F37">
        <v>930</v>
      </c>
      <c r="G37" t="s">
        <v>912</v>
      </c>
    </row>
    <row r="38" spans="2:8" x14ac:dyDescent="0.25">
      <c r="B38" s="30" t="s">
        <v>562</v>
      </c>
      <c r="C38" t="s">
        <v>563</v>
      </c>
    </row>
    <row r="41" spans="2:8" x14ac:dyDescent="0.25">
      <c r="B41" t="s">
        <v>935</v>
      </c>
      <c r="D41" t="s">
        <v>937</v>
      </c>
      <c r="E41">
        <v>3.5</v>
      </c>
      <c r="F41">
        <v>5.7</v>
      </c>
      <c r="G41">
        <v>7</v>
      </c>
      <c r="H41">
        <v>11</v>
      </c>
    </row>
    <row r="42" spans="2:8" x14ac:dyDescent="0.25">
      <c r="B42" t="s">
        <v>938</v>
      </c>
      <c r="C42" t="s">
        <v>939</v>
      </c>
      <c r="D42" t="s">
        <v>936</v>
      </c>
      <c r="E42">
        <v>7.0000000000000007E-2</v>
      </c>
      <c r="F42">
        <v>0.16</v>
      </c>
      <c r="G42">
        <v>0.2</v>
      </c>
      <c r="H42">
        <v>0.3</v>
      </c>
    </row>
    <row r="43" spans="2:8" x14ac:dyDescent="0.25">
      <c r="B43" t="s">
        <v>940</v>
      </c>
      <c r="C43">
        <f>0.03*Betriebsdaten!C236-0.0214</f>
        <v>0.18859999999999999</v>
      </c>
    </row>
    <row r="46" spans="2:8" x14ac:dyDescent="0.25">
      <c r="B46" t="s">
        <v>957</v>
      </c>
      <c r="D46" t="s">
        <v>143</v>
      </c>
      <c r="E46">
        <v>30</v>
      </c>
      <c r="F46">
        <v>15</v>
      </c>
      <c r="G46" t="s">
        <v>959</v>
      </c>
    </row>
    <row r="47" spans="2:8" x14ac:dyDescent="0.25">
      <c r="D47" t="s">
        <v>958</v>
      </c>
      <c r="E47">
        <v>6.5</v>
      </c>
      <c r="F47">
        <v>3.25</v>
      </c>
    </row>
    <row r="48" spans="2:8" x14ac:dyDescent="0.25">
      <c r="D48" t="s">
        <v>960</v>
      </c>
      <c r="E48">
        <v>0.21666666600000001</v>
      </c>
      <c r="F48">
        <v>0.21666666600000001</v>
      </c>
    </row>
    <row r="49" spans="1:5" x14ac:dyDescent="0.25">
      <c r="D49" t="s">
        <v>961</v>
      </c>
      <c r="E49">
        <f>E48*1000</f>
        <v>216.66666600000002</v>
      </c>
    </row>
    <row r="52" spans="1:5" x14ac:dyDescent="0.25">
      <c r="B52" t="s">
        <v>969</v>
      </c>
    </row>
    <row r="53" spans="1:5" x14ac:dyDescent="0.25">
      <c r="B53" t="s">
        <v>970</v>
      </c>
      <c r="C53">
        <f>1.2*0.8*33</f>
        <v>31.68</v>
      </c>
      <c r="D53" t="s">
        <v>682</v>
      </c>
    </row>
    <row r="54" spans="1:5" x14ac:dyDescent="0.25">
      <c r="B54" t="s">
        <v>971</v>
      </c>
      <c r="C54">
        <f>0.3*0.3</f>
        <v>0.09</v>
      </c>
    </row>
    <row r="55" spans="1:5" x14ac:dyDescent="0.25">
      <c r="B55" t="s">
        <v>972</v>
      </c>
      <c r="C55">
        <f>C53/C54</f>
        <v>352</v>
      </c>
    </row>
    <row r="56" spans="1:5" x14ac:dyDescent="0.25">
      <c r="B56" t="s">
        <v>973</v>
      </c>
      <c r="C56">
        <f>C55*3</f>
        <v>1056</v>
      </c>
    </row>
    <row r="57" spans="1:5" x14ac:dyDescent="0.25">
      <c r="B57" t="s">
        <v>941</v>
      </c>
      <c r="C57">
        <v>0.5</v>
      </c>
    </row>
    <row r="60" spans="1:5" x14ac:dyDescent="0.25">
      <c r="A60" t="s">
        <v>990</v>
      </c>
      <c r="B60" s="15" t="s">
        <v>984</v>
      </c>
      <c r="C60">
        <f>1/1000</f>
        <v>1E-3</v>
      </c>
      <c r="D60" t="s">
        <v>620</v>
      </c>
      <c r="E60" t="s">
        <v>991</v>
      </c>
    </row>
    <row r="61" spans="1:5" x14ac:dyDescent="0.25">
      <c r="B61" s="15" t="s">
        <v>985</v>
      </c>
      <c r="C61">
        <f>3/900</f>
        <v>3.3333333333333335E-3</v>
      </c>
      <c r="D61" t="s">
        <v>620</v>
      </c>
      <c r="E61" t="s">
        <v>992</v>
      </c>
    </row>
    <row r="62" spans="1:5" x14ac:dyDescent="0.25">
      <c r="B62" s="15" t="s">
        <v>986</v>
      </c>
      <c r="C62">
        <f>3/900</f>
        <v>3.3333333333333335E-3</v>
      </c>
      <c r="D62" t="s">
        <v>620</v>
      </c>
    </row>
    <row r="63" spans="1:5" x14ac:dyDescent="0.25">
      <c r="B63" s="15" t="s">
        <v>987</v>
      </c>
      <c r="C63">
        <f>3/900</f>
        <v>3.3333333333333335E-3</v>
      </c>
      <c r="D63" t="s">
        <v>620</v>
      </c>
    </row>
    <row r="64" spans="1:5" x14ac:dyDescent="0.25">
      <c r="B64" s="15" t="s">
        <v>988</v>
      </c>
      <c r="C64">
        <f>3/900</f>
        <v>3.3333333333333335E-3</v>
      </c>
      <c r="D64" t="s">
        <v>620</v>
      </c>
    </row>
    <row r="65" spans="1:15" x14ac:dyDescent="0.25">
      <c r="B65" s="15" t="s">
        <v>171</v>
      </c>
      <c r="C65">
        <f>0.43/0.24</f>
        <v>1.7916666666666667</v>
      </c>
      <c r="D65" t="s">
        <v>620</v>
      </c>
      <c r="E65" t="s">
        <v>993</v>
      </c>
    </row>
    <row r="67" spans="1:15" x14ac:dyDescent="0.25">
      <c r="A67" t="s">
        <v>998</v>
      </c>
      <c r="B67" s="15" t="s">
        <v>997</v>
      </c>
      <c r="C67">
        <v>5.0000000000000001E-4</v>
      </c>
      <c r="D67" t="s">
        <v>999</v>
      </c>
    </row>
    <row r="68" spans="1:15" x14ac:dyDescent="0.25">
      <c r="B68" s="15" t="s">
        <v>178</v>
      </c>
      <c r="C68">
        <v>8.0000000000000004E-4</v>
      </c>
      <c r="D68" t="s">
        <v>999</v>
      </c>
    </row>
    <row r="69" spans="1:15" x14ac:dyDescent="0.25">
      <c r="B69" s="15" t="s">
        <v>996</v>
      </c>
      <c r="C69">
        <v>8.0000000000000004E-4</v>
      </c>
      <c r="D69" t="s">
        <v>999</v>
      </c>
    </row>
    <row r="71" spans="1:15" x14ac:dyDescent="0.25">
      <c r="A71" t="s">
        <v>1000</v>
      </c>
      <c r="B71" s="15" t="s">
        <v>997</v>
      </c>
      <c r="C71">
        <v>8.0000000000000004E-4</v>
      </c>
      <c r="D71" t="s">
        <v>1001</v>
      </c>
    </row>
    <row r="72" spans="1:15" x14ac:dyDescent="0.25">
      <c r="B72" s="15" t="s">
        <v>178</v>
      </c>
      <c r="C72">
        <v>1E-3</v>
      </c>
      <c r="D72" t="s">
        <v>1001</v>
      </c>
    </row>
    <row r="73" spans="1:15" x14ac:dyDescent="0.25">
      <c r="B73" s="15" t="s">
        <v>996</v>
      </c>
      <c r="C73">
        <v>1E-3</v>
      </c>
      <c r="D73" t="s">
        <v>1001</v>
      </c>
    </row>
    <row r="75" spans="1:15" x14ac:dyDescent="0.25">
      <c r="A75" t="s">
        <v>1006</v>
      </c>
      <c r="B75" t="s">
        <v>1005</v>
      </c>
      <c r="C75">
        <f>1.36/100</f>
        <v>1.3600000000000001E-2</v>
      </c>
      <c r="D75" t="s">
        <v>620</v>
      </c>
      <c r="E75" t="s">
        <v>1007</v>
      </c>
      <c r="F75" t="s">
        <v>1008</v>
      </c>
      <c r="G75" t="s">
        <v>1009</v>
      </c>
      <c r="H75">
        <v>1.2</v>
      </c>
      <c r="I75" t="s">
        <v>1010</v>
      </c>
      <c r="J75" t="s">
        <v>1011</v>
      </c>
      <c r="L75" t="s">
        <v>1012</v>
      </c>
      <c r="M75" t="s">
        <v>1015</v>
      </c>
      <c r="N75" t="s">
        <v>1013</v>
      </c>
      <c r="O75" t="s">
        <v>1014</v>
      </c>
    </row>
    <row r="76" spans="1:15" x14ac:dyDescent="0.25">
      <c r="B76" t="s">
        <v>218</v>
      </c>
      <c r="C76" s="40">
        <f>4/30</f>
        <v>0.13333333333333333</v>
      </c>
      <c r="D76" t="s">
        <v>620</v>
      </c>
      <c r="E76" t="s">
        <v>1007</v>
      </c>
      <c r="F76" t="s">
        <v>1016</v>
      </c>
      <c r="G76" t="s">
        <v>1009</v>
      </c>
    </row>
    <row r="77" spans="1:15" x14ac:dyDescent="0.25">
      <c r="B77" t="s">
        <v>219</v>
      </c>
      <c r="C77" s="40">
        <f>4/30</f>
        <v>0.13333333333333333</v>
      </c>
      <c r="D77" t="s">
        <v>620</v>
      </c>
      <c r="E77" t="s">
        <v>1007</v>
      </c>
      <c r="F77" t="s">
        <v>1016</v>
      </c>
      <c r="G77" t="s">
        <v>1009</v>
      </c>
    </row>
    <row r="79" spans="1:15" x14ac:dyDescent="0.25">
      <c r="A79" t="s">
        <v>1026</v>
      </c>
      <c r="B79" t="s">
        <v>1027</v>
      </c>
      <c r="C79">
        <f>5255/(1000*1000)</f>
        <v>5.2550000000000001E-3</v>
      </c>
      <c r="D79" t="s">
        <v>1028</v>
      </c>
      <c r="E79" t="s">
        <v>1033</v>
      </c>
    </row>
    <row r="80" spans="1:15" x14ac:dyDescent="0.25">
      <c r="B80" t="s">
        <v>1029</v>
      </c>
      <c r="C80">
        <f>-1593/(1000*1000)</f>
        <v>-1.593E-3</v>
      </c>
      <c r="D80" t="s">
        <v>1028</v>
      </c>
      <c r="E80" t="s">
        <v>1033</v>
      </c>
    </row>
    <row r="81" spans="2:5" x14ac:dyDescent="0.25">
      <c r="B81" t="s">
        <v>1030</v>
      </c>
      <c r="C81">
        <f>C79+C80</f>
        <v>3.6620000000000003E-3</v>
      </c>
      <c r="D81" t="s">
        <v>1028</v>
      </c>
      <c r="E81" t="s">
        <v>1033</v>
      </c>
    </row>
    <row r="82" spans="2:5" x14ac:dyDescent="0.25">
      <c r="B82" t="s">
        <v>1031</v>
      </c>
      <c r="C82">
        <v>50</v>
      </c>
      <c r="D82" t="s">
        <v>1032</v>
      </c>
      <c r="E82" t="s">
        <v>1033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baseColWidth="10" defaultRowHeight="15" x14ac:dyDescent="0.25"/>
  <cols>
    <col min="1" max="1" width="25.5703125" customWidth="1"/>
  </cols>
  <sheetData>
    <row r="1" spans="1:2" s="9" customFormat="1" x14ac:dyDescent="0.25">
      <c r="A1" s="9" t="s">
        <v>236</v>
      </c>
      <c r="B1" s="9" t="s">
        <v>237</v>
      </c>
    </row>
    <row r="2" spans="1:2" x14ac:dyDescent="0.25">
      <c r="A2" t="s">
        <v>345</v>
      </c>
      <c r="B2" t="s">
        <v>321</v>
      </c>
    </row>
    <row r="3" spans="1:2" x14ac:dyDescent="0.25">
      <c r="A3" t="s">
        <v>239</v>
      </c>
    </row>
    <row r="4" spans="1:2" x14ac:dyDescent="0.25">
      <c r="A4" t="s">
        <v>240</v>
      </c>
    </row>
    <row r="5" spans="1:2" x14ac:dyDescent="0.25">
      <c r="A5" t="s">
        <v>88</v>
      </c>
    </row>
    <row r="6" spans="1:2" x14ac:dyDescent="0.25">
      <c r="A6" t="s">
        <v>116</v>
      </c>
    </row>
    <row r="7" spans="1:2" x14ac:dyDescent="0.25">
      <c r="A7" t="s">
        <v>146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H1" workbookViewId="0">
      <selection activeCell="T7" sqref="T2:T7"/>
    </sheetView>
  </sheetViews>
  <sheetFormatPr baseColWidth="10" defaultRowHeight="15" x14ac:dyDescent="0.25"/>
  <cols>
    <col min="1" max="1" width="14.7109375" style="1" bestFit="1" customWidth="1"/>
    <col min="2" max="2" width="10.28515625" bestFit="1" customWidth="1"/>
    <col min="3" max="3" width="19.140625" bestFit="1" customWidth="1"/>
  </cols>
  <sheetData>
    <row r="1" spans="1:22" x14ac:dyDescent="0.25">
      <c r="A1" s="16" t="str">
        <f>Basis!A3</f>
        <v>GWH Art</v>
      </c>
      <c r="B1" s="15" t="str">
        <f>Basis!A4</f>
        <v>GWH Alter</v>
      </c>
      <c r="C1" s="15" t="str">
        <f>Basis!A5</f>
        <v>Bedachungsmaterial</v>
      </c>
      <c r="D1" s="15" t="str">
        <f>Basis!A6</f>
        <v>Alter des Bedachungsmaterials</v>
      </c>
      <c r="E1" s="15" t="str">
        <f>Basis!A7</f>
        <v>Art des Stehwandmaterial</v>
      </c>
      <c r="F1" s="15" t="str">
        <f>Basis!A8</f>
        <v>Energieschirm</v>
      </c>
      <c r="G1" s="15" t="str">
        <f>Basis!A15</f>
        <v>Produktion</v>
      </c>
      <c r="H1" s="15" t="str">
        <f>Basis!A16</f>
        <v>Kultursystem</v>
      </c>
      <c r="I1" s="15" t="str">
        <f>Basis!A20</f>
        <v>Fruchtgewicht</v>
      </c>
      <c r="J1" s="15" t="str">
        <f>Basis!A32</f>
        <v>Anzahl Triebe</v>
      </c>
      <c r="K1" s="15" t="s">
        <v>87</v>
      </c>
      <c r="L1" s="15" t="s">
        <v>98</v>
      </c>
      <c r="M1" s="15" t="s">
        <v>111</v>
      </c>
      <c r="N1" s="15" t="s">
        <v>118</v>
      </c>
      <c r="O1" s="15" t="s">
        <v>123</v>
      </c>
      <c r="P1" s="15" t="s">
        <v>124</v>
      </c>
      <c r="Q1" s="15" t="s">
        <v>155</v>
      </c>
      <c r="R1" s="15" t="s">
        <v>165</v>
      </c>
      <c r="S1" s="15" t="s">
        <v>177</v>
      </c>
      <c r="T1" s="15" t="s">
        <v>192</v>
      </c>
      <c r="U1" s="15" t="s">
        <v>216</v>
      </c>
      <c r="V1" s="15" t="s">
        <v>220</v>
      </c>
    </row>
    <row r="2" spans="1:22" x14ac:dyDescent="0.25">
      <c r="A2" s="16" t="s">
        <v>13</v>
      </c>
      <c r="B2" s="15" t="s">
        <v>375</v>
      </c>
      <c r="C2" s="15" t="s">
        <v>21</v>
      </c>
      <c r="D2" s="15" t="s">
        <v>18</v>
      </c>
      <c r="E2" s="15" t="s">
        <v>21</v>
      </c>
      <c r="F2" s="15" t="s">
        <v>426</v>
      </c>
      <c r="G2" s="15" t="s">
        <v>44</v>
      </c>
      <c r="H2" s="15" t="s">
        <v>43</v>
      </c>
      <c r="I2" s="17" t="s">
        <v>47</v>
      </c>
      <c r="J2" s="15" t="s">
        <v>74</v>
      </c>
      <c r="K2" s="15" t="s">
        <v>89</v>
      </c>
      <c r="L2" s="18" t="s">
        <v>99</v>
      </c>
      <c r="M2" s="15" t="s">
        <v>112</v>
      </c>
      <c r="N2" s="15" t="s">
        <v>120</v>
      </c>
      <c r="O2" s="15" t="s">
        <v>126</v>
      </c>
      <c r="P2" s="15" t="s">
        <v>127</v>
      </c>
      <c r="Q2" s="15" t="s">
        <v>156</v>
      </c>
      <c r="R2" s="15" t="s">
        <v>166</v>
      </c>
      <c r="S2" s="15" t="s">
        <v>166</v>
      </c>
      <c r="T2" s="15" t="s">
        <v>15</v>
      </c>
      <c r="U2" s="15" t="s">
        <v>217</v>
      </c>
      <c r="V2" s="15" t="s">
        <v>229</v>
      </c>
    </row>
    <row r="3" spans="1:22" x14ac:dyDescent="0.25">
      <c r="A3" s="16" t="s">
        <v>14</v>
      </c>
      <c r="B3" s="19" t="s">
        <v>376</v>
      </c>
      <c r="C3" s="15" t="s">
        <v>22</v>
      </c>
      <c r="D3" s="17" t="s">
        <v>19</v>
      </c>
      <c r="E3" s="15" t="s">
        <v>22</v>
      </c>
      <c r="F3" s="15" t="s">
        <v>32</v>
      </c>
      <c r="G3" s="15" t="s">
        <v>45</v>
      </c>
      <c r="H3" s="15" t="s">
        <v>434</v>
      </c>
      <c r="I3" s="17" t="s">
        <v>48</v>
      </c>
      <c r="J3" s="15" t="s">
        <v>75</v>
      </c>
      <c r="K3" s="15" t="s">
        <v>90</v>
      </c>
      <c r="L3" s="15"/>
      <c r="M3" s="15" t="s">
        <v>527</v>
      </c>
      <c r="N3" s="15" t="s">
        <v>121</v>
      </c>
      <c r="O3" s="15" t="s">
        <v>125</v>
      </c>
      <c r="P3" s="15" t="s">
        <v>128</v>
      </c>
      <c r="Q3" s="15" t="s">
        <v>157</v>
      </c>
      <c r="R3" s="15" t="s">
        <v>167</v>
      </c>
      <c r="S3" s="15" t="s">
        <v>178</v>
      </c>
      <c r="T3" s="15" t="s">
        <v>193</v>
      </c>
      <c r="U3" s="15" t="s">
        <v>218</v>
      </c>
      <c r="V3" s="15" t="s">
        <v>226</v>
      </c>
    </row>
    <row r="4" spans="1:22" x14ac:dyDescent="0.25">
      <c r="A4" s="16" t="s">
        <v>374</v>
      </c>
      <c r="B4" s="15" t="s">
        <v>377</v>
      </c>
      <c r="C4" s="15" t="s">
        <v>23</v>
      </c>
      <c r="D4" s="15" t="s">
        <v>20</v>
      </c>
      <c r="E4" s="15" t="s">
        <v>23</v>
      </c>
      <c r="F4" s="15" t="s">
        <v>33</v>
      </c>
      <c r="G4" s="15"/>
      <c r="H4" s="15" t="s">
        <v>435</v>
      </c>
      <c r="I4" s="17" t="s">
        <v>49</v>
      </c>
      <c r="J4" s="15" t="s">
        <v>76</v>
      </c>
      <c r="K4" s="15" t="s">
        <v>91</v>
      </c>
      <c r="L4" s="15"/>
      <c r="M4" s="15" t="s">
        <v>528</v>
      </c>
      <c r="N4" s="15"/>
      <c r="O4" s="15" t="s">
        <v>335</v>
      </c>
      <c r="P4" s="15" t="s">
        <v>129</v>
      </c>
      <c r="Q4" s="15" t="s">
        <v>159</v>
      </c>
      <c r="R4" s="15" t="s">
        <v>168</v>
      </c>
      <c r="S4" s="15" t="s">
        <v>179</v>
      </c>
      <c r="T4" s="15" t="s">
        <v>194</v>
      </c>
      <c r="U4" s="15" t="s">
        <v>219</v>
      </c>
      <c r="V4" s="15" t="s">
        <v>222</v>
      </c>
    </row>
    <row r="5" spans="1:22" x14ac:dyDescent="0.25">
      <c r="A5" s="16"/>
      <c r="B5" s="15" t="s">
        <v>378</v>
      </c>
      <c r="C5" s="15" t="s">
        <v>24</v>
      </c>
      <c r="D5" s="15"/>
      <c r="E5" s="15" t="s">
        <v>24</v>
      </c>
      <c r="F5" s="15" t="s">
        <v>418</v>
      </c>
      <c r="G5" s="15"/>
      <c r="H5" s="15"/>
      <c r="I5" s="17" t="s">
        <v>50</v>
      </c>
      <c r="J5" s="15" t="s">
        <v>261</v>
      </c>
      <c r="K5" s="15" t="s">
        <v>94</v>
      </c>
      <c r="L5" s="15"/>
      <c r="M5" s="15" t="s">
        <v>529</v>
      </c>
      <c r="N5" s="15"/>
      <c r="O5" s="15" t="s">
        <v>158</v>
      </c>
      <c r="P5" s="15" t="s">
        <v>130</v>
      </c>
      <c r="Q5" s="15" t="s">
        <v>160</v>
      </c>
      <c r="R5" s="15" t="s">
        <v>169</v>
      </c>
      <c r="S5" s="15"/>
      <c r="T5" s="15" t="s">
        <v>166</v>
      </c>
      <c r="U5" s="15"/>
      <c r="V5" s="15" t="s">
        <v>223</v>
      </c>
    </row>
    <row r="6" spans="1:22" x14ac:dyDescent="0.25">
      <c r="A6" s="16"/>
      <c r="B6" s="15" t="s">
        <v>379</v>
      </c>
      <c r="C6" s="15" t="s">
        <v>30</v>
      </c>
      <c r="D6" s="15"/>
      <c r="E6" s="15" t="s">
        <v>30</v>
      </c>
      <c r="F6" s="15" t="s">
        <v>419</v>
      </c>
      <c r="G6" s="15"/>
      <c r="H6" s="15"/>
      <c r="I6" s="15"/>
      <c r="J6" s="15"/>
      <c r="K6" s="15" t="s">
        <v>92</v>
      </c>
      <c r="L6" s="15"/>
      <c r="M6" s="15" t="s">
        <v>530</v>
      </c>
      <c r="N6" s="15"/>
      <c r="O6" s="15" t="s">
        <v>339</v>
      </c>
      <c r="P6" s="15" t="s">
        <v>131</v>
      </c>
      <c r="Q6" s="15" t="s">
        <v>963</v>
      </c>
      <c r="R6" s="15" t="s">
        <v>170</v>
      </c>
      <c r="S6" s="15"/>
      <c r="T6" s="15" t="s">
        <v>195</v>
      </c>
      <c r="U6" s="15"/>
      <c r="V6" s="15" t="s">
        <v>221</v>
      </c>
    </row>
    <row r="7" spans="1:22" x14ac:dyDescent="0.25">
      <c r="A7" s="16"/>
      <c r="B7" s="15"/>
      <c r="C7" s="15" t="s">
        <v>29</v>
      </c>
      <c r="D7" s="15"/>
      <c r="E7" s="15" t="s">
        <v>29</v>
      </c>
      <c r="F7" s="15"/>
      <c r="G7" s="15"/>
      <c r="H7" s="15"/>
      <c r="I7" s="15"/>
      <c r="J7" s="15"/>
      <c r="K7" s="15" t="s">
        <v>93</v>
      </c>
      <c r="L7" s="15"/>
      <c r="M7" s="15" t="s">
        <v>531</v>
      </c>
      <c r="N7" s="15"/>
      <c r="O7" s="15" t="s">
        <v>336</v>
      </c>
      <c r="P7" s="15" t="s">
        <v>132</v>
      </c>
      <c r="R7" s="15" t="s">
        <v>171</v>
      </c>
      <c r="S7" s="15"/>
      <c r="T7" s="15" t="s">
        <v>1038</v>
      </c>
      <c r="U7" s="15"/>
      <c r="V7" s="15" t="s">
        <v>224</v>
      </c>
    </row>
    <row r="8" spans="1:22" x14ac:dyDescent="0.25">
      <c r="A8" s="16"/>
      <c r="B8" s="15"/>
      <c r="C8" s="15"/>
      <c r="D8" s="15"/>
      <c r="E8" s="15"/>
      <c r="F8" s="15"/>
      <c r="G8" s="15"/>
      <c r="H8" s="15"/>
      <c r="I8" s="15"/>
      <c r="J8" s="15"/>
      <c r="K8" s="15" t="s">
        <v>95</v>
      </c>
      <c r="L8" s="15"/>
      <c r="M8" s="15" t="s">
        <v>532</v>
      </c>
      <c r="N8" s="15"/>
      <c r="O8" s="15" t="s">
        <v>337</v>
      </c>
      <c r="P8" s="15" t="s">
        <v>325</v>
      </c>
      <c r="Q8" s="15"/>
      <c r="R8" s="15" t="s">
        <v>715</v>
      </c>
      <c r="S8" s="15"/>
      <c r="T8" s="15"/>
      <c r="U8" s="15"/>
      <c r="V8" s="15" t="s">
        <v>225</v>
      </c>
    </row>
    <row r="9" spans="1:22" x14ac:dyDescent="0.25">
      <c r="A9" s="16"/>
      <c r="B9" s="15"/>
      <c r="C9" s="15"/>
      <c r="D9" s="15"/>
      <c r="E9" s="15"/>
      <c r="F9" s="15"/>
      <c r="G9" s="15"/>
      <c r="H9" s="15"/>
      <c r="I9" s="15"/>
      <c r="J9" s="15"/>
      <c r="K9" s="15" t="s">
        <v>114</v>
      </c>
      <c r="L9" s="15"/>
      <c r="M9" s="15" t="s">
        <v>533</v>
      </c>
      <c r="N9" s="15"/>
      <c r="O9" s="15" t="s">
        <v>338</v>
      </c>
      <c r="P9" s="15" t="s">
        <v>133</v>
      </c>
      <c r="Q9" s="15"/>
      <c r="R9" s="15"/>
      <c r="S9" s="15"/>
      <c r="T9" s="15"/>
      <c r="U9" s="15"/>
      <c r="V9" s="15" t="s">
        <v>227</v>
      </c>
    </row>
    <row r="10" spans="1:22" x14ac:dyDescent="0.25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 t="s">
        <v>114</v>
      </c>
      <c r="N10" s="15"/>
      <c r="O10" s="15" t="s">
        <v>340</v>
      </c>
      <c r="P10" s="15" t="s">
        <v>334</v>
      </c>
      <c r="Q10" s="15"/>
      <c r="R10" s="15"/>
      <c r="S10" s="15"/>
      <c r="T10" s="15"/>
      <c r="U10" s="15"/>
      <c r="V10" s="15"/>
    </row>
    <row r="11" spans="1:22" x14ac:dyDescent="0.25">
      <c r="A11" s="16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 t="s">
        <v>341</v>
      </c>
      <c r="P11" s="15" t="s">
        <v>134</v>
      </c>
      <c r="Q11" s="15"/>
      <c r="R11" s="15"/>
      <c r="S11" s="15"/>
      <c r="T11" s="15"/>
      <c r="U11" s="15"/>
      <c r="V11" s="15"/>
    </row>
    <row r="12" spans="1:22" x14ac:dyDescent="0.25">
      <c r="A12" s="16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 t="s">
        <v>342</v>
      </c>
      <c r="P12" s="15" t="s">
        <v>135</v>
      </c>
      <c r="Q12" s="15"/>
      <c r="R12" s="15"/>
      <c r="S12" s="15"/>
      <c r="T12" s="15"/>
      <c r="U12" s="15"/>
      <c r="V12" s="15"/>
    </row>
    <row r="13" spans="1:22" x14ac:dyDescent="0.25">
      <c r="A13" s="16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 t="s">
        <v>136</v>
      </c>
      <c r="Q13" s="15"/>
      <c r="R13" s="15"/>
      <c r="S13" s="15"/>
      <c r="T13" s="15"/>
      <c r="U13" s="15"/>
      <c r="V13" s="15"/>
    </row>
    <row r="14" spans="1:22" x14ac:dyDescent="0.25">
      <c r="A14" s="16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 t="s">
        <v>137</v>
      </c>
      <c r="Q14" s="15"/>
      <c r="R14" s="15"/>
      <c r="S14" s="15"/>
      <c r="T14" s="15"/>
      <c r="U14" s="15"/>
      <c r="V14" s="15"/>
    </row>
    <row r="15" spans="1:22" x14ac:dyDescent="0.25">
      <c r="A15" s="16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 t="s">
        <v>138</v>
      </c>
      <c r="Q15" s="15"/>
      <c r="R15" s="15"/>
      <c r="S15" s="15"/>
      <c r="T15" s="15"/>
      <c r="U15" s="15"/>
      <c r="V15" s="15"/>
    </row>
    <row r="16" spans="1:22" x14ac:dyDescent="0.25">
      <c r="A16" s="16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 t="s">
        <v>139</v>
      </c>
      <c r="Q16" s="15"/>
      <c r="R16" s="15"/>
      <c r="S16" s="15"/>
      <c r="T16" s="15"/>
      <c r="U16" s="15"/>
      <c r="V16" s="15"/>
    </row>
    <row r="17" spans="1:22" x14ac:dyDescent="0.25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 t="s">
        <v>140</v>
      </c>
      <c r="Q17" s="15"/>
      <c r="R17" s="15"/>
      <c r="S17" s="15"/>
      <c r="T17" s="15"/>
      <c r="U17" s="15"/>
      <c r="V17" s="15"/>
    </row>
    <row r="18" spans="1:22" x14ac:dyDescent="0.25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 t="s">
        <v>322</v>
      </c>
      <c r="Q18" s="15"/>
      <c r="R18" s="15"/>
      <c r="S18" s="15"/>
      <c r="T18" s="15"/>
      <c r="U18" s="15"/>
      <c r="V18" s="15"/>
    </row>
    <row r="19" spans="1:22" x14ac:dyDescent="0.25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 t="s">
        <v>323</v>
      </c>
      <c r="Q19" s="15"/>
      <c r="R19" s="15"/>
      <c r="S19" s="15"/>
      <c r="T19" s="15"/>
      <c r="U19" s="15"/>
      <c r="V19" s="15"/>
    </row>
    <row r="20" spans="1:22" x14ac:dyDescent="0.25">
      <c r="A20" s="16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 t="s">
        <v>324</v>
      </c>
      <c r="Q20" s="15"/>
      <c r="R20" s="15"/>
      <c r="S20" s="15"/>
      <c r="T20" s="15"/>
      <c r="U20" s="15"/>
      <c r="V20" s="15"/>
    </row>
    <row r="21" spans="1:22" x14ac:dyDescent="0.25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 t="s">
        <v>326</v>
      </c>
      <c r="Q21" s="15"/>
      <c r="R21" s="15"/>
      <c r="S21" s="15"/>
      <c r="T21" s="15"/>
      <c r="U21" s="15"/>
      <c r="V21" s="15"/>
    </row>
    <row r="22" spans="1:22" x14ac:dyDescent="0.25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 t="s">
        <v>327</v>
      </c>
      <c r="Q22" s="15"/>
      <c r="R22" s="15"/>
      <c r="S22" s="15"/>
      <c r="T22" s="15"/>
      <c r="U22" s="15"/>
      <c r="V22" s="15"/>
    </row>
    <row r="23" spans="1:22" x14ac:dyDescent="0.25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 t="s">
        <v>328</v>
      </c>
      <c r="Q23" s="15"/>
      <c r="R23" s="15"/>
      <c r="S23" s="15"/>
      <c r="T23" s="15"/>
      <c r="U23" s="15"/>
      <c r="V23" s="15"/>
    </row>
    <row r="24" spans="1:22" x14ac:dyDescent="0.25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 t="s">
        <v>329</v>
      </c>
      <c r="Q24" s="15"/>
      <c r="R24" s="15"/>
      <c r="S24" s="15"/>
      <c r="T24" s="15"/>
      <c r="U24" s="15"/>
      <c r="V24" s="15"/>
    </row>
    <row r="25" spans="1:22" x14ac:dyDescent="0.25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 t="s">
        <v>331</v>
      </c>
      <c r="Q25" s="15"/>
      <c r="R25" s="15"/>
      <c r="S25" s="15"/>
      <c r="T25" s="15"/>
      <c r="U25" s="15"/>
      <c r="V25" s="15"/>
    </row>
    <row r="26" spans="1:22" x14ac:dyDescent="0.25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 t="s">
        <v>332</v>
      </c>
      <c r="Q26" s="15"/>
      <c r="R26" s="15"/>
      <c r="S26" s="15"/>
      <c r="T26" s="15"/>
      <c r="U26" s="15"/>
      <c r="V26" s="15"/>
    </row>
    <row r="27" spans="1:22" x14ac:dyDescent="0.25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 t="s">
        <v>333</v>
      </c>
      <c r="Q27" s="15"/>
      <c r="R27" s="15"/>
      <c r="S27" s="15"/>
      <c r="T27" s="15"/>
      <c r="U27" s="15"/>
      <c r="V27" s="15"/>
    </row>
    <row r="28" spans="1:22" x14ac:dyDescent="0.25">
      <c r="F28" s="15"/>
    </row>
    <row r="34" spans="16:16" x14ac:dyDescent="0.25">
      <c r="P34" t="s">
        <v>330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08"/>
  <sheetViews>
    <sheetView tabSelected="1" zoomScaleNormal="100" workbookViewId="0">
      <selection activeCell="D311" sqref="D311"/>
    </sheetView>
  </sheetViews>
  <sheetFormatPr baseColWidth="10" defaultRowHeight="15" x14ac:dyDescent="0.25"/>
  <cols>
    <col min="1" max="1" width="19.7109375" customWidth="1"/>
    <col min="2" max="2" width="41.140625" customWidth="1"/>
  </cols>
  <sheetData>
    <row r="1" spans="1:7" x14ac:dyDescent="0.25">
      <c r="A1" s="9" t="s">
        <v>1082</v>
      </c>
    </row>
    <row r="2" spans="1:7" x14ac:dyDescent="0.25">
      <c r="B2" t="s">
        <v>0</v>
      </c>
      <c r="C2" t="s">
        <v>10</v>
      </c>
      <c r="D2" t="s">
        <v>6</v>
      </c>
    </row>
    <row r="3" spans="1:7" x14ac:dyDescent="0.25">
      <c r="A3" s="36" t="s">
        <v>728</v>
      </c>
      <c r="B3" s="37"/>
      <c r="C3" s="37"/>
      <c r="D3" s="37"/>
      <c r="F3" s="49" t="s">
        <v>1087</v>
      </c>
      <c r="G3" s="49"/>
    </row>
    <row r="4" spans="1:7" x14ac:dyDescent="0.25">
      <c r="B4" t="s">
        <v>635</v>
      </c>
      <c r="C4" t="s">
        <v>803</v>
      </c>
    </row>
    <row r="5" spans="1:7" x14ac:dyDescent="0.25">
      <c r="B5" t="s">
        <v>727</v>
      </c>
    </row>
    <row r="6" spans="1:7" x14ac:dyDescent="0.25">
      <c r="B6" t="s">
        <v>636</v>
      </c>
      <c r="C6" s="72">
        <v>90427</v>
      </c>
      <c r="D6" t="s">
        <v>656</v>
      </c>
    </row>
    <row r="7" spans="1:7" x14ac:dyDescent="0.25">
      <c r="A7" t="s">
        <v>684</v>
      </c>
      <c r="B7" t="s">
        <v>685</v>
      </c>
      <c r="C7" s="72">
        <v>8000</v>
      </c>
      <c r="D7" t="s">
        <v>682</v>
      </c>
    </row>
    <row r="8" spans="1:7" x14ac:dyDescent="0.25">
      <c r="B8" t="s">
        <v>686</v>
      </c>
      <c r="C8" s="72">
        <v>1</v>
      </c>
      <c r="D8" t="s">
        <v>653</v>
      </c>
    </row>
    <row r="9" spans="1:7" x14ac:dyDescent="0.25">
      <c r="A9" t="s">
        <v>683</v>
      </c>
      <c r="B9" t="s">
        <v>688</v>
      </c>
      <c r="C9" s="72"/>
    </row>
    <row r="10" spans="1:7" x14ac:dyDescent="0.25">
      <c r="B10" t="s">
        <v>835</v>
      </c>
      <c r="C10" s="72">
        <v>4000</v>
      </c>
      <c r="D10" t="s">
        <v>682</v>
      </c>
    </row>
    <row r="11" spans="1:7" x14ac:dyDescent="0.25">
      <c r="B11" t="s">
        <v>1079</v>
      </c>
      <c r="C11" s="72"/>
      <c r="D11" t="s">
        <v>682</v>
      </c>
    </row>
    <row r="12" spans="1:7" x14ac:dyDescent="0.25">
      <c r="A12" s="36" t="s">
        <v>729</v>
      </c>
      <c r="B12" s="37"/>
      <c r="C12" s="37"/>
      <c r="D12" s="37"/>
    </row>
    <row r="13" spans="1:7" x14ac:dyDescent="0.25">
      <c r="A13" t="s">
        <v>639</v>
      </c>
      <c r="B13" t="s">
        <v>13</v>
      </c>
      <c r="C13" s="71">
        <v>1</v>
      </c>
      <c r="D13" t="s">
        <v>653</v>
      </c>
    </row>
    <row r="14" spans="1:7" x14ac:dyDescent="0.25">
      <c r="B14" t="s">
        <v>638</v>
      </c>
      <c r="C14" s="72">
        <v>0</v>
      </c>
      <c r="D14" t="s">
        <v>653</v>
      </c>
    </row>
    <row r="15" spans="1:7" x14ac:dyDescent="0.25">
      <c r="B15" t="s">
        <v>374</v>
      </c>
      <c r="C15" s="72">
        <v>0</v>
      </c>
      <c r="D15" t="s">
        <v>653</v>
      </c>
    </row>
    <row r="16" spans="1:7" x14ac:dyDescent="0.25">
      <c r="A16" t="s">
        <v>12</v>
      </c>
      <c r="B16" t="s">
        <v>16</v>
      </c>
      <c r="C16" s="73">
        <f>IF(C17&gt;0,2022-C17," ")</f>
        <v>32</v>
      </c>
      <c r="D16" t="s">
        <v>16</v>
      </c>
    </row>
    <row r="17" spans="1:4" x14ac:dyDescent="0.25">
      <c r="B17" t="s">
        <v>637</v>
      </c>
      <c r="C17" s="73">
        <v>1990</v>
      </c>
      <c r="D17" s="49" t="s">
        <v>652</v>
      </c>
    </row>
    <row r="18" spans="1:4" x14ac:dyDescent="0.25">
      <c r="A18" t="s">
        <v>17</v>
      </c>
      <c r="B18" t="s">
        <v>21</v>
      </c>
      <c r="C18" s="72">
        <v>1</v>
      </c>
      <c r="D18" t="s">
        <v>653</v>
      </c>
    </row>
    <row r="19" spans="1:4" x14ac:dyDescent="0.25">
      <c r="B19" t="s">
        <v>22</v>
      </c>
      <c r="C19" s="72">
        <v>0</v>
      </c>
      <c r="D19" t="s">
        <v>653</v>
      </c>
    </row>
    <row r="20" spans="1:4" x14ac:dyDescent="0.25">
      <c r="B20" t="s">
        <v>640</v>
      </c>
      <c r="C20" s="72">
        <v>0</v>
      </c>
      <c r="D20" t="s">
        <v>653</v>
      </c>
    </row>
    <row r="21" spans="1:4" x14ac:dyDescent="0.25">
      <c r="B21" t="s">
        <v>641</v>
      </c>
      <c r="C21" s="72">
        <v>0</v>
      </c>
      <c r="D21" t="s">
        <v>653</v>
      </c>
    </row>
    <row r="22" spans="1:4" x14ac:dyDescent="0.25">
      <c r="B22" t="s">
        <v>30</v>
      </c>
      <c r="C22" s="72">
        <v>0</v>
      </c>
      <c r="D22" t="s">
        <v>653</v>
      </c>
    </row>
    <row r="23" spans="1:4" x14ac:dyDescent="0.25">
      <c r="B23" t="s">
        <v>29</v>
      </c>
      <c r="C23" s="72">
        <v>0</v>
      </c>
      <c r="D23" t="s">
        <v>653</v>
      </c>
    </row>
    <row r="24" spans="1:4" x14ac:dyDescent="0.25">
      <c r="A24" t="s">
        <v>642</v>
      </c>
      <c r="B24" t="s">
        <v>16</v>
      </c>
      <c r="C24" s="73">
        <f>IF(C25&gt;0,2022-C25,C16)</f>
        <v>32</v>
      </c>
      <c r="D24" t="s">
        <v>16</v>
      </c>
    </row>
    <row r="25" spans="1:4" x14ac:dyDescent="0.25">
      <c r="B25" t="s">
        <v>637</v>
      </c>
      <c r="C25" s="73"/>
      <c r="D25" s="49" t="s">
        <v>652</v>
      </c>
    </row>
    <row r="26" spans="1:4" x14ac:dyDescent="0.25">
      <c r="A26" t="s">
        <v>242</v>
      </c>
      <c r="B26" t="s">
        <v>21</v>
      </c>
      <c r="C26" s="72">
        <v>1</v>
      </c>
      <c r="D26" t="s">
        <v>653</v>
      </c>
    </row>
    <row r="27" spans="1:4" x14ac:dyDescent="0.25">
      <c r="B27" t="s">
        <v>22</v>
      </c>
      <c r="C27" s="72">
        <v>0</v>
      </c>
      <c r="D27" t="s">
        <v>653</v>
      </c>
    </row>
    <row r="28" spans="1:4" x14ac:dyDescent="0.25">
      <c r="B28" t="s">
        <v>640</v>
      </c>
      <c r="C28" s="72">
        <v>0</v>
      </c>
      <c r="D28" t="s">
        <v>653</v>
      </c>
    </row>
    <row r="29" spans="1:4" x14ac:dyDescent="0.25">
      <c r="B29" t="s">
        <v>641</v>
      </c>
      <c r="C29" s="72">
        <v>0</v>
      </c>
      <c r="D29" t="s">
        <v>653</v>
      </c>
    </row>
    <row r="30" spans="1:4" x14ac:dyDescent="0.25">
      <c r="B30" t="s">
        <v>30</v>
      </c>
      <c r="C30" s="72">
        <v>0</v>
      </c>
      <c r="D30" t="s">
        <v>653</v>
      </c>
    </row>
    <row r="31" spans="1:4" x14ac:dyDescent="0.25">
      <c r="B31" t="s">
        <v>29</v>
      </c>
      <c r="C31" s="72">
        <v>0</v>
      </c>
      <c r="D31" t="s">
        <v>653</v>
      </c>
    </row>
    <row r="32" spans="1:4" x14ac:dyDescent="0.25">
      <c r="A32" t="s">
        <v>813</v>
      </c>
      <c r="B32" t="s">
        <v>16</v>
      </c>
      <c r="C32" s="73">
        <f>IF(C33&gt;0,2022-C33,C16)</f>
        <v>12</v>
      </c>
      <c r="D32" t="s">
        <v>16</v>
      </c>
    </row>
    <row r="33" spans="1:4" x14ac:dyDescent="0.25">
      <c r="B33" t="s">
        <v>637</v>
      </c>
      <c r="C33" s="73">
        <v>2010</v>
      </c>
      <c r="D33" s="49" t="s">
        <v>652</v>
      </c>
    </row>
    <row r="34" spans="1:4" x14ac:dyDescent="0.25">
      <c r="A34" t="s">
        <v>31</v>
      </c>
      <c r="B34" t="s">
        <v>426</v>
      </c>
      <c r="C34" s="72">
        <v>0</v>
      </c>
      <c r="D34" t="s">
        <v>653</v>
      </c>
    </row>
    <row r="35" spans="1:4" x14ac:dyDescent="0.25">
      <c r="B35" t="s">
        <v>32</v>
      </c>
      <c r="C35" s="72">
        <v>0</v>
      </c>
      <c r="D35" t="s">
        <v>653</v>
      </c>
    </row>
    <row r="36" spans="1:4" x14ac:dyDescent="0.25">
      <c r="B36" t="s">
        <v>418</v>
      </c>
      <c r="C36" s="72">
        <v>0</v>
      </c>
      <c r="D36" t="s">
        <v>653</v>
      </c>
    </row>
    <row r="37" spans="1:4" x14ac:dyDescent="0.25">
      <c r="B37" t="s">
        <v>33</v>
      </c>
      <c r="C37" s="72">
        <v>1</v>
      </c>
      <c r="D37" t="s">
        <v>653</v>
      </c>
    </row>
    <row r="38" spans="1:4" x14ac:dyDescent="0.25">
      <c r="B38" t="s">
        <v>643</v>
      </c>
      <c r="C38" s="72">
        <v>0</v>
      </c>
      <c r="D38" t="s">
        <v>653</v>
      </c>
    </row>
    <row r="39" spans="1:4" x14ac:dyDescent="0.25">
      <c r="A39" t="s">
        <v>644</v>
      </c>
      <c r="B39" t="s">
        <v>16</v>
      </c>
      <c r="C39" s="73">
        <f>IF(C40&gt;0,2022-C40,C16)</f>
        <v>12</v>
      </c>
      <c r="D39" t="s">
        <v>687</v>
      </c>
    </row>
    <row r="40" spans="1:4" x14ac:dyDescent="0.25">
      <c r="B40" t="s">
        <v>637</v>
      </c>
      <c r="C40" s="73">
        <v>2010</v>
      </c>
      <c r="D40" s="49" t="s">
        <v>652</v>
      </c>
    </row>
    <row r="41" spans="1:4" x14ac:dyDescent="0.25">
      <c r="A41" t="s">
        <v>645</v>
      </c>
      <c r="B41" t="s">
        <v>34</v>
      </c>
      <c r="C41" s="72">
        <v>5</v>
      </c>
      <c r="D41" t="s">
        <v>38</v>
      </c>
    </row>
    <row r="42" spans="1:4" x14ac:dyDescent="0.25">
      <c r="B42" t="s">
        <v>35</v>
      </c>
      <c r="C42" s="72">
        <v>100</v>
      </c>
      <c r="D42" t="s">
        <v>38</v>
      </c>
    </row>
    <row r="43" spans="1:4" x14ac:dyDescent="0.25">
      <c r="B43" t="s">
        <v>36</v>
      </c>
      <c r="C43" s="72">
        <v>50</v>
      </c>
      <c r="D43" t="s">
        <v>38</v>
      </c>
    </row>
    <row r="44" spans="1:4" x14ac:dyDescent="0.25">
      <c r="B44" t="s">
        <v>37</v>
      </c>
      <c r="C44" s="72">
        <v>4</v>
      </c>
      <c r="D44" t="s">
        <v>38</v>
      </c>
    </row>
    <row r="45" spans="1:4" x14ac:dyDescent="0.25">
      <c r="B45" t="s">
        <v>646</v>
      </c>
      <c r="C45" s="72">
        <v>2</v>
      </c>
      <c r="D45" t="s">
        <v>38</v>
      </c>
    </row>
    <row r="46" spans="1:4" x14ac:dyDescent="0.25">
      <c r="B46" t="s">
        <v>650</v>
      </c>
      <c r="C46" s="72">
        <v>0.85</v>
      </c>
      <c r="D46" t="s">
        <v>38</v>
      </c>
    </row>
    <row r="47" spans="1:4" x14ac:dyDescent="0.25">
      <c r="B47" t="s">
        <v>810</v>
      </c>
      <c r="C47" s="72">
        <v>4</v>
      </c>
      <c r="D47" t="s">
        <v>38</v>
      </c>
    </row>
    <row r="48" spans="1:4" x14ac:dyDescent="0.25">
      <c r="A48" t="s">
        <v>269</v>
      </c>
      <c r="B48" t="s">
        <v>269</v>
      </c>
      <c r="C48" s="72">
        <v>1</v>
      </c>
      <c r="D48" t="s">
        <v>653</v>
      </c>
    </row>
    <row r="49" spans="1:4" x14ac:dyDescent="0.25">
      <c r="B49" t="s">
        <v>842</v>
      </c>
      <c r="C49" s="73">
        <f>IF(C50&gt;0,2022-C50,C16)</f>
        <v>32</v>
      </c>
      <c r="D49" t="s">
        <v>16</v>
      </c>
    </row>
    <row r="50" spans="1:4" x14ac:dyDescent="0.25">
      <c r="B50" t="s">
        <v>843</v>
      </c>
      <c r="C50" s="72"/>
      <c r="D50" s="49" t="s">
        <v>652</v>
      </c>
    </row>
    <row r="51" spans="1:4" x14ac:dyDescent="0.25">
      <c r="A51" t="s">
        <v>647</v>
      </c>
      <c r="B51" t="s">
        <v>648</v>
      </c>
      <c r="C51" s="72">
        <v>1</v>
      </c>
      <c r="D51" t="s">
        <v>653</v>
      </c>
    </row>
    <row r="52" spans="1:4" x14ac:dyDescent="0.25">
      <c r="B52" t="s">
        <v>649</v>
      </c>
      <c r="C52" s="72">
        <v>0</v>
      </c>
      <c r="D52" t="s">
        <v>653</v>
      </c>
    </row>
    <row r="53" spans="1:4" x14ac:dyDescent="0.25">
      <c r="A53" t="s">
        <v>42</v>
      </c>
      <c r="B53" t="s">
        <v>43</v>
      </c>
      <c r="C53" s="72">
        <v>0</v>
      </c>
      <c r="D53" t="s">
        <v>653</v>
      </c>
    </row>
    <row r="54" spans="1:4" x14ac:dyDescent="0.25">
      <c r="B54" t="s">
        <v>434</v>
      </c>
      <c r="C54" s="72">
        <v>0</v>
      </c>
      <c r="D54" t="s">
        <v>653</v>
      </c>
    </row>
    <row r="55" spans="1:4" x14ac:dyDescent="0.25">
      <c r="B55" t="s">
        <v>435</v>
      </c>
      <c r="C55" s="72">
        <v>1</v>
      </c>
      <c r="D55" t="s">
        <v>653</v>
      </c>
    </row>
    <row r="56" spans="1:4" x14ac:dyDescent="0.25">
      <c r="B56" t="s">
        <v>651</v>
      </c>
      <c r="C56" s="73">
        <f>IF(C57&gt;0,2022-C57,C16)</f>
        <v>12</v>
      </c>
      <c r="D56" t="s">
        <v>16</v>
      </c>
    </row>
    <row r="57" spans="1:4" x14ac:dyDescent="0.25">
      <c r="B57" t="s">
        <v>637</v>
      </c>
      <c r="C57" s="73">
        <v>2010</v>
      </c>
      <c r="D57" s="49" t="s">
        <v>652</v>
      </c>
    </row>
    <row r="58" spans="1:4" x14ac:dyDescent="0.25">
      <c r="A58" t="s">
        <v>836</v>
      </c>
      <c r="B58" t="s">
        <v>837</v>
      </c>
      <c r="C58" s="73">
        <v>1</v>
      </c>
      <c r="D58" t="s">
        <v>653</v>
      </c>
    </row>
    <row r="59" spans="1:4" x14ac:dyDescent="0.25">
      <c r="B59" t="s">
        <v>651</v>
      </c>
      <c r="C59" s="73">
        <f>IF(C60&gt;0,2022-C60,C16)</f>
        <v>32</v>
      </c>
      <c r="D59" t="s">
        <v>16</v>
      </c>
    </row>
    <row r="60" spans="1:4" x14ac:dyDescent="0.25">
      <c r="B60" t="s">
        <v>637</v>
      </c>
      <c r="C60" s="72"/>
      <c r="D60" s="49" t="s">
        <v>652</v>
      </c>
    </row>
    <row r="61" spans="1:4" x14ac:dyDescent="0.25">
      <c r="B61" t="s">
        <v>838</v>
      </c>
      <c r="C61" s="72">
        <v>0</v>
      </c>
      <c r="D61" t="s">
        <v>653</v>
      </c>
    </row>
    <row r="62" spans="1:4" x14ac:dyDescent="0.25">
      <c r="B62" t="s">
        <v>651</v>
      </c>
      <c r="C62" s="73">
        <f>IF(C63&gt;0,2022-C63,C16)</f>
        <v>32</v>
      </c>
      <c r="D62" t="s">
        <v>16</v>
      </c>
    </row>
    <row r="63" spans="1:4" x14ac:dyDescent="0.25">
      <c r="B63" t="s">
        <v>637</v>
      </c>
      <c r="C63" s="72"/>
      <c r="D63" s="49" t="s">
        <v>652</v>
      </c>
    </row>
    <row r="64" spans="1:4" x14ac:dyDescent="0.25">
      <c r="A64" s="36" t="s">
        <v>239</v>
      </c>
      <c r="B64" s="37"/>
      <c r="C64" s="37"/>
      <c r="D64" s="37"/>
    </row>
    <row r="65" spans="1:4" x14ac:dyDescent="0.25">
      <c r="A65" t="s">
        <v>658</v>
      </c>
      <c r="B65" t="s">
        <v>655</v>
      </c>
      <c r="C65">
        <v>10</v>
      </c>
      <c r="D65" t="s">
        <v>656</v>
      </c>
    </row>
    <row r="66" spans="1:4" x14ac:dyDescent="0.25">
      <c r="B66" t="s">
        <v>944</v>
      </c>
      <c r="C66">
        <v>0.5</v>
      </c>
      <c r="D66" t="s">
        <v>38</v>
      </c>
    </row>
    <row r="67" spans="1:4" x14ac:dyDescent="0.25">
      <c r="B67" t="s">
        <v>983</v>
      </c>
      <c r="C67">
        <v>0</v>
      </c>
      <c r="D67" t="s">
        <v>656</v>
      </c>
    </row>
    <row r="68" spans="1:4" x14ac:dyDescent="0.25">
      <c r="A68" t="s">
        <v>657</v>
      </c>
      <c r="B68" t="s">
        <v>655</v>
      </c>
      <c r="C68">
        <v>0</v>
      </c>
      <c r="D68" t="s">
        <v>656</v>
      </c>
    </row>
    <row r="69" spans="1:4" x14ac:dyDescent="0.25">
      <c r="B69" t="s">
        <v>944</v>
      </c>
      <c r="C69">
        <v>0</v>
      </c>
      <c r="D69" t="s">
        <v>38</v>
      </c>
    </row>
    <row r="70" spans="1:4" x14ac:dyDescent="0.25">
      <c r="B70" t="s">
        <v>983</v>
      </c>
      <c r="C70">
        <v>0</v>
      </c>
      <c r="D70" t="s">
        <v>656</v>
      </c>
    </row>
    <row r="71" spans="1:4" x14ac:dyDescent="0.25">
      <c r="A71" t="s">
        <v>659</v>
      </c>
      <c r="B71" t="s">
        <v>655</v>
      </c>
      <c r="C71">
        <v>112</v>
      </c>
      <c r="D71" t="s">
        <v>656</v>
      </c>
    </row>
    <row r="72" spans="1:4" x14ac:dyDescent="0.25">
      <c r="B72" t="s">
        <v>944</v>
      </c>
      <c r="C72">
        <v>0.5</v>
      </c>
      <c r="D72" t="s">
        <v>38</v>
      </c>
    </row>
    <row r="73" spans="1:4" x14ac:dyDescent="0.25">
      <c r="B73" t="s">
        <v>983</v>
      </c>
      <c r="C73">
        <v>2</v>
      </c>
      <c r="D73" t="s">
        <v>656</v>
      </c>
    </row>
    <row r="74" spans="1:4" x14ac:dyDescent="0.25">
      <c r="A74" t="s">
        <v>660</v>
      </c>
      <c r="B74" t="s">
        <v>655</v>
      </c>
      <c r="C74">
        <v>0</v>
      </c>
      <c r="D74" t="s">
        <v>656</v>
      </c>
    </row>
    <row r="75" spans="1:4" x14ac:dyDescent="0.25">
      <c r="B75" t="s">
        <v>944</v>
      </c>
      <c r="C75">
        <v>0</v>
      </c>
      <c r="D75" t="s">
        <v>38</v>
      </c>
    </row>
    <row r="76" spans="1:4" x14ac:dyDescent="0.25">
      <c r="B76" t="s">
        <v>983</v>
      </c>
      <c r="C76">
        <v>0</v>
      </c>
      <c r="D76" t="s">
        <v>656</v>
      </c>
    </row>
    <row r="82" spans="1:8" x14ac:dyDescent="0.25">
      <c r="A82" t="s">
        <v>52</v>
      </c>
      <c r="B82" t="s">
        <v>681</v>
      </c>
      <c r="C82">
        <f>C42*C43-(C47*C43)</f>
        <v>4800</v>
      </c>
      <c r="D82" t="s">
        <v>682</v>
      </c>
    </row>
    <row r="83" spans="1:8" x14ac:dyDescent="0.25">
      <c r="A83" t="s">
        <v>455</v>
      </c>
      <c r="B83" t="s">
        <v>455</v>
      </c>
      <c r="C83" s="40">
        <f>YEARFRAC(H84,H85,1)*365/7</f>
        <v>46</v>
      </c>
      <c r="D83" t="s">
        <v>629</v>
      </c>
    </row>
    <row r="84" spans="1:8" x14ac:dyDescent="0.25">
      <c r="B84" t="s">
        <v>661</v>
      </c>
      <c r="C84" s="41">
        <v>2</v>
      </c>
      <c r="D84" s="49" t="s">
        <v>662</v>
      </c>
      <c r="E84" s="49" t="s">
        <v>806</v>
      </c>
      <c r="F84" s="41">
        <v>2021</v>
      </c>
      <c r="G84" t="s">
        <v>805</v>
      </c>
      <c r="H84" s="39">
        <f>DATE(F84,1,7*C84-3-WEEKDAY(DATE(F84,,),3))</f>
        <v>44207</v>
      </c>
    </row>
    <row r="85" spans="1:8" x14ac:dyDescent="0.25">
      <c r="B85" t="s">
        <v>663</v>
      </c>
      <c r="C85" s="41">
        <v>48</v>
      </c>
      <c r="D85" s="49" t="s">
        <v>662</v>
      </c>
      <c r="E85" s="49" t="s">
        <v>806</v>
      </c>
      <c r="F85" s="41">
        <v>2021</v>
      </c>
      <c r="G85" t="s">
        <v>805</v>
      </c>
      <c r="H85" s="39">
        <f>DATE(F85,1,7*C85-3-WEEKDAY(DATE(F85,,),3))</f>
        <v>44529</v>
      </c>
    </row>
    <row r="86" spans="1:8" x14ac:dyDescent="0.25">
      <c r="A86" t="s">
        <v>357</v>
      </c>
      <c r="B86" t="s">
        <v>147</v>
      </c>
      <c r="C86" s="41">
        <v>0</v>
      </c>
      <c r="D86" t="s">
        <v>653</v>
      </c>
    </row>
    <row r="87" spans="1:8" x14ac:dyDescent="0.25">
      <c r="B87" t="s">
        <v>358</v>
      </c>
      <c r="C87" s="40">
        <f>YEARFRAC(H88,H89,1)*365/7</f>
        <v>29.000000000000004</v>
      </c>
      <c r="D87" t="s">
        <v>664</v>
      </c>
    </row>
    <row r="88" spans="1:8" x14ac:dyDescent="0.25">
      <c r="B88" t="s">
        <v>665</v>
      </c>
      <c r="C88" s="41">
        <v>30</v>
      </c>
      <c r="D88" s="49" t="s">
        <v>662</v>
      </c>
      <c r="E88" s="49" t="s">
        <v>806</v>
      </c>
      <c r="F88" s="41">
        <v>2021</v>
      </c>
      <c r="G88" t="s">
        <v>805</v>
      </c>
      <c r="H88" s="39">
        <f>DATE(F88,1,7*C88-3-WEEKDAY(DATE(F88,,),3))</f>
        <v>44403</v>
      </c>
    </row>
    <row r="89" spans="1:8" x14ac:dyDescent="0.25">
      <c r="B89" t="s">
        <v>666</v>
      </c>
      <c r="C89" s="41">
        <v>1</v>
      </c>
      <c r="D89" s="49" t="s">
        <v>662</v>
      </c>
      <c r="E89" s="49" t="s">
        <v>806</v>
      </c>
      <c r="F89" s="41">
        <v>2021</v>
      </c>
      <c r="G89" t="s">
        <v>805</v>
      </c>
      <c r="H89" s="39">
        <f>DATE(F89,1,7*C89-3-WEEKDAY(DATE(F89,,),3))</f>
        <v>44200</v>
      </c>
    </row>
    <row r="98" spans="1:4" x14ac:dyDescent="0.25">
      <c r="A98" t="s">
        <v>668</v>
      </c>
      <c r="B98" t="s">
        <v>669</v>
      </c>
    </row>
    <row r="100" spans="1:4" x14ac:dyDescent="0.25">
      <c r="A100" s="36" t="s">
        <v>240</v>
      </c>
      <c r="B100" s="37"/>
      <c r="C100" s="37"/>
      <c r="D100" s="37"/>
    </row>
    <row r="103" spans="1:4" x14ac:dyDescent="0.25">
      <c r="C103" s="38"/>
    </row>
    <row r="105" spans="1:4" x14ac:dyDescent="0.25">
      <c r="A105" t="s">
        <v>670</v>
      </c>
      <c r="B105" t="s">
        <v>78</v>
      </c>
      <c r="C105">
        <v>22.5</v>
      </c>
      <c r="D105" t="s">
        <v>671</v>
      </c>
    </row>
    <row r="106" spans="1:4" x14ac:dyDescent="0.25">
      <c r="B106" t="s">
        <v>80</v>
      </c>
      <c r="C106">
        <v>16</v>
      </c>
      <c r="D106" t="s">
        <v>671</v>
      </c>
    </row>
    <row r="107" spans="1:4" x14ac:dyDescent="0.25">
      <c r="A107" t="s">
        <v>672</v>
      </c>
      <c r="B107" t="s">
        <v>673</v>
      </c>
      <c r="C107">
        <v>0</v>
      </c>
      <c r="D107" t="s">
        <v>653</v>
      </c>
    </row>
    <row r="108" spans="1:4" x14ac:dyDescent="0.25">
      <c r="B108" t="s">
        <v>674</v>
      </c>
      <c r="C108">
        <v>30</v>
      </c>
      <c r="D108" t="s">
        <v>675</v>
      </c>
    </row>
    <row r="110" spans="1:4" x14ac:dyDescent="0.25">
      <c r="A110" s="36" t="s">
        <v>88</v>
      </c>
      <c r="B110" s="37"/>
      <c r="C110" s="37"/>
      <c r="D110" s="37"/>
    </row>
    <row r="111" spans="1:4" x14ac:dyDescent="0.25">
      <c r="A111" t="s">
        <v>89</v>
      </c>
      <c r="B111" t="s">
        <v>318</v>
      </c>
      <c r="C111">
        <v>1</v>
      </c>
      <c r="D111" t="s">
        <v>676</v>
      </c>
    </row>
    <row r="112" spans="1:4" x14ac:dyDescent="0.25">
      <c r="B112" t="s">
        <v>318</v>
      </c>
      <c r="D112" s="49" t="s">
        <v>102</v>
      </c>
    </row>
    <row r="113" spans="1:5" x14ac:dyDescent="0.25">
      <c r="B113" t="s">
        <v>677</v>
      </c>
      <c r="D113" t="s">
        <v>161</v>
      </c>
    </row>
    <row r="114" spans="1:5" x14ac:dyDescent="0.25">
      <c r="A114" t="s">
        <v>679</v>
      </c>
      <c r="B114" t="s">
        <v>318</v>
      </c>
      <c r="D114" t="s">
        <v>676</v>
      </c>
    </row>
    <row r="115" spans="1:5" x14ac:dyDescent="0.25">
      <c r="B115" t="s">
        <v>318</v>
      </c>
      <c r="C115">
        <v>20</v>
      </c>
      <c r="D115" s="49" t="s">
        <v>102</v>
      </c>
    </row>
    <row r="116" spans="1:5" x14ac:dyDescent="0.25">
      <c r="B116" t="s">
        <v>677</v>
      </c>
      <c r="D116" t="s">
        <v>161</v>
      </c>
    </row>
    <row r="117" spans="1:5" x14ac:dyDescent="0.25">
      <c r="A117" t="s">
        <v>90</v>
      </c>
      <c r="B117" t="s">
        <v>318</v>
      </c>
      <c r="C117">
        <v>800</v>
      </c>
      <c r="D117" t="s">
        <v>678</v>
      </c>
      <c r="E117">
        <v>3</v>
      </c>
    </row>
    <row r="118" spans="1:5" x14ac:dyDescent="0.25">
      <c r="B118" t="s">
        <v>318</v>
      </c>
      <c r="C118">
        <f>C117*1.17647059</f>
        <v>941.1764720000001</v>
      </c>
      <c r="D118" t="s">
        <v>143</v>
      </c>
      <c r="E118">
        <v>2</v>
      </c>
    </row>
    <row r="119" spans="1:5" x14ac:dyDescent="0.25">
      <c r="B119" t="s">
        <v>318</v>
      </c>
      <c r="D119" s="49" t="s">
        <v>102</v>
      </c>
      <c r="E119">
        <v>1</v>
      </c>
    </row>
    <row r="120" spans="1:5" x14ac:dyDescent="0.25">
      <c r="A120" t="s">
        <v>91</v>
      </c>
      <c r="B120" t="s">
        <v>318</v>
      </c>
      <c r="C120">
        <v>300</v>
      </c>
      <c r="D120" t="s">
        <v>678</v>
      </c>
    </row>
    <row r="121" spans="1:5" x14ac:dyDescent="0.25">
      <c r="B121" t="s">
        <v>318</v>
      </c>
      <c r="D121" s="49" t="s">
        <v>102</v>
      </c>
    </row>
    <row r="122" spans="1:5" x14ac:dyDescent="0.25">
      <c r="A122" t="s">
        <v>94</v>
      </c>
      <c r="B122" t="s">
        <v>318</v>
      </c>
      <c r="C122">
        <v>40</v>
      </c>
      <c r="D122" t="s">
        <v>678</v>
      </c>
    </row>
    <row r="123" spans="1:5" x14ac:dyDescent="0.25">
      <c r="B123" t="s">
        <v>318</v>
      </c>
      <c r="D123" s="49" t="s">
        <v>102</v>
      </c>
    </row>
    <row r="124" spans="1:5" x14ac:dyDescent="0.25">
      <c r="A124" t="s">
        <v>92</v>
      </c>
      <c r="B124" t="s">
        <v>318</v>
      </c>
      <c r="C124">
        <v>80</v>
      </c>
      <c r="D124" t="s">
        <v>678</v>
      </c>
    </row>
    <row r="125" spans="1:5" x14ac:dyDescent="0.25">
      <c r="B125" t="s">
        <v>318</v>
      </c>
      <c r="D125" s="49" t="s">
        <v>102</v>
      </c>
    </row>
    <row r="126" spans="1:5" x14ac:dyDescent="0.25">
      <c r="A126" t="s">
        <v>868</v>
      </c>
      <c r="B126" t="s">
        <v>318</v>
      </c>
      <c r="D126" t="s">
        <v>102</v>
      </c>
    </row>
    <row r="127" spans="1:5" x14ac:dyDescent="0.25">
      <c r="A127" t="s">
        <v>532</v>
      </c>
      <c r="B127" t="s">
        <v>318</v>
      </c>
      <c r="D127" t="s">
        <v>102</v>
      </c>
    </row>
    <row r="128" spans="1:5" x14ac:dyDescent="0.25">
      <c r="A128" t="s">
        <v>114</v>
      </c>
      <c r="B128" t="s">
        <v>680</v>
      </c>
      <c r="D128" t="s">
        <v>653</v>
      </c>
    </row>
    <row r="129" spans="1:5" x14ac:dyDescent="0.25">
      <c r="B129" t="s">
        <v>877</v>
      </c>
      <c r="C129">
        <f>(C130*C132*10.4/1.1268)+(C130*C134*5/1.1268)</f>
        <v>58501952.431664892</v>
      </c>
      <c r="D129" s="49" t="s">
        <v>102</v>
      </c>
      <c r="E129">
        <v>1</v>
      </c>
    </row>
    <row r="130" spans="1:5" x14ac:dyDescent="0.25">
      <c r="B130" t="s">
        <v>877</v>
      </c>
      <c r="C130">
        <v>80000</v>
      </c>
      <c r="D130" t="s">
        <v>676</v>
      </c>
      <c r="E130">
        <v>2</v>
      </c>
    </row>
    <row r="131" spans="1:5" x14ac:dyDescent="0.25">
      <c r="B131" t="s">
        <v>878</v>
      </c>
      <c r="D131" s="49" t="s">
        <v>676</v>
      </c>
      <c r="E131">
        <v>1</v>
      </c>
    </row>
    <row r="132" spans="1:5" x14ac:dyDescent="0.25">
      <c r="B132" t="s">
        <v>875</v>
      </c>
      <c r="C132">
        <v>60</v>
      </c>
      <c r="D132" t="s">
        <v>161</v>
      </c>
      <c r="E132">
        <v>2</v>
      </c>
    </row>
    <row r="133" spans="1:5" x14ac:dyDescent="0.25">
      <c r="B133" t="s">
        <v>879</v>
      </c>
      <c r="D133" s="49" t="s">
        <v>676</v>
      </c>
      <c r="E133">
        <v>1</v>
      </c>
    </row>
    <row r="134" spans="1:5" x14ac:dyDescent="0.25">
      <c r="B134" t="s">
        <v>876</v>
      </c>
      <c r="C134">
        <v>40</v>
      </c>
      <c r="D134" t="s">
        <v>161</v>
      </c>
      <c r="E134">
        <v>2</v>
      </c>
    </row>
    <row r="135" spans="1:5" x14ac:dyDescent="0.25">
      <c r="A135" t="s">
        <v>689</v>
      </c>
      <c r="B135" t="s">
        <v>690</v>
      </c>
      <c r="C135">
        <f>(C10/C7)*C136</f>
        <v>28.5</v>
      </c>
      <c r="D135" t="s">
        <v>102</v>
      </c>
    </row>
    <row r="136" spans="1:5" x14ac:dyDescent="0.25">
      <c r="B136" t="s">
        <v>691</v>
      </c>
      <c r="C136">
        <f>C138+C140+C142+C144+C146+C148+C150+C152+C156+C154</f>
        <v>57</v>
      </c>
      <c r="D136" t="s">
        <v>102</v>
      </c>
    </row>
    <row r="137" spans="1:5" x14ac:dyDescent="0.25">
      <c r="A137" t="s">
        <v>111</v>
      </c>
      <c r="B137" t="s">
        <v>112</v>
      </c>
      <c r="D137" t="s">
        <v>161</v>
      </c>
    </row>
    <row r="138" spans="1:5" x14ac:dyDescent="0.25">
      <c r="C138">
        <v>20</v>
      </c>
      <c r="D138" s="49" t="s">
        <v>102</v>
      </c>
    </row>
    <row r="139" spans="1:5" x14ac:dyDescent="0.25">
      <c r="B139" t="s">
        <v>692</v>
      </c>
      <c r="D139" t="s">
        <v>161</v>
      </c>
    </row>
    <row r="140" spans="1:5" x14ac:dyDescent="0.25">
      <c r="C140">
        <v>24</v>
      </c>
      <c r="D140" s="49" t="s">
        <v>102</v>
      </c>
    </row>
    <row r="141" spans="1:5" x14ac:dyDescent="0.25">
      <c r="B141" t="s">
        <v>528</v>
      </c>
      <c r="D141" t="s">
        <v>161</v>
      </c>
    </row>
    <row r="142" spans="1:5" x14ac:dyDescent="0.25">
      <c r="C142">
        <v>13</v>
      </c>
      <c r="D142" s="49" t="s">
        <v>102</v>
      </c>
    </row>
    <row r="143" spans="1:5" x14ac:dyDescent="0.25">
      <c r="B143" t="s">
        <v>693</v>
      </c>
      <c r="D143" t="s">
        <v>161</v>
      </c>
    </row>
    <row r="144" spans="1:5" x14ac:dyDescent="0.25">
      <c r="D144" s="49" t="s">
        <v>102</v>
      </c>
    </row>
    <row r="145" spans="1:6" x14ac:dyDescent="0.25">
      <c r="B145" t="s">
        <v>694</v>
      </c>
      <c r="D145" t="s">
        <v>161</v>
      </c>
    </row>
    <row r="146" spans="1:6" x14ac:dyDescent="0.25">
      <c r="D146" s="49" t="s">
        <v>102</v>
      </c>
    </row>
    <row r="147" spans="1:6" x14ac:dyDescent="0.25">
      <c r="B147" t="s">
        <v>531</v>
      </c>
      <c r="D147" t="s">
        <v>161</v>
      </c>
    </row>
    <row r="148" spans="1:6" x14ac:dyDescent="0.25">
      <c r="D148" s="49" t="s">
        <v>102</v>
      </c>
    </row>
    <row r="149" spans="1:6" x14ac:dyDescent="0.25">
      <c r="B149" t="s">
        <v>532</v>
      </c>
      <c r="D149" t="s">
        <v>161</v>
      </c>
    </row>
    <row r="150" spans="1:6" x14ac:dyDescent="0.25">
      <c r="D150" s="49" t="s">
        <v>102</v>
      </c>
    </row>
    <row r="151" spans="1:6" x14ac:dyDescent="0.25">
      <c r="B151" t="s">
        <v>883</v>
      </c>
      <c r="D151" t="s">
        <v>161</v>
      </c>
    </row>
    <row r="152" spans="1:6" x14ac:dyDescent="0.25">
      <c r="D152" s="49" t="s">
        <v>102</v>
      </c>
    </row>
    <row r="153" spans="1:6" x14ac:dyDescent="0.25">
      <c r="B153" t="s">
        <v>884</v>
      </c>
      <c r="D153" t="s">
        <v>161</v>
      </c>
    </row>
    <row r="154" spans="1:6" x14ac:dyDescent="0.25">
      <c r="D154" s="49" t="s">
        <v>102</v>
      </c>
    </row>
    <row r="155" spans="1:6" x14ac:dyDescent="0.25">
      <c r="B155" t="s">
        <v>624</v>
      </c>
      <c r="D155" t="s">
        <v>161</v>
      </c>
    </row>
    <row r="156" spans="1:6" x14ac:dyDescent="0.25">
      <c r="D156" s="49" t="s">
        <v>102</v>
      </c>
    </row>
    <row r="157" spans="1:6" x14ac:dyDescent="0.25">
      <c r="A157" t="s">
        <v>104</v>
      </c>
      <c r="B157" t="s">
        <v>695</v>
      </c>
      <c r="C157">
        <v>0</v>
      </c>
      <c r="D157" t="s">
        <v>804</v>
      </c>
    </row>
    <row r="158" spans="1:6" x14ac:dyDescent="0.25">
      <c r="B158" t="s">
        <v>696</v>
      </c>
      <c r="C158">
        <v>20000</v>
      </c>
      <c r="D158" s="49" t="s">
        <v>102</v>
      </c>
      <c r="E158" t="s">
        <v>885</v>
      </c>
      <c r="F158">
        <f>IF(C162&gt;0,C159*C160*C162,C159*C160*C161*Kalkulation!E6*7)</f>
        <v>0</v>
      </c>
    </row>
    <row r="159" spans="1:6" x14ac:dyDescent="0.25">
      <c r="B159" t="s">
        <v>107</v>
      </c>
      <c r="D159" t="s">
        <v>656</v>
      </c>
    </row>
    <row r="160" spans="1:6" x14ac:dyDescent="0.25">
      <c r="B160" t="s">
        <v>697</v>
      </c>
      <c r="D160" t="s">
        <v>110</v>
      </c>
    </row>
    <row r="161" spans="1:5" x14ac:dyDescent="0.25">
      <c r="B161" t="s">
        <v>108</v>
      </c>
      <c r="D161" t="s">
        <v>109</v>
      </c>
    </row>
    <row r="162" spans="1:5" x14ac:dyDescent="0.25">
      <c r="B162" t="s">
        <v>698</v>
      </c>
      <c r="D162" t="s">
        <v>109</v>
      </c>
    </row>
    <row r="164" spans="1:5" x14ac:dyDescent="0.25">
      <c r="A164" s="36" t="s">
        <v>116</v>
      </c>
      <c r="B164" s="37"/>
      <c r="C164" s="37"/>
      <c r="D164" s="37"/>
    </row>
    <row r="165" spans="1:5" x14ac:dyDescent="0.25">
      <c r="A165" t="s">
        <v>115</v>
      </c>
      <c r="B165" t="s">
        <v>700</v>
      </c>
      <c r="D165" t="s">
        <v>117</v>
      </c>
    </row>
    <row r="166" spans="1:5" x14ac:dyDescent="0.25">
      <c r="B166" t="s">
        <v>700</v>
      </c>
      <c r="D166" t="s">
        <v>676</v>
      </c>
    </row>
    <row r="167" spans="1:5" x14ac:dyDescent="0.25">
      <c r="B167" t="s">
        <v>120</v>
      </c>
      <c r="D167" s="49" t="s">
        <v>117</v>
      </c>
      <c r="E167">
        <f>IF(C167&gt;0,C167,C169*C82)</f>
        <v>0</v>
      </c>
    </row>
    <row r="168" spans="1:5" x14ac:dyDescent="0.25">
      <c r="B168" t="s">
        <v>120</v>
      </c>
      <c r="C168">
        <v>60</v>
      </c>
      <c r="D168" t="s">
        <v>676</v>
      </c>
    </row>
    <row r="169" spans="1:5" x14ac:dyDescent="0.25">
      <c r="B169" t="s">
        <v>120</v>
      </c>
      <c r="D169" t="s">
        <v>701</v>
      </c>
    </row>
    <row r="170" spans="1:5" x14ac:dyDescent="0.25">
      <c r="B170" t="s">
        <v>699</v>
      </c>
      <c r="D170" s="49" t="s">
        <v>117</v>
      </c>
      <c r="E170">
        <f>IF(C170&gt;0,C170,C172*C82)</f>
        <v>0</v>
      </c>
    </row>
    <row r="171" spans="1:5" x14ac:dyDescent="0.25">
      <c r="B171" t="s">
        <v>699</v>
      </c>
      <c r="D171" t="s">
        <v>676</v>
      </c>
    </row>
    <row r="172" spans="1:5" x14ac:dyDescent="0.25">
      <c r="B172" t="s">
        <v>699</v>
      </c>
      <c r="D172" t="s">
        <v>701</v>
      </c>
    </row>
    <row r="173" spans="1:5" x14ac:dyDescent="0.25">
      <c r="B173" t="s">
        <v>114</v>
      </c>
      <c r="D173" s="49" t="s">
        <v>117</v>
      </c>
      <c r="E173">
        <f>IF(C173&gt;0,C173,C175*C82)</f>
        <v>0</v>
      </c>
    </row>
    <row r="174" spans="1:5" x14ac:dyDescent="0.25">
      <c r="B174" t="s">
        <v>114</v>
      </c>
      <c r="C174">
        <v>50</v>
      </c>
      <c r="D174" t="s">
        <v>676</v>
      </c>
    </row>
    <row r="175" spans="1:5" x14ac:dyDescent="0.25">
      <c r="B175" t="s">
        <v>114</v>
      </c>
      <c r="D175" t="s">
        <v>701</v>
      </c>
    </row>
    <row r="176" spans="1:5" x14ac:dyDescent="0.25">
      <c r="A176" t="s">
        <v>548</v>
      </c>
      <c r="B176" s="15" t="s">
        <v>126</v>
      </c>
      <c r="C176">
        <v>10</v>
      </c>
      <c r="D176" t="s">
        <v>117</v>
      </c>
    </row>
    <row r="177" spans="2:4" x14ac:dyDescent="0.25">
      <c r="B177" s="15" t="s">
        <v>125</v>
      </c>
      <c r="C177">
        <v>8</v>
      </c>
      <c r="D177" t="s">
        <v>117</v>
      </c>
    </row>
    <row r="178" spans="2:4" x14ac:dyDescent="0.25">
      <c r="B178" s="15" t="s">
        <v>335</v>
      </c>
      <c r="C178">
        <v>3</v>
      </c>
      <c r="D178" t="s">
        <v>117</v>
      </c>
    </row>
    <row r="179" spans="2:4" x14ac:dyDescent="0.25">
      <c r="B179" s="15" t="s">
        <v>158</v>
      </c>
      <c r="C179">
        <v>5</v>
      </c>
      <c r="D179" t="s">
        <v>117</v>
      </c>
    </row>
    <row r="180" spans="2:4" x14ac:dyDescent="0.25">
      <c r="B180" s="15" t="s">
        <v>339</v>
      </c>
      <c r="C180">
        <v>4</v>
      </c>
      <c r="D180" t="s">
        <v>117</v>
      </c>
    </row>
    <row r="181" spans="2:4" x14ac:dyDescent="0.25">
      <c r="B181" s="15" t="s">
        <v>336</v>
      </c>
      <c r="C181">
        <v>3</v>
      </c>
      <c r="D181" t="s">
        <v>117</v>
      </c>
    </row>
    <row r="182" spans="2:4" x14ac:dyDescent="0.25">
      <c r="B182" s="15" t="s">
        <v>337</v>
      </c>
      <c r="C182">
        <v>2</v>
      </c>
      <c r="D182" t="s">
        <v>117</v>
      </c>
    </row>
    <row r="183" spans="2:4" x14ac:dyDescent="0.25">
      <c r="B183" s="15" t="s">
        <v>338</v>
      </c>
      <c r="C183">
        <v>1</v>
      </c>
      <c r="D183" t="s">
        <v>117</v>
      </c>
    </row>
    <row r="184" spans="2:4" x14ac:dyDescent="0.25">
      <c r="B184" s="15" t="s">
        <v>340</v>
      </c>
      <c r="C184">
        <v>88</v>
      </c>
      <c r="D184" t="s">
        <v>117</v>
      </c>
    </row>
    <row r="185" spans="2:4" x14ac:dyDescent="0.25">
      <c r="B185" s="15" t="s">
        <v>341</v>
      </c>
      <c r="C185">
        <v>21</v>
      </c>
      <c r="D185" t="s">
        <v>117</v>
      </c>
    </row>
    <row r="186" spans="2:4" x14ac:dyDescent="0.25">
      <c r="B186" s="15" t="s">
        <v>342</v>
      </c>
      <c r="C186">
        <v>2145</v>
      </c>
      <c r="D186" t="s">
        <v>117</v>
      </c>
    </row>
    <row r="188" spans="2:4" x14ac:dyDescent="0.25">
      <c r="B188" s="15" t="s">
        <v>127</v>
      </c>
      <c r="C188">
        <v>3</v>
      </c>
      <c r="D188" t="s">
        <v>117</v>
      </c>
    </row>
    <row r="189" spans="2:4" x14ac:dyDescent="0.25">
      <c r="B189" s="15" t="s">
        <v>128</v>
      </c>
      <c r="C189">
        <v>5</v>
      </c>
      <c r="D189" t="s">
        <v>117</v>
      </c>
    </row>
    <row r="190" spans="2:4" x14ac:dyDescent="0.25">
      <c r="B190" s="15" t="s">
        <v>129</v>
      </c>
      <c r="C190">
        <v>8</v>
      </c>
      <c r="D190" t="s">
        <v>117</v>
      </c>
    </row>
    <row r="191" spans="2:4" x14ac:dyDescent="0.25">
      <c r="B191" s="15" t="s">
        <v>130</v>
      </c>
      <c r="C191">
        <v>4</v>
      </c>
      <c r="D191" t="s">
        <v>117</v>
      </c>
    </row>
    <row r="192" spans="2:4" x14ac:dyDescent="0.25">
      <c r="B192" s="15" t="s">
        <v>131</v>
      </c>
      <c r="C192">
        <v>5</v>
      </c>
      <c r="D192" t="s">
        <v>117</v>
      </c>
    </row>
    <row r="193" spans="2:4" x14ac:dyDescent="0.25">
      <c r="B193" s="15" t="s">
        <v>132</v>
      </c>
      <c r="C193">
        <v>8</v>
      </c>
      <c r="D193" t="s">
        <v>117</v>
      </c>
    </row>
    <row r="194" spans="2:4" x14ac:dyDescent="0.25">
      <c r="B194" s="15" t="s">
        <v>325</v>
      </c>
      <c r="D194" t="s">
        <v>117</v>
      </c>
    </row>
    <row r="195" spans="2:4" x14ac:dyDescent="0.25">
      <c r="B195" s="15" t="s">
        <v>133</v>
      </c>
      <c r="C195">
        <v>5</v>
      </c>
      <c r="D195" t="s">
        <v>117</v>
      </c>
    </row>
    <row r="196" spans="2:4" x14ac:dyDescent="0.25">
      <c r="B196" s="15" t="s">
        <v>334</v>
      </c>
      <c r="C196">
        <v>85</v>
      </c>
      <c r="D196" t="s">
        <v>117</v>
      </c>
    </row>
    <row r="197" spans="2:4" x14ac:dyDescent="0.25">
      <c r="B197" s="15" t="s">
        <v>134</v>
      </c>
      <c r="C197">
        <v>5</v>
      </c>
      <c r="D197" t="s">
        <v>117</v>
      </c>
    </row>
    <row r="198" spans="2:4" x14ac:dyDescent="0.25">
      <c r="B198" s="15" t="s">
        <v>135</v>
      </c>
      <c r="C198">
        <v>8</v>
      </c>
      <c r="D198" t="s">
        <v>117</v>
      </c>
    </row>
    <row r="199" spans="2:4" x14ac:dyDescent="0.25">
      <c r="B199" s="15" t="s">
        <v>136</v>
      </c>
      <c r="C199">
        <v>44</v>
      </c>
      <c r="D199" t="s">
        <v>117</v>
      </c>
    </row>
    <row r="200" spans="2:4" x14ac:dyDescent="0.25">
      <c r="B200" s="15" t="s">
        <v>137</v>
      </c>
      <c r="C200">
        <v>5</v>
      </c>
      <c r="D200" t="s">
        <v>117</v>
      </c>
    </row>
    <row r="201" spans="2:4" x14ac:dyDescent="0.25">
      <c r="B201" s="15" t="s">
        <v>138</v>
      </c>
      <c r="C201">
        <v>8</v>
      </c>
      <c r="D201" t="s">
        <v>117</v>
      </c>
    </row>
    <row r="202" spans="2:4" x14ac:dyDescent="0.25">
      <c r="B202" s="15" t="s">
        <v>139</v>
      </c>
      <c r="C202">
        <v>8</v>
      </c>
      <c r="D202" t="s">
        <v>117</v>
      </c>
    </row>
    <row r="203" spans="2:4" x14ac:dyDescent="0.25">
      <c r="B203" s="15" t="s">
        <v>140</v>
      </c>
      <c r="C203">
        <v>5</v>
      </c>
      <c r="D203" t="s">
        <v>117</v>
      </c>
    </row>
    <row r="204" spans="2:4" x14ac:dyDescent="0.25">
      <c r="B204" s="15" t="s">
        <v>322</v>
      </c>
      <c r="C204">
        <v>54</v>
      </c>
      <c r="D204" t="s">
        <v>117</v>
      </c>
    </row>
    <row r="205" spans="2:4" x14ac:dyDescent="0.25">
      <c r="B205" s="15" t="s">
        <v>323</v>
      </c>
      <c r="C205">
        <v>4</v>
      </c>
      <c r="D205" t="s">
        <v>117</v>
      </c>
    </row>
    <row r="206" spans="2:4" x14ac:dyDescent="0.25">
      <c r="B206" s="15" t="s">
        <v>324</v>
      </c>
      <c r="C206">
        <v>55</v>
      </c>
      <c r="D206" t="s">
        <v>117</v>
      </c>
    </row>
    <row r="207" spans="2:4" x14ac:dyDescent="0.25">
      <c r="B207" s="15" t="s">
        <v>326</v>
      </c>
      <c r="C207">
        <v>8</v>
      </c>
      <c r="D207" t="s">
        <v>117</v>
      </c>
    </row>
    <row r="208" spans="2:4" x14ac:dyDescent="0.25">
      <c r="B208" s="15" t="s">
        <v>327</v>
      </c>
      <c r="C208">
        <v>5</v>
      </c>
      <c r="D208" t="s">
        <v>117</v>
      </c>
    </row>
    <row r="209" spans="1:6" x14ac:dyDescent="0.25">
      <c r="B209" s="15" t="s">
        <v>328</v>
      </c>
      <c r="C209">
        <v>4</v>
      </c>
      <c r="D209" t="s">
        <v>117</v>
      </c>
    </row>
    <row r="210" spans="1:6" x14ac:dyDescent="0.25">
      <c r="B210" s="15" t="s">
        <v>329</v>
      </c>
      <c r="C210">
        <v>4</v>
      </c>
      <c r="D210" t="s">
        <v>117</v>
      </c>
    </row>
    <row r="211" spans="1:6" x14ac:dyDescent="0.25">
      <c r="B211" s="15" t="s">
        <v>331</v>
      </c>
      <c r="C211">
        <v>5</v>
      </c>
      <c r="D211" t="s">
        <v>117</v>
      </c>
    </row>
    <row r="212" spans="1:6" x14ac:dyDescent="0.25">
      <c r="B212" s="15" t="s">
        <v>332</v>
      </c>
      <c r="C212">
        <v>54</v>
      </c>
      <c r="D212" t="s">
        <v>117</v>
      </c>
    </row>
    <row r="213" spans="1:6" x14ac:dyDescent="0.25">
      <c r="B213" s="15" t="s">
        <v>333</v>
      </c>
      <c r="C213">
        <v>4</v>
      </c>
      <c r="D213" t="s">
        <v>117</v>
      </c>
    </row>
    <row r="215" spans="1:6" x14ac:dyDescent="0.25">
      <c r="A215" t="s">
        <v>702</v>
      </c>
      <c r="B215" t="s">
        <v>142</v>
      </c>
      <c r="C215">
        <v>3</v>
      </c>
      <c r="D215" t="s">
        <v>117</v>
      </c>
    </row>
    <row r="216" spans="1:6" x14ac:dyDescent="0.25">
      <c r="B216" t="s">
        <v>142</v>
      </c>
      <c r="C216">
        <v>8</v>
      </c>
      <c r="D216" t="s">
        <v>143</v>
      </c>
    </row>
    <row r="217" spans="1:6" x14ac:dyDescent="0.25">
      <c r="B217" t="s">
        <v>144</v>
      </c>
      <c r="C217">
        <v>4</v>
      </c>
      <c r="D217" t="s">
        <v>117</v>
      </c>
    </row>
    <row r="218" spans="1:6" x14ac:dyDescent="0.25">
      <c r="B218" t="s">
        <v>144</v>
      </c>
      <c r="C218">
        <v>5</v>
      </c>
      <c r="D218" t="s">
        <v>143</v>
      </c>
    </row>
    <row r="219" spans="1:6" x14ac:dyDescent="0.25">
      <c r="A219" t="s">
        <v>220</v>
      </c>
      <c r="B219" t="s">
        <v>229</v>
      </c>
      <c r="C219">
        <f>F219*C83</f>
        <v>92</v>
      </c>
      <c r="D219" t="s">
        <v>703</v>
      </c>
      <c r="E219" t="s">
        <v>902</v>
      </c>
      <c r="F219">
        <v>2</v>
      </c>
    </row>
    <row r="220" spans="1:6" x14ac:dyDescent="0.25">
      <c r="B220" t="s">
        <v>704</v>
      </c>
      <c r="C220">
        <v>12</v>
      </c>
      <c r="D220" t="s">
        <v>98</v>
      </c>
    </row>
    <row r="221" spans="1:6" x14ac:dyDescent="0.25">
      <c r="B221" t="s">
        <v>705</v>
      </c>
      <c r="C221">
        <v>10</v>
      </c>
      <c r="D221" t="s">
        <v>98</v>
      </c>
    </row>
    <row r="222" spans="1:6" x14ac:dyDescent="0.25">
      <c r="B222" t="s">
        <v>706</v>
      </c>
      <c r="C222">
        <v>11</v>
      </c>
      <c r="D222" t="s">
        <v>98</v>
      </c>
    </row>
    <row r="223" spans="1:6" x14ac:dyDescent="0.25">
      <c r="B223" t="s">
        <v>707</v>
      </c>
      <c r="C223">
        <v>13</v>
      </c>
      <c r="D223" t="s">
        <v>98</v>
      </c>
    </row>
    <row r="224" spans="1:6" x14ac:dyDescent="0.25">
      <c r="B224" t="s">
        <v>708</v>
      </c>
      <c r="C224">
        <v>14</v>
      </c>
      <c r="D224" t="s">
        <v>98</v>
      </c>
    </row>
    <row r="225" spans="1:4" x14ac:dyDescent="0.25">
      <c r="B225" t="s">
        <v>709</v>
      </c>
      <c r="C225">
        <v>55</v>
      </c>
      <c r="D225" t="s">
        <v>98</v>
      </c>
    </row>
    <row r="226" spans="1:4" x14ac:dyDescent="0.25">
      <c r="B226" t="s">
        <v>710</v>
      </c>
      <c r="C226">
        <v>2</v>
      </c>
      <c r="D226" t="s">
        <v>98</v>
      </c>
    </row>
    <row r="227" spans="1:4" x14ac:dyDescent="0.25">
      <c r="B227" t="s">
        <v>711</v>
      </c>
      <c r="C227">
        <v>1</v>
      </c>
      <c r="D227" t="s">
        <v>98</v>
      </c>
    </row>
    <row r="229" spans="1:4" x14ac:dyDescent="0.25">
      <c r="A229" s="36" t="s">
        <v>146</v>
      </c>
      <c r="B229" s="37"/>
      <c r="C229" s="37"/>
      <c r="D229" s="37"/>
    </row>
    <row r="230" spans="1:4" x14ac:dyDescent="0.25">
      <c r="A230" t="s">
        <v>145</v>
      </c>
      <c r="B230" t="s">
        <v>713</v>
      </c>
      <c r="C230">
        <v>1</v>
      </c>
      <c r="D230" t="s">
        <v>653</v>
      </c>
    </row>
    <row r="231" spans="1:4" x14ac:dyDescent="0.25">
      <c r="B231" t="s">
        <v>712</v>
      </c>
      <c r="D231" s="49" t="s">
        <v>143</v>
      </c>
    </row>
    <row r="232" spans="1:4" x14ac:dyDescent="0.25">
      <c r="B232" t="s">
        <v>712</v>
      </c>
      <c r="D232" t="s">
        <v>676</v>
      </c>
    </row>
    <row r="233" spans="1:4" x14ac:dyDescent="0.25">
      <c r="B233" t="s">
        <v>35</v>
      </c>
      <c r="C233">
        <v>1</v>
      </c>
      <c r="D233" t="s">
        <v>38</v>
      </c>
    </row>
    <row r="234" spans="1:4" x14ac:dyDescent="0.25">
      <c r="B234" t="s">
        <v>154</v>
      </c>
      <c r="C234">
        <v>2</v>
      </c>
      <c r="D234" t="s">
        <v>714</v>
      </c>
    </row>
    <row r="235" spans="1:4" x14ac:dyDescent="0.25">
      <c r="A235" t="s">
        <v>922</v>
      </c>
      <c r="B235" t="s">
        <v>927</v>
      </c>
      <c r="C235">
        <v>0</v>
      </c>
      <c r="D235" t="s">
        <v>653</v>
      </c>
    </row>
    <row r="236" spans="1:4" x14ac:dyDescent="0.25">
      <c r="B236" t="s">
        <v>933</v>
      </c>
      <c r="C236">
        <v>7</v>
      </c>
      <c r="D236" t="s">
        <v>143</v>
      </c>
    </row>
    <row r="237" spans="1:4" x14ac:dyDescent="0.25">
      <c r="B237" t="s">
        <v>934</v>
      </c>
      <c r="C237">
        <v>2</v>
      </c>
      <c r="D237" t="s">
        <v>656</v>
      </c>
    </row>
    <row r="238" spans="1:4" x14ac:dyDescent="0.25">
      <c r="B238" t="s">
        <v>651</v>
      </c>
      <c r="C238">
        <f>IF(C239&gt;0,2022-C239,C16)</f>
        <v>32</v>
      </c>
      <c r="D238" t="s">
        <v>16</v>
      </c>
    </row>
    <row r="239" spans="1:4" x14ac:dyDescent="0.25">
      <c r="B239" t="s">
        <v>928</v>
      </c>
      <c r="D239" s="49" t="s">
        <v>652</v>
      </c>
    </row>
    <row r="240" spans="1:4" x14ac:dyDescent="0.25">
      <c r="A240" t="s">
        <v>163</v>
      </c>
      <c r="B240" s="15" t="s">
        <v>156</v>
      </c>
      <c r="C240">
        <v>0</v>
      </c>
      <c r="D240" t="s">
        <v>653</v>
      </c>
    </row>
    <row r="241" spans="1:4" x14ac:dyDescent="0.25">
      <c r="B241" s="15" t="s">
        <v>157</v>
      </c>
      <c r="C241">
        <v>0</v>
      </c>
      <c r="D241" t="s">
        <v>653</v>
      </c>
    </row>
    <row r="242" spans="1:4" x14ac:dyDescent="0.25">
      <c r="B242" s="15" t="s">
        <v>159</v>
      </c>
      <c r="C242">
        <v>0</v>
      </c>
      <c r="D242" t="s">
        <v>653</v>
      </c>
    </row>
    <row r="243" spans="1:4" x14ac:dyDescent="0.25">
      <c r="B243" s="15" t="s">
        <v>160</v>
      </c>
      <c r="C243">
        <v>1</v>
      </c>
      <c r="D243" t="s">
        <v>653</v>
      </c>
    </row>
    <row r="244" spans="1:4" x14ac:dyDescent="0.25">
      <c r="B244" s="15" t="s">
        <v>963</v>
      </c>
      <c r="C244">
        <v>0</v>
      </c>
      <c r="D244" t="s">
        <v>653</v>
      </c>
    </row>
    <row r="245" spans="1:4" x14ac:dyDescent="0.25">
      <c r="B245" s="15" t="s">
        <v>932</v>
      </c>
      <c r="C245">
        <v>1</v>
      </c>
      <c r="D245" t="s">
        <v>656</v>
      </c>
    </row>
    <row r="246" spans="1:4" x14ac:dyDescent="0.25">
      <c r="A246" t="s">
        <v>564</v>
      </c>
      <c r="B246" s="15" t="s">
        <v>166</v>
      </c>
      <c r="C246">
        <v>0</v>
      </c>
      <c r="D246" t="s">
        <v>653</v>
      </c>
    </row>
    <row r="247" spans="1:4" x14ac:dyDescent="0.25">
      <c r="B247" s="15" t="s">
        <v>167</v>
      </c>
      <c r="C247">
        <v>0</v>
      </c>
      <c r="D247" t="s">
        <v>653</v>
      </c>
    </row>
    <row r="248" spans="1:4" x14ac:dyDescent="0.25">
      <c r="B248" s="15" t="s">
        <v>168</v>
      </c>
      <c r="C248">
        <v>0</v>
      </c>
      <c r="D248" t="s">
        <v>653</v>
      </c>
    </row>
    <row r="249" spans="1:4" x14ac:dyDescent="0.25">
      <c r="B249" s="15" t="s">
        <v>169</v>
      </c>
      <c r="C249">
        <v>1</v>
      </c>
      <c r="D249" t="s">
        <v>653</v>
      </c>
    </row>
    <row r="250" spans="1:4" x14ac:dyDescent="0.25">
      <c r="B250" s="15" t="s">
        <v>170</v>
      </c>
      <c r="C250">
        <v>0</v>
      </c>
      <c r="D250" t="s">
        <v>653</v>
      </c>
    </row>
    <row r="251" spans="1:4" x14ac:dyDescent="0.25">
      <c r="B251" s="15" t="s">
        <v>171</v>
      </c>
      <c r="C251">
        <v>0</v>
      </c>
      <c r="D251" t="s">
        <v>653</v>
      </c>
    </row>
    <row r="252" spans="1:4" x14ac:dyDescent="0.25">
      <c r="B252" s="15" t="s">
        <v>715</v>
      </c>
      <c r="C252">
        <v>0</v>
      </c>
      <c r="D252" t="s">
        <v>653</v>
      </c>
    </row>
    <row r="253" spans="1:4" x14ac:dyDescent="0.25">
      <c r="B253" s="15" t="s">
        <v>716</v>
      </c>
      <c r="C253">
        <v>15</v>
      </c>
      <c r="D253" t="s">
        <v>38</v>
      </c>
    </row>
    <row r="254" spans="1:4" x14ac:dyDescent="0.25">
      <c r="B254" s="15" t="s">
        <v>932</v>
      </c>
      <c r="C254">
        <v>1</v>
      </c>
      <c r="D254" t="s">
        <v>656</v>
      </c>
    </row>
    <row r="255" spans="1:4" x14ac:dyDescent="0.25">
      <c r="A255" t="s">
        <v>574</v>
      </c>
      <c r="B255" s="15" t="s">
        <v>166</v>
      </c>
      <c r="C255">
        <v>1</v>
      </c>
      <c r="D255" t="s">
        <v>653</v>
      </c>
    </row>
    <row r="256" spans="1:4" x14ac:dyDescent="0.25">
      <c r="B256" s="15" t="s">
        <v>178</v>
      </c>
      <c r="C256">
        <v>0</v>
      </c>
      <c r="D256" t="s">
        <v>653</v>
      </c>
    </row>
    <row r="257" spans="1:4" x14ac:dyDescent="0.25">
      <c r="B257" s="15" t="s">
        <v>179</v>
      </c>
      <c r="C257">
        <v>0</v>
      </c>
      <c r="D257" t="s">
        <v>653</v>
      </c>
    </row>
    <row r="258" spans="1:4" x14ac:dyDescent="0.25">
      <c r="B258" s="15" t="s">
        <v>717</v>
      </c>
      <c r="D258" t="s">
        <v>656</v>
      </c>
    </row>
    <row r="259" spans="1:4" x14ac:dyDescent="0.25">
      <c r="B259" s="15" t="s">
        <v>718</v>
      </c>
      <c r="C259">
        <v>15</v>
      </c>
      <c r="D259" t="s">
        <v>656</v>
      </c>
    </row>
    <row r="260" spans="1:4" x14ac:dyDescent="0.25">
      <c r="B260" s="15" t="s">
        <v>932</v>
      </c>
      <c r="C260">
        <v>1</v>
      </c>
      <c r="D260" t="s">
        <v>656</v>
      </c>
    </row>
    <row r="261" spans="1:4" x14ac:dyDescent="0.25">
      <c r="A261" t="s">
        <v>586</v>
      </c>
      <c r="B261" s="15" t="s">
        <v>166</v>
      </c>
      <c r="C261">
        <v>1</v>
      </c>
      <c r="D261" t="s">
        <v>653</v>
      </c>
    </row>
    <row r="262" spans="1:4" x14ac:dyDescent="0.25">
      <c r="B262" s="15" t="s">
        <v>178</v>
      </c>
      <c r="C262">
        <v>0</v>
      </c>
      <c r="D262" t="s">
        <v>653</v>
      </c>
    </row>
    <row r="263" spans="1:4" x14ac:dyDescent="0.25">
      <c r="B263" s="15" t="s">
        <v>179</v>
      </c>
      <c r="C263">
        <v>0</v>
      </c>
      <c r="D263" t="s">
        <v>653</v>
      </c>
    </row>
    <row r="264" spans="1:4" x14ac:dyDescent="0.25">
      <c r="B264" s="15" t="s">
        <v>717</v>
      </c>
      <c r="D264" t="s">
        <v>656</v>
      </c>
    </row>
    <row r="265" spans="1:4" x14ac:dyDescent="0.25">
      <c r="B265" s="15" t="s">
        <v>718</v>
      </c>
      <c r="C265">
        <v>10</v>
      </c>
      <c r="D265" t="s">
        <v>656</v>
      </c>
    </row>
    <row r="266" spans="1:4" x14ac:dyDescent="0.25">
      <c r="B266" s="15" t="s">
        <v>932</v>
      </c>
      <c r="C266">
        <v>3</v>
      </c>
      <c r="D266" t="s">
        <v>656</v>
      </c>
    </row>
    <row r="267" spans="1:4" x14ac:dyDescent="0.25">
      <c r="A267" t="s">
        <v>216</v>
      </c>
      <c r="B267" s="15" t="s">
        <v>217</v>
      </c>
      <c r="C267">
        <v>1</v>
      </c>
      <c r="D267" t="s">
        <v>653</v>
      </c>
    </row>
    <row r="268" spans="1:4" x14ac:dyDescent="0.25">
      <c r="B268" s="15" t="s">
        <v>218</v>
      </c>
      <c r="C268">
        <v>0</v>
      </c>
      <c r="D268" t="s">
        <v>653</v>
      </c>
    </row>
    <row r="269" spans="1:4" x14ac:dyDescent="0.25">
      <c r="B269" s="15" t="s">
        <v>219</v>
      </c>
      <c r="C269">
        <v>0</v>
      </c>
      <c r="D269" t="s">
        <v>653</v>
      </c>
    </row>
    <row r="270" spans="1:4" x14ac:dyDescent="0.25">
      <c r="A270" t="s">
        <v>1065</v>
      </c>
      <c r="B270" s="15" t="s">
        <v>719</v>
      </c>
      <c r="C270">
        <v>1</v>
      </c>
      <c r="D270" t="s">
        <v>653</v>
      </c>
    </row>
    <row r="271" spans="1:4" x14ac:dyDescent="0.25">
      <c r="B271" s="15" t="s">
        <v>1023</v>
      </c>
      <c r="C271">
        <v>0</v>
      </c>
      <c r="D271" t="s">
        <v>653</v>
      </c>
    </row>
    <row r="272" spans="1:4" x14ac:dyDescent="0.25">
      <c r="B272" s="15" t="s">
        <v>346</v>
      </c>
      <c r="C272">
        <v>0</v>
      </c>
      <c r="D272" t="s">
        <v>653</v>
      </c>
    </row>
    <row r="273" spans="1:4" x14ac:dyDescent="0.25">
      <c r="B273" s="15" t="s">
        <v>720</v>
      </c>
      <c r="C273">
        <v>12</v>
      </c>
      <c r="D273" t="s">
        <v>656</v>
      </c>
    </row>
    <row r="274" spans="1:4" x14ac:dyDescent="0.25">
      <c r="A274" t="s">
        <v>609</v>
      </c>
      <c r="B274" s="15" t="s">
        <v>721</v>
      </c>
      <c r="C274">
        <v>1</v>
      </c>
      <c r="D274" t="s">
        <v>653</v>
      </c>
    </row>
    <row r="275" spans="1:4" x14ac:dyDescent="0.25">
      <c r="B275" s="15" t="s">
        <v>722</v>
      </c>
      <c r="C275">
        <v>88</v>
      </c>
      <c r="D275" t="s">
        <v>202</v>
      </c>
    </row>
    <row r="276" spans="1:4" x14ac:dyDescent="0.25">
      <c r="B276" s="15" t="s">
        <v>156</v>
      </c>
      <c r="C276">
        <v>0</v>
      </c>
      <c r="D276" t="s">
        <v>653</v>
      </c>
    </row>
    <row r="277" spans="1:4" x14ac:dyDescent="0.25">
      <c r="B277" s="15" t="s">
        <v>157</v>
      </c>
      <c r="C277">
        <v>0</v>
      </c>
      <c r="D277" t="s">
        <v>653</v>
      </c>
    </row>
    <row r="278" spans="1:4" x14ac:dyDescent="0.25">
      <c r="B278" s="15" t="s">
        <v>159</v>
      </c>
      <c r="C278">
        <v>1</v>
      </c>
      <c r="D278" t="s">
        <v>653</v>
      </c>
    </row>
    <row r="279" spans="1:4" x14ac:dyDescent="0.25">
      <c r="B279" s="15" t="s">
        <v>160</v>
      </c>
      <c r="C279">
        <v>0</v>
      </c>
      <c r="D279" t="s">
        <v>653</v>
      </c>
    </row>
    <row r="280" spans="1:4" x14ac:dyDescent="0.25">
      <c r="B280" s="15" t="s">
        <v>963</v>
      </c>
      <c r="C280">
        <v>0</v>
      </c>
      <c r="D280" t="s">
        <v>653</v>
      </c>
    </row>
    <row r="281" spans="1:4" x14ac:dyDescent="0.25">
      <c r="A281" t="s">
        <v>723</v>
      </c>
      <c r="B281" s="15" t="s">
        <v>724</v>
      </c>
      <c r="C281">
        <v>1</v>
      </c>
      <c r="D281" t="s">
        <v>117</v>
      </c>
    </row>
    <row r="282" spans="1:4" x14ac:dyDescent="0.25">
      <c r="B282" s="15" t="s">
        <v>725</v>
      </c>
      <c r="C282">
        <v>2</v>
      </c>
      <c r="D282" t="s">
        <v>117</v>
      </c>
    </row>
    <row r="283" spans="1:4" x14ac:dyDescent="0.25">
      <c r="B283" s="15" t="s">
        <v>1037</v>
      </c>
      <c r="C283">
        <v>80</v>
      </c>
      <c r="D283" t="s">
        <v>656</v>
      </c>
    </row>
    <row r="284" spans="1:4" x14ac:dyDescent="0.25">
      <c r="A284" t="s">
        <v>196</v>
      </c>
      <c r="B284" s="15" t="s">
        <v>15</v>
      </c>
      <c r="C284">
        <v>10</v>
      </c>
      <c r="D284" t="s">
        <v>117</v>
      </c>
    </row>
    <row r="285" spans="1:4" x14ac:dyDescent="0.25">
      <c r="B285" s="15" t="s">
        <v>720</v>
      </c>
      <c r="C285">
        <v>10</v>
      </c>
      <c r="D285" t="s">
        <v>16</v>
      </c>
    </row>
    <row r="286" spans="1:4" x14ac:dyDescent="0.25">
      <c r="B286" s="15" t="s">
        <v>193</v>
      </c>
      <c r="C286">
        <v>5</v>
      </c>
      <c r="D286" t="s">
        <v>117</v>
      </c>
    </row>
    <row r="287" spans="1:4" x14ac:dyDescent="0.25">
      <c r="B287" s="15" t="s">
        <v>720</v>
      </c>
      <c r="C287">
        <v>2</v>
      </c>
      <c r="D287" t="s">
        <v>16</v>
      </c>
    </row>
    <row r="288" spans="1:4" x14ac:dyDescent="0.25">
      <c r="B288" s="15" t="s">
        <v>194</v>
      </c>
      <c r="C288">
        <v>8</v>
      </c>
      <c r="D288" t="s">
        <v>117</v>
      </c>
    </row>
    <row r="289" spans="1:4" x14ac:dyDescent="0.25">
      <c r="B289" s="15" t="s">
        <v>720</v>
      </c>
      <c r="C289">
        <v>2</v>
      </c>
      <c r="D289" t="s">
        <v>16</v>
      </c>
    </row>
    <row r="290" spans="1:4" x14ac:dyDescent="0.25">
      <c r="B290" s="15" t="s">
        <v>166</v>
      </c>
      <c r="C290">
        <v>6</v>
      </c>
      <c r="D290" t="s">
        <v>117</v>
      </c>
    </row>
    <row r="291" spans="1:4" x14ac:dyDescent="0.25">
      <c r="B291" s="15" t="s">
        <v>720</v>
      </c>
      <c r="C291">
        <v>2</v>
      </c>
      <c r="D291" t="s">
        <v>16</v>
      </c>
    </row>
    <row r="292" spans="1:4" x14ac:dyDescent="0.25">
      <c r="B292" s="15" t="s">
        <v>195</v>
      </c>
      <c r="C292">
        <v>6</v>
      </c>
      <c r="D292" t="s">
        <v>117</v>
      </c>
    </row>
    <row r="293" spans="1:4" x14ac:dyDescent="0.25">
      <c r="B293" s="15" t="s">
        <v>720</v>
      </c>
      <c r="C293">
        <v>66</v>
      </c>
      <c r="D293" t="s">
        <v>16</v>
      </c>
    </row>
    <row r="294" spans="1:4" x14ac:dyDescent="0.25">
      <c r="B294" s="15" t="s">
        <v>1038</v>
      </c>
      <c r="C294">
        <v>4</v>
      </c>
      <c r="D294" t="s">
        <v>117</v>
      </c>
    </row>
    <row r="295" spans="1:4" x14ac:dyDescent="0.25">
      <c r="B295" s="15" t="s">
        <v>720</v>
      </c>
      <c r="C295">
        <v>2</v>
      </c>
      <c r="D295" t="s">
        <v>16</v>
      </c>
    </row>
    <row r="296" spans="1:4" x14ac:dyDescent="0.25">
      <c r="A296" t="s">
        <v>614</v>
      </c>
      <c r="B296" s="15" t="s">
        <v>726</v>
      </c>
      <c r="C296">
        <v>80</v>
      </c>
      <c r="D296" t="s">
        <v>202</v>
      </c>
    </row>
    <row r="297" spans="1:4" x14ac:dyDescent="0.25">
      <c r="A297" t="s">
        <v>815</v>
      </c>
      <c r="B297" s="15" t="s">
        <v>823</v>
      </c>
      <c r="C297" t="s">
        <v>825</v>
      </c>
      <c r="D297" t="s">
        <v>824</v>
      </c>
    </row>
    <row r="298" spans="1:4" x14ac:dyDescent="0.25">
      <c r="B298" s="15" t="s">
        <v>816</v>
      </c>
      <c r="C298">
        <v>3</v>
      </c>
      <c r="D298" t="s">
        <v>817</v>
      </c>
    </row>
    <row r="299" spans="1:4" x14ac:dyDescent="0.25">
      <c r="B299" s="15" t="s">
        <v>818</v>
      </c>
      <c r="C299">
        <v>7</v>
      </c>
      <c r="D299" t="s">
        <v>820</v>
      </c>
    </row>
    <row r="300" spans="1:4" x14ac:dyDescent="0.25">
      <c r="B300" s="15" t="s">
        <v>819</v>
      </c>
      <c r="C300">
        <f>C299*C83</f>
        <v>322</v>
      </c>
      <c r="D300" t="s">
        <v>820</v>
      </c>
    </row>
    <row r="301" spans="1:4" x14ac:dyDescent="0.25">
      <c r="A301" t="s">
        <v>821</v>
      </c>
      <c r="B301" s="15" t="s">
        <v>823</v>
      </c>
      <c r="D301" t="s">
        <v>824</v>
      </c>
    </row>
    <row r="302" spans="1:4" x14ac:dyDescent="0.25">
      <c r="B302" s="15" t="s">
        <v>816</v>
      </c>
      <c r="D302" t="s">
        <v>817</v>
      </c>
    </row>
    <row r="303" spans="1:4" x14ac:dyDescent="0.25">
      <c r="B303" s="15" t="s">
        <v>818</v>
      </c>
      <c r="D303" t="s">
        <v>820</v>
      </c>
    </row>
    <row r="304" spans="1:4" x14ac:dyDescent="0.25">
      <c r="B304" s="15" t="s">
        <v>819</v>
      </c>
      <c r="C304">
        <f>C303*C83</f>
        <v>0</v>
      </c>
      <c r="D304" t="s">
        <v>820</v>
      </c>
    </row>
    <row r="305" spans="1:4" x14ac:dyDescent="0.25">
      <c r="A305" t="s">
        <v>822</v>
      </c>
      <c r="B305" s="15" t="s">
        <v>823</v>
      </c>
      <c r="D305" t="s">
        <v>824</v>
      </c>
    </row>
    <row r="306" spans="1:4" x14ac:dyDescent="0.25">
      <c r="B306" s="15" t="s">
        <v>816</v>
      </c>
      <c r="D306" t="s">
        <v>817</v>
      </c>
    </row>
    <row r="307" spans="1:4" x14ac:dyDescent="0.25">
      <c r="B307" s="15" t="s">
        <v>818</v>
      </c>
      <c r="D307" t="s">
        <v>820</v>
      </c>
    </row>
    <row r="308" spans="1:4" x14ac:dyDescent="0.25">
      <c r="B308" s="15" t="s">
        <v>819</v>
      </c>
      <c r="C308">
        <f>C307*C83</f>
        <v>0</v>
      </c>
      <c r="D308" t="s">
        <v>820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76"/>
  <sheetViews>
    <sheetView workbookViewId="0">
      <selection activeCell="A2" sqref="A2"/>
    </sheetView>
  </sheetViews>
  <sheetFormatPr baseColWidth="10" defaultRowHeight="15" x14ac:dyDescent="0.25"/>
  <sheetData>
    <row r="1" spans="1:5" x14ac:dyDescent="0.25">
      <c r="A1" s="9" t="s">
        <v>1083</v>
      </c>
    </row>
    <row r="2" spans="1:5" x14ac:dyDescent="0.25">
      <c r="A2" t="s">
        <v>730</v>
      </c>
      <c r="B2" t="s">
        <v>654</v>
      </c>
      <c r="C2" t="s">
        <v>667</v>
      </c>
      <c r="D2" t="s">
        <v>731</v>
      </c>
      <c r="E2" t="s">
        <v>50</v>
      </c>
    </row>
    <row r="3" spans="1:5" x14ac:dyDescent="0.25">
      <c r="A3" s="9" t="s">
        <v>16</v>
      </c>
    </row>
    <row r="4" spans="1:5" x14ac:dyDescent="0.25">
      <c r="A4" t="s">
        <v>732</v>
      </c>
    </row>
    <row r="5" spans="1:5" x14ac:dyDescent="0.25">
      <c r="A5" t="s">
        <v>736</v>
      </c>
    </row>
    <row r="6" spans="1:5" x14ac:dyDescent="0.25">
      <c r="A6" t="s">
        <v>733</v>
      </c>
    </row>
    <row r="7" spans="1:5" x14ac:dyDescent="0.25">
      <c r="A7" t="s">
        <v>735</v>
      </c>
      <c r="B7">
        <v>8000</v>
      </c>
      <c r="C7">
        <v>4000</v>
      </c>
      <c r="D7">
        <v>3000</v>
      </c>
      <c r="E7">
        <v>0</v>
      </c>
    </row>
    <row r="8" spans="1:5" x14ac:dyDescent="0.25">
      <c r="A8" t="s">
        <v>734</v>
      </c>
    </row>
    <row r="10" spans="1:5" x14ac:dyDescent="0.25">
      <c r="A10" s="9" t="s">
        <v>789</v>
      </c>
    </row>
    <row r="11" spans="1:5" x14ac:dyDescent="0.25">
      <c r="A11" t="s">
        <v>790</v>
      </c>
    </row>
    <row r="12" spans="1:5" x14ac:dyDescent="0.25">
      <c r="A12" t="s">
        <v>791</v>
      </c>
    </row>
    <row r="13" spans="1:5" x14ac:dyDescent="0.25">
      <c r="A13" t="s">
        <v>792</v>
      </c>
    </row>
    <row r="14" spans="1:5" x14ac:dyDescent="0.25">
      <c r="A14" t="s">
        <v>793</v>
      </c>
    </row>
    <row r="15" spans="1:5" x14ac:dyDescent="0.25">
      <c r="A15" t="s">
        <v>794</v>
      </c>
    </row>
    <row r="16" spans="1:5" x14ac:dyDescent="0.25">
      <c r="A16" t="s">
        <v>795</v>
      </c>
    </row>
    <row r="17" spans="1:1" x14ac:dyDescent="0.25">
      <c r="A17" t="s">
        <v>796</v>
      </c>
    </row>
    <row r="18" spans="1:1" x14ac:dyDescent="0.25">
      <c r="A18" t="s">
        <v>797</v>
      </c>
    </row>
    <row r="19" spans="1:1" x14ac:dyDescent="0.25">
      <c r="A19" t="s">
        <v>798</v>
      </c>
    </row>
    <row r="20" spans="1:1" x14ac:dyDescent="0.25">
      <c r="A20" t="s">
        <v>799</v>
      </c>
    </row>
    <row r="21" spans="1:1" x14ac:dyDescent="0.25">
      <c r="A21" t="s">
        <v>800</v>
      </c>
    </row>
    <row r="22" spans="1:1" x14ac:dyDescent="0.25">
      <c r="A22" t="s">
        <v>801</v>
      </c>
    </row>
    <row r="24" spans="1:1" x14ac:dyDescent="0.25">
      <c r="A24" s="9" t="s">
        <v>802</v>
      </c>
    </row>
    <row r="25" spans="1:1" x14ac:dyDescent="0.25">
      <c r="A25" t="s">
        <v>737</v>
      </c>
    </row>
    <row r="26" spans="1:1" x14ac:dyDescent="0.25">
      <c r="A26" t="s">
        <v>738</v>
      </c>
    </row>
    <row r="27" spans="1:1" x14ac:dyDescent="0.25">
      <c r="A27" t="s">
        <v>739</v>
      </c>
    </row>
    <row r="28" spans="1:1" x14ac:dyDescent="0.25">
      <c r="A28" t="s">
        <v>740</v>
      </c>
    </row>
    <row r="29" spans="1:1" x14ac:dyDescent="0.25">
      <c r="A29" t="s">
        <v>741</v>
      </c>
    </row>
    <row r="30" spans="1:1" x14ac:dyDescent="0.25">
      <c r="A30" t="s">
        <v>742</v>
      </c>
    </row>
    <row r="31" spans="1:1" x14ac:dyDescent="0.25">
      <c r="A31" t="s">
        <v>743</v>
      </c>
    </row>
    <row r="32" spans="1:1" x14ac:dyDescent="0.25">
      <c r="A32" t="s">
        <v>744</v>
      </c>
    </row>
    <row r="33" spans="1:1" x14ac:dyDescent="0.25">
      <c r="A33" t="s">
        <v>745</v>
      </c>
    </row>
    <row r="34" spans="1:1" x14ac:dyDescent="0.25">
      <c r="A34" t="s">
        <v>746</v>
      </c>
    </row>
    <row r="35" spans="1:1" x14ac:dyDescent="0.25">
      <c r="A35" t="s">
        <v>747</v>
      </c>
    </row>
    <row r="36" spans="1:1" x14ac:dyDescent="0.25">
      <c r="A36" t="s">
        <v>748</v>
      </c>
    </row>
    <row r="37" spans="1:1" x14ac:dyDescent="0.25">
      <c r="A37" t="s">
        <v>749</v>
      </c>
    </row>
    <row r="38" spans="1:1" x14ac:dyDescent="0.25">
      <c r="A38" t="s">
        <v>750</v>
      </c>
    </row>
    <row r="39" spans="1:1" x14ac:dyDescent="0.25">
      <c r="A39" t="s">
        <v>751</v>
      </c>
    </row>
    <row r="40" spans="1:1" x14ac:dyDescent="0.25">
      <c r="A40" t="s">
        <v>752</v>
      </c>
    </row>
    <row r="41" spans="1:1" x14ac:dyDescent="0.25">
      <c r="A41" t="s">
        <v>753</v>
      </c>
    </row>
    <row r="42" spans="1:1" x14ac:dyDescent="0.25">
      <c r="A42" t="s">
        <v>754</v>
      </c>
    </row>
    <row r="43" spans="1:1" x14ac:dyDescent="0.25">
      <c r="A43" t="s">
        <v>755</v>
      </c>
    </row>
    <row r="44" spans="1:1" x14ac:dyDescent="0.25">
      <c r="A44" t="s">
        <v>756</v>
      </c>
    </row>
    <row r="45" spans="1:1" x14ac:dyDescent="0.25">
      <c r="A45" t="s">
        <v>757</v>
      </c>
    </row>
    <row r="46" spans="1:1" x14ac:dyDescent="0.25">
      <c r="A46" t="s">
        <v>758</v>
      </c>
    </row>
    <row r="47" spans="1:1" x14ac:dyDescent="0.25">
      <c r="A47" t="s">
        <v>759</v>
      </c>
    </row>
    <row r="48" spans="1:1" x14ac:dyDescent="0.25">
      <c r="A48" t="s">
        <v>760</v>
      </c>
    </row>
    <row r="49" spans="1:1" x14ac:dyDescent="0.25">
      <c r="A49" t="s">
        <v>761</v>
      </c>
    </row>
    <row r="50" spans="1:1" x14ac:dyDescent="0.25">
      <c r="A50" t="s">
        <v>762</v>
      </c>
    </row>
    <row r="51" spans="1:1" x14ac:dyDescent="0.25">
      <c r="A51" t="s">
        <v>763</v>
      </c>
    </row>
    <row r="52" spans="1:1" x14ac:dyDescent="0.25">
      <c r="A52" t="s">
        <v>764</v>
      </c>
    </row>
    <row r="53" spans="1:1" x14ac:dyDescent="0.25">
      <c r="A53" t="s">
        <v>765</v>
      </c>
    </row>
    <row r="54" spans="1:1" x14ac:dyDescent="0.25">
      <c r="A54" t="s">
        <v>766</v>
      </c>
    </row>
    <row r="55" spans="1:1" x14ac:dyDescent="0.25">
      <c r="A55" t="s">
        <v>767</v>
      </c>
    </row>
    <row r="56" spans="1:1" x14ac:dyDescent="0.25">
      <c r="A56" t="s">
        <v>768</v>
      </c>
    </row>
    <row r="57" spans="1:1" x14ac:dyDescent="0.25">
      <c r="A57" t="s">
        <v>769</v>
      </c>
    </row>
    <row r="58" spans="1:1" x14ac:dyDescent="0.25">
      <c r="A58" t="s">
        <v>770</v>
      </c>
    </row>
    <row r="59" spans="1:1" x14ac:dyDescent="0.25">
      <c r="A59" t="s">
        <v>771</v>
      </c>
    </row>
    <row r="60" spans="1:1" x14ac:dyDescent="0.25">
      <c r="A60" t="s">
        <v>772</v>
      </c>
    </row>
    <row r="61" spans="1:1" x14ac:dyDescent="0.25">
      <c r="A61" t="s">
        <v>773</v>
      </c>
    </row>
    <row r="62" spans="1:1" x14ac:dyDescent="0.25">
      <c r="A62" t="s">
        <v>774</v>
      </c>
    </row>
    <row r="63" spans="1:1" x14ac:dyDescent="0.25">
      <c r="A63" t="s">
        <v>775</v>
      </c>
    </row>
    <row r="64" spans="1:1" x14ac:dyDescent="0.25">
      <c r="A64" t="s">
        <v>776</v>
      </c>
    </row>
    <row r="65" spans="1:1" x14ac:dyDescent="0.25">
      <c r="A65" t="s">
        <v>777</v>
      </c>
    </row>
    <row r="66" spans="1:1" x14ac:dyDescent="0.25">
      <c r="A66" t="s">
        <v>778</v>
      </c>
    </row>
    <row r="67" spans="1:1" x14ac:dyDescent="0.25">
      <c r="A67" t="s">
        <v>779</v>
      </c>
    </row>
    <row r="68" spans="1:1" x14ac:dyDescent="0.25">
      <c r="A68" t="s">
        <v>780</v>
      </c>
    </row>
    <row r="69" spans="1:1" x14ac:dyDescent="0.25">
      <c r="A69" t="s">
        <v>781</v>
      </c>
    </row>
    <row r="70" spans="1:1" x14ac:dyDescent="0.25">
      <c r="A70" t="s">
        <v>782</v>
      </c>
    </row>
    <row r="71" spans="1:1" x14ac:dyDescent="0.25">
      <c r="A71" t="s">
        <v>783</v>
      </c>
    </row>
    <row r="72" spans="1:1" x14ac:dyDescent="0.25">
      <c r="A72" t="s">
        <v>784</v>
      </c>
    </row>
    <row r="73" spans="1:1" x14ac:dyDescent="0.25">
      <c r="A73" t="s">
        <v>785</v>
      </c>
    </row>
    <row r="74" spans="1:1" x14ac:dyDescent="0.25">
      <c r="A74" t="s">
        <v>786</v>
      </c>
    </row>
    <row r="75" spans="1:1" x14ac:dyDescent="0.25">
      <c r="A75" t="s">
        <v>787</v>
      </c>
    </row>
    <row r="76" spans="1:1" x14ac:dyDescent="0.25">
      <c r="A76" t="s">
        <v>788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315"/>
  <sheetViews>
    <sheetView topLeftCell="A217" zoomScale="80" zoomScaleNormal="80" workbookViewId="0">
      <selection activeCell="I159" sqref="I159"/>
    </sheetView>
  </sheetViews>
  <sheetFormatPr baseColWidth="10" defaultRowHeight="15" x14ac:dyDescent="0.25"/>
  <cols>
    <col min="1" max="1" width="17.28515625" customWidth="1"/>
    <col min="3" max="3" width="28.5703125" customWidth="1"/>
    <col min="4" max="4" width="90.140625" customWidth="1"/>
    <col min="5" max="5" width="26.140625" customWidth="1"/>
    <col min="9" max="10" width="22.85546875" customWidth="1"/>
    <col min="11" max="11" width="18.85546875" customWidth="1"/>
  </cols>
  <sheetData>
    <row r="1" spans="1:13" x14ac:dyDescent="0.25">
      <c r="A1" t="s">
        <v>1084</v>
      </c>
    </row>
    <row r="2" spans="1:13" x14ac:dyDescent="0.25">
      <c r="C2" t="s">
        <v>0</v>
      </c>
      <c r="D2" t="s">
        <v>85</v>
      </c>
      <c r="E2" t="s">
        <v>356</v>
      </c>
      <c r="F2" t="s">
        <v>351</v>
      </c>
      <c r="G2" t="s">
        <v>352</v>
      </c>
      <c r="H2" t="s">
        <v>353</v>
      </c>
      <c r="I2" t="s">
        <v>368</v>
      </c>
      <c r="J2" t="s">
        <v>369</v>
      </c>
      <c r="K2" t="s">
        <v>413</v>
      </c>
      <c r="M2" t="s">
        <v>85</v>
      </c>
    </row>
    <row r="4" spans="1:13" x14ac:dyDescent="0.25">
      <c r="A4" s="61" t="s">
        <v>540</v>
      </c>
      <c r="B4" s="61"/>
      <c r="C4" s="61"/>
      <c r="D4" s="61"/>
      <c r="E4" s="61"/>
      <c r="F4" s="61"/>
    </row>
    <row r="6" spans="1:13" x14ac:dyDescent="0.25">
      <c r="C6" s="30" t="s">
        <v>455</v>
      </c>
      <c r="D6" t="s">
        <v>628</v>
      </c>
      <c r="E6">
        <f>Betriebsdaten!C85-Betriebsdaten!C84</f>
        <v>46</v>
      </c>
      <c r="F6" t="s">
        <v>629</v>
      </c>
    </row>
    <row r="7" spans="1:13" x14ac:dyDescent="0.25">
      <c r="C7" s="30" t="s">
        <v>630</v>
      </c>
      <c r="D7" t="s">
        <v>807</v>
      </c>
      <c r="E7">
        <f>E6/(E6+Betriebsdaten!C87)</f>
        <v>0.61333333333333329</v>
      </c>
    </row>
    <row r="8" spans="1:13" x14ac:dyDescent="0.25">
      <c r="C8" s="30" t="s">
        <v>633</v>
      </c>
      <c r="D8" t="s">
        <v>634</v>
      </c>
      <c r="E8">
        <f>Betriebsdaten!C135+((Betriebsdaten!C158+Betriebsdaten!F159)*Betriebsdaten!C157)</f>
        <v>28.5</v>
      </c>
    </row>
    <row r="11" spans="1:13" x14ac:dyDescent="0.25">
      <c r="A11" s="9"/>
      <c r="B11" s="9"/>
      <c r="C11" s="30" t="s">
        <v>172</v>
      </c>
      <c r="D11" t="s">
        <v>173</v>
      </c>
      <c r="E11">
        <f>Betriebsdaten!C42*Betriebsdaten!C43</f>
        <v>5000</v>
      </c>
    </row>
    <row r="12" spans="1:13" x14ac:dyDescent="0.25">
      <c r="C12" s="30" t="s">
        <v>52</v>
      </c>
      <c r="D12" t="s">
        <v>1022</v>
      </c>
      <c r="E12">
        <f>IF(Betriebsdaten!C82&gt;0,Betriebsdaten!C82,E11-(Betriebsdaten!C47*Betriebsdaten!C43))</f>
        <v>4800</v>
      </c>
    </row>
    <row r="13" spans="1:13" x14ac:dyDescent="0.25">
      <c r="C13" s="30" t="s">
        <v>383</v>
      </c>
      <c r="D13" t="s">
        <v>809</v>
      </c>
      <c r="E13">
        <f>((Betriebsdaten!C42+Betriebsdaten!C43)*2*Betriebsdaten!C41)+((((SQRT((Betriebsdaten!C45^2)-((Betriebsdaten!C44/2)^2)))*Betriebsdaten!C44/2)*(Betriebsdaten!C43/Betriebsdaten!C44)))</f>
        <v>1500</v>
      </c>
    </row>
    <row r="14" spans="1:13" x14ac:dyDescent="0.25">
      <c r="C14" s="30" t="s">
        <v>384</v>
      </c>
      <c r="D14" t="s">
        <v>808</v>
      </c>
      <c r="E14">
        <f>Betriebsdaten!C45*Betriebsdaten!C42*(Betriebsdaten!C43/Betriebsdaten!C44*2)</f>
        <v>5000</v>
      </c>
    </row>
    <row r="15" spans="1:13" x14ac:dyDescent="0.25">
      <c r="C15" s="30" t="s">
        <v>385</v>
      </c>
      <c r="D15" t="s">
        <v>386</v>
      </c>
      <c r="E15">
        <f>E13+E14</f>
        <v>6500</v>
      </c>
    </row>
    <row r="16" spans="1:13" x14ac:dyDescent="0.25">
      <c r="C16" s="30" t="s">
        <v>387</v>
      </c>
      <c r="D16" t="s">
        <v>381</v>
      </c>
    </row>
    <row r="17" spans="3:8" x14ac:dyDescent="0.25">
      <c r="C17" s="30" t="s">
        <v>388</v>
      </c>
      <c r="D17" t="s">
        <v>391</v>
      </c>
    </row>
    <row r="18" spans="3:8" x14ac:dyDescent="0.25">
      <c r="C18" s="30" t="s">
        <v>389</v>
      </c>
      <c r="D18" t="s">
        <v>392</v>
      </c>
    </row>
    <row r="19" spans="3:8" x14ac:dyDescent="0.25">
      <c r="C19" s="30" t="s">
        <v>390</v>
      </c>
      <c r="D19" t="s">
        <v>393</v>
      </c>
    </row>
    <row r="21" spans="3:8" x14ac:dyDescent="0.25">
      <c r="C21" s="30" t="s">
        <v>627</v>
      </c>
      <c r="E21">
        <f>Betriebsdaten!C65+Betriebsdaten!C68+Betriebsdaten!C71+Betriebsdaten!C74</f>
        <v>122</v>
      </c>
    </row>
    <row r="22" spans="3:8" x14ac:dyDescent="0.25">
      <c r="C22" s="30" t="s">
        <v>946</v>
      </c>
      <c r="D22" t="s">
        <v>949</v>
      </c>
      <c r="E22">
        <f>Betriebsdaten!C42-Betriebsdaten!C47</f>
        <v>96</v>
      </c>
    </row>
    <row r="23" spans="3:8" x14ac:dyDescent="0.25">
      <c r="C23" s="30" t="s">
        <v>441</v>
      </c>
      <c r="D23" t="s">
        <v>947</v>
      </c>
      <c r="E23">
        <f>E21*E22</f>
        <v>11712</v>
      </c>
    </row>
    <row r="24" spans="3:8" x14ac:dyDescent="0.25">
      <c r="C24" s="30" t="s">
        <v>450</v>
      </c>
      <c r="D24" t="s">
        <v>948</v>
      </c>
      <c r="E24">
        <f>(E21-1)*E22</f>
        <v>11616</v>
      </c>
    </row>
    <row r="26" spans="3:8" x14ac:dyDescent="0.25">
      <c r="C26" s="30" t="s">
        <v>456</v>
      </c>
      <c r="H26" t="s">
        <v>458</v>
      </c>
    </row>
    <row r="27" spans="3:8" x14ac:dyDescent="0.25">
      <c r="C27" s="30" t="s">
        <v>457</v>
      </c>
      <c r="H27" t="s">
        <v>459</v>
      </c>
    </row>
    <row r="28" spans="3:8" x14ac:dyDescent="0.25">
      <c r="C28" s="30" t="s">
        <v>951</v>
      </c>
      <c r="D28" t="s">
        <v>950</v>
      </c>
      <c r="E28">
        <f>IF(Betriebsdaten!C65&gt;0,Betriebsdaten!C65*Kalkulation!E22/Betriebsdaten!C66,0)</f>
        <v>1920</v>
      </c>
    </row>
    <row r="29" spans="3:8" x14ac:dyDescent="0.25">
      <c r="C29" s="30" t="s">
        <v>952</v>
      </c>
      <c r="D29" t="s">
        <v>950</v>
      </c>
      <c r="E29">
        <f>IF(Betriebsdaten!C68&gt;0,Betriebsdaten!C68*Kalkulation!E22/Betriebsdaten!C69,0)</f>
        <v>0</v>
      </c>
    </row>
    <row r="30" spans="3:8" x14ac:dyDescent="0.25">
      <c r="C30" s="30" t="s">
        <v>953</v>
      </c>
      <c r="D30" t="s">
        <v>950</v>
      </c>
      <c r="E30">
        <f>IF(Betriebsdaten!C71&gt;0,Betriebsdaten!C71*Kalkulation!E22/Betriebsdaten!C72,0)</f>
        <v>21504</v>
      </c>
    </row>
    <row r="31" spans="3:8" x14ac:dyDescent="0.25">
      <c r="C31" s="30" t="s">
        <v>954</v>
      </c>
      <c r="D31" t="s">
        <v>950</v>
      </c>
      <c r="E31">
        <f>IF(Betriebsdaten!C74&gt;0,Betriebsdaten!C74*Kalkulation!E22/Betriebsdaten!C75,0)</f>
        <v>0</v>
      </c>
    </row>
    <row r="32" spans="3:8" x14ac:dyDescent="0.25">
      <c r="C32" s="30" t="s">
        <v>945</v>
      </c>
      <c r="D32" t="s">
        <v>955</v>
      </c>
      <c r="E32">
        <f>E28+E29+E30+E31</f>
        <v>23424</v>
      </c>
    </row>
    <row r="33" spans="1:9" s="46" customFormat="1" x14ac:dyDescent="0.25"/>
    <row r="34" spans="1:9" s="46" customFormat="1" x14ac:dyDescent="0.25">
      <c r="C34" s="30" t="s">
        <v>976</v>
      </c>
      <c r="D34" s="46" t="s">
        <v>981</v>
      </c>
      <c r="E34" s="46">
        <f>E28*Betriebsdaten!C67</f>
        <v>0</v>
      </c>
    </row>
    <row r="35" spans="1:9" s="46" customFormat="1" x14ac:dyDescent="0.25">
      <c r="C35" s="30" t="s">
        <v>977</v>
      </c>
      <c r="D35" s="46" t="s">
        <v>981</v>
      </c>
      <c r="E35" s="46">
        <f>E29*Betriebsdaten!C70</f>
        <v>0</v>
      </c>
    </row>
    <row r="36" spans="1:9" s="46" customFormat="1" x14ac:dyDescent="0.25">
      <c r="C36" s="30" t="s">
        <v>978</v>
      </c>
      <c r="D36" s="46" t="s">
        <v>981</v>
      </c>
      <c r="E36" s="46">
        <f>E30*Betriebsdaten!C73</f>
        <v>43008</v>
      </c>
    </row>
    <row r="37" spans="1:9" s="46" customFormat="1" x14ac:dyDescent="0.25">
      <c r="C37" s="30" t="s">
        <v>979</v>
      </c>
      <c r="D37" s="46" t="s">
        <v>981</v>
      </c>
      <c r="E37" s="46">
        <f>E31*Betriebsdaten!C76</f>
        <v>0</v>
      </c>
    </row>
    <row r="38" spans="1:9" s="46" customFormat="1" x14ac:dyDescent="0.25">
      <c r="C38" s="30" t="s">
        <v>980</v>
      </c>
      <c r="D38" s="46" t="s">
        <v>982</v>
      </c>
      <c r="E38" s="46">
        <f>E34+E35+E36+E37</f>
        <v>43008</v>
      </c>
    </row>
    <row r="39" spans="1:9" s="46" customFormat="1" x14ac:dyDescent="0.25">
      <c r="C39" s="30" t="s">
        <v>566</v>
      </c>
      <c r="D39" t="s">
        <v>567</v>
      </c>
      <c r="E39" s="46">
        <f>Betriebsdaten!C253*Kalkulation!E38</f>
        <v>645120</v>
      </c>
    </row>
    <row r="40" spans="1:9" s="46" customFormat="1" x14ac:dyDescent="0.25">
      <c r="C40" s="30" t="s">
        <v>578</v>
      </c>
      <c r="D40" t="s">
        <v>579</v>
      </c>
      <c r="E40" s="46">
        <f>IF(Betriebsdaten!C258&gt;0,Betriebsdaten!C258,Betriebsdaten!C259*Kalkulation!E38)</f>
        <v>645120</v>
      </c>
    </row>
    <row r="41" spans="1:9" s="46" customFormat="1" x14ac:dyDescent="0.25">
      <c r="C41" s="30" t="s">
        <v>588</v>
      </c>
      <c r="D41" t="s">
        <v>1002</v>
      </c>
      <c r="E41" s="46">
        <f>IF(Betriebsdaten!C264&gt;0,Betriebsdaten!C264,Betriebsdaten!C265*Kalkulation!E36+Betriebsdaten!C265*Kalkulation!E37)</f>
        <v>430080</v>
      </c>
    </row>
    <row r="42" spans="1:9" s="46" customFormat="1" x14ac:dyDescent="0.25">
      <c r="C42" s="15"/>
      <c r="D42"/>
    </row>
    <row r="43" spans="1:9" s="46" customFormat="1" x14ac:dyDescent="0.25">
      <c r="C43" s="15"/>
      <c r="D43"/>
    </row>
    <row r="45" spans="1:9" ht="21" x14ac:dyDescent="0.35">
      <c r="A45" s="63" t="s">
        <v>1048</v>
      </c>
      <c r="B45" s="60"/>
      <c r="C45" s="60"/>
      <c r="D45" s="60"/>
      <c r="E45" s="60"/>
      <c r="F45" s="60"/>
      <c r="G45" s="60"/>
      <c r="H45" s="60"/>
      <c r="I45" s="60"/>
    </row>
    <row r="47" spans="1:9" ht="15.75" x14ac:dyDescent="0.25">
      <c r="A47" s="64" t="s">
        <v>1049</v>
      </c>
      <c r="B47" s="62"/>
      <c r="C47" s="62"/>
      <c r="D47" s="64">
        <f>O50+O69+O88+O91+O96+K103+O110+O113+O117</f>
        <v>5613.4293333333335</v>
      </c>
      <c r="E47" s="62" t="s">
        <v>1028</v>
      </c>
    </row>
    <row r="48" spans="1:9" s="15" customFormat="1" ht="15.75" x14ac:dyDescent="0.25">
      <c r="A48" s="65"/>
    </row>
    <row r="49" spans="2:15" x14ac:dyDescent="0.25">
      <c r="E49" t="s">
        <v>356</v>
      </c>
      <c r="F49" t="s">
        <v>351</v>
      </c>
      <c r="G49" t="s">
        <v>352</v>
      </c>
      <c r="H49" t="s">
        <v>353</v>
      </c>
      <c r="I49" t="s">
        <v>368</v>
      </c>
      <c r="J49" t="s">
        <v>369</v>
      </c>
      <c r="K49" t="s">
        <v>413</v>
      </c>
      <c r="M49" t="s">
        <v>811</v>
      </c>
      <c r="N49" t="s">
        <v>812</v>
      </c>
      <c r="O49" t="s">
        <v>814</v>
      </c>
    </row>
    <row r="50" spans="2:15" x14ac:dyDescent="0.25">
      <c r="B50" s="31" t="s">
        <v>348</v>
      </c>
      <c r="C50" s="31"/>
      <c r="D50" s="31" t="s">
        <v>424</v>
      </c>
      <c r="E50" s="31"/>
      <c r="F50" s="31"/>
      <c r="G50" s="31"/>
      <c r="H50" s="31"/>
      <c r="I50" s="31"/>
      <c r="J50" s="31"/>
      <c r="K50" s="31"/>
      <c r="L50" s="31"/>
      <c r="M50" s="31"/>
      <c r="N50" s="29"/>
      <c r="O50" s="31">
        <f>O51+O52+O53+O54+O55+O56+O57+O58+O59+O60+O61+O62+O63+O64+O65+O66+O67</f>
        <v>2911.8613333333333</v>
      </c>
    </row>
    <row r="51" spans="2:15" x14ac:dyDescent="0.25">
      <c r="C51" s="30" t="s">
        <v>346</v>
      </c>
      <c r="D51" t="s">
        <v>423</v>
      </c>
      <c r="E51">
        <f>Äquivalente!B3</f>
        <v>0.17069999999999999</v>
      </c>
      <c r="F51">
        <v>50.406399999999998</v>
      </c>
      <c r="G51" s="20">
        <f>F51/H51</f>
        <v>2.5203199999999999</v>
      </c>
      <c r="H51">
        <v>20</v>
      </c>
      <c r="I51" t="s">
        <v>366</v>
      </c>
      <c r="K51" t="s">
        <v>367</v>
      </c>
      <c r="M51">
        <f>E11*G51*E51*E7</f>
        <v>1319.3371135999998</v>
      </c>
      <c r="N51">
        <f>IF(Betriebsdaten!C16&lt;=Kalkulation!H51,M51,0)</f>
        <v>0</v>
      </c>
      <c r="O51">
        <f>N51*Betriebsdaten!C13</f>
        <v>0</v>
      </c>
    </row>
    <row r="52" spans="2:15" x14ac:dyDescent="0.25">
      <c r="C52" s="30" t="s">
        <v>364</v>
      </c>
      <c r="D52" t="s">
        <v>423</v>
      </c>
      <c r="E52">
        <f>Äquivalente!B4</f>
        <v>1.5641297000000001</v>
      </c>
      <c r="F52">
        <v>11</v>
      </c>
      <c r="G52">
        <f>F52/H52</f>
        <v>0.55000000000000004</v>
      </c>
      <c r="H52">
        <v>20</v>
      </c>
      <c r="I52" t="s">
        <v>366</v>
      </c>
      <c r="K52" t="s">
        <v>367</v>
      </c>
      <c r="M52">
        <f>E11*G52*E52*E7</f>
        <v>2638.1654273333329</v>
      </c>
      <c r="N52">
        <f>IF(Betriebsdaten!C16&lt;=Kalkulation!H52,M52,0)</f>
        <v>0</v>
      </c>
      <c r="O52">
        <f>N52*Betriebsdaten!C13</f>
        <v>0</v>
      </c>
    </row>
    <row r="53" spans="2:15" x14ac:dyDescent="0.25">
      <c r="C53" s="30" t="s">
        <v>354</v>
      </c>
      <c r="D53" t="s">
        <v>423</v>
      </c>
      <c r="E53">
        <f>Äquivalente!B5</f>
        <v>14.365981</v>
      </c>
      <c r="F53">
        <v>2.5</v>
      </c>
      <c r="G53">
        <f t="shared" ref="G53:G86" si="0">F53/H53</f>
        <v>0.125</v>
      </c>
      <c r="H53">
        <v>20</v>
      </c>
      <c r="I53" t="s">
        <v>366</v>
      </c>
      <c r="K53" t="s">
        <v>367</v>
      </c>
      <c r="M53">
        <f>E11*G53*E53*E7</f>
        <v>5506.9593833333329</v>
      </c>
      <c r="N53">
        <f>IF(Betriebsdaten!C16&lt;=Kalkulation!H53,M53,0)</f>
        <v>0</v>
      </c>
      <c r="O53">
        <f>N53*Betriebsdaten!C13</f>
        <v>0</v>
      </c>
    </row>
    <row r="54" spans="2:15" x14ac:dyDescent="0.25">
      <c r="C54" s="32" t="s">
        <v>355</v>
      </c>
      <c r="D54" s="22" t="s">
        <v>423</v>
      </c>
      <c r="E54" s="22">
        <v>1.1218021</v>
      </c>
      <c r="F54" s="22">
        <v>10.050000000000001</v>
      </c>
      <c r="G54" s="22">
        <f t="shared" si="0"/>
        <v>0.67</v>
      </c>
      <c r="H54" s="22">
        <v>15</v>
      </c>
      <c r="I54" s="22" t="s">
        <v>366</v>
      </c>
      <c r="J54" s="22" t="s">
        <v>380</v>
      </c>
      <c r="K54" s="22" t="s">
        <v>370</v>
      </c>
      <c r="M54">
        <f>E11*G54*E54*E7</f>
        <v>2304.9293814666667</v>
      </c>
      <c r="N54">
        <f>IF(Betriebsdaten!C24&lt;=Kalkulation!H54,M54,0)</f>
        <v>0</v>
      </c>
      <c r="O54">
        <f>N54*Betriebsdaten!C13*0</f>
        <v>0</v>
      </c>
    </row>
    <row r="55" spans="2:15" x14ac:dyDescent="0.25">
      <c r="C55" s="32" t="s">
        <v>365</v>
      </c>
      <c r="D55" s="22" t="s">
        <v>423</v>
      </c>
      <c r="E55" s="22">
        <f>Äquivalente!B18</f>
        <v>2.7889699999999999</v>
      </c>
      <c r="F55" s="22">
        <v>0.7</v>
      </c>
      <c r="G55" s="22">
        <f t="shared" si="0"/>
        <v>5.8333333333333327E-2</v>
      </c>
      <c r="H55" s="22">
        <v>12</v>
      </c>
      <c r="I55" s="22" t="s">
        <v>366</v>
      </c>
      <c r="J55" s="22"/>
      <c r="K55" s="22" t="s">
        <v>371</v>
      </c>
      <c r="M55">
        <f>E11*G55*E55*E7</f>
        <v>498.91574444444433</v>
      </c>
      <c r="N55">
        <f>IF(Betriebsdaten!C24&lt;=Kalkulation!H55,M55,0)</f>
        <v>0</v>
      </c>
      <c r="O55">
        <f>N55*Betriebsdaten!C13*0</f>
        <v>0</v>
      </c>
    </row>
    <row r="56" spans="2:15" x14ac:dyDescent="0.25">
      <c r="C56" s="30" t="s">
        <v>394</v>
      </c>
      <c r="D56" t="s">
        <v>406</v>
      </c>
      <c r="E56" s="15">
        <f>Äquivalente!B6</f>
        <v>1.1000000000000001</v>
      </c>
      <c r="F56">
        <v>9.9600000000000009</v>
      </c>
      <c r="G56">
        <f t="shared" si="0"/>
        <v>0.66400000000000003</v>
      </c>
      <c r="H56">
        <v>15</v>
      </c>
      <c r="I56" t="s">
        <v>366</v>
      </c>
      <c r="J56" t="s">
        <v>411</v>
      </c>
      <c r="K56" t="s">
        <v>370</v>
      </c>
      <c r="M56">
        <f>E15*G56*E56*E7</f>
        <v>2911.8613333333333</v>
      </c>
      <c r="N56">
        <f>IF(Betriebsdaten!C32&lt;=Kalkulation!H56,M56,0)</f>
        <v>2911.8613333333333</v>
      </c>
      <c r="O56">
        <f>N56*Betriebsdaten!C13*Betriebsdaten!C26</f>
        <v>2911.8613333333333</v>
      </c>
    </row>
    <row r="57" spans="2:15" x14ac:dyDescent="0.25">
      <c r="C57" s="30" t="s">
        <v>395</v>
      </c>
      <c r="D57" t="s">
        <v>406</v>
      </c>
      <c r="E57" s="15">
        <f>Äquivalente!B7</f>
        <v>1.1000000000000001</v>
      </c>
      <c r="F57">
        <v>19.920000000000002</v>
      </c>
      <c r="G57">
        <f t="shared" si="0"/>
        <v>1.3280000000000001</v>
      </c>
      <c r="H57">
        <v>15</v>
      </c>
      <c r="I57" t="s">
        <v>366</v>
      </c>
      <c r="J57" t="s">
        <v>411</v>
      </c>
      <c r="K57" t="s">
        <v>370</v>
      </c>
      <c r="M57">
        <f>E15*G57*E57*E7</f>
        <v>5823.7226666666666</v>
      </c>
      <c r="N57">
        <f>IF(Betriebsdaten!C32&lt;=Kalkulation!H57,M57,0)</f>
        <v>5823.7226666666666</v>
      </c>
      <c r="O57">
        <f>N57*Betriebsdaten!C13*Betriebsdaten!C27</f>
        <v>0</v>
      </c>
    </row>
    <row r="58" spans="2:15" x14ac:dyDescent="0.25">
      <c r="C58" s="30" t="s">
        <v>396</v>
      </c>
      <c r="D58" t="s">
        <v>406</v>
      </c>
      <c r="E58" s="15">
        <f>Äquivalente!B8</f>
        <v>1</v>
      </c>
      <c r="F58">
        <v>1.7</v>
      </c>
      <c r="G58">
        <f t="shared" si="0"/>
        <v>0.16999999999999998</v>
      </c>
      <c r="H58">
        <v>10</v>
      </c>
      <c r="I58" t="s">
        <v>366</v>
      </c>
      <c r="J58" t="s">
        <v>411</v>
      </c>
      <c r="K58" t="s">
        <v>412</v>
      </c>
      <c r="M58">
        <f>E15*G58*E58*E7</f>
        <v>677.73333333333323</v>
      </c>
      <c r="N58">
        <f>IF(Betriebsdaten!C32&lt;=Kalkulation!H58,M58,0)</f>
        <v>0</v>
      </c>
      <c r="O58">
        <f>N58*Betriebsdaten!C13*Betriebsdaten!C28</f>
        <v>0</v>
      </c>
    </row>
    <row r="59" spans="2:15" x14ac:dyDescent="0.25">
      <c r="C59" s="30" t="s">
        <v>397</v>
      </c>
      <c r="D59" t="s">
        <v>406</v>
      </c>
      <c r="E59" s="15">
        <f>Äquivalente!B9</f>
        <v>1</v>
      </c>
      <c r="F59">
        <v>2.7</v>
      </c>
      <c r="G59">
        <f t="shared" si="0"/>
        <v>0.27</v>
      </c>
      <c r="H59">
        <v>10</v>
      </c>
      <c r="I59" t="s">
        <v>366</v>
      </c>
      <c r="J59" t="s">
        <v>411</v>
      </c>
      <c r="K59" t="s">
        <v>412</v>
      </c>
      <c r="M59">
        <f>E15*G59*E59*E7</f>
        <v>1076.4000000000001</v>
      </c>
      <c r="N59">
        <f>IF(Betriebsdaten!C32&lt;=Kalkulation!H59,M59,0)</f>
        <v>0</v>
      </c>
      <c r="O59">
        <f>N59*Betriebsdaten!C13*Betriebsdaten!C29</f>
        <v>0</v>
      </c>
    </row>
    <row r="60" spans="2:15" x14ac:dyDescent="0.25">
      <c r="C60" s="30" t="s">
        <v>399</v>
      </c>
      <c r="D60" t="s">
        <v>406</v>
      </c>
      <c r="E60" s="15">
        <f>Äquivalente!B10</f>
        <v>2.7889699999999999</v>
      </c>
      <c r="F60">
        <v>0.187</v>
      </c>
      <c r="G60">
        <f t="shared" si="0"/>
        <v>3.7400000000000003E-2</v>
      </c>
      <c r="H60">
        <v>5</v>
      </c>
      <c r="I60" t="s">
        <v>366</v>
      </c>
      <c r="J60" t="s">
        <v>411</v>
      </c>
      <c r="K60" t="s">
        <v>373</v>
      </c>
      <c r="M60">
        <f>E15*G60*E60*E7</f>
        <v>415.83914562666672</v>
      </c>
      <c r="N60">
        <f>IF(Betriebsdaten!C32&lt;=Kalkulation!H60,M60,0)</f>
        <v>0</v>
      </c>
      <c r="O60">
        <f>N60*Betriebsdaten!C13*Betriebsdaten!C30</f>
        <v>0</v>
      </c>
    </row>
    <row r="61" spans="2:15" x14ac:dyDescent="0.25">
      <c r="C61" s="30" t="s">
        <v>398</v>
      </c>
      <c r="D61" t="s">
        <v>406</v>
      </c>
      <c r="E61" s="15">
        <f>Äquivalente!B11</f>
        <v>2.7889699999999999</v>
      </c>
      <c r="F61">
        <v>0.374</v>
      </c>
      <c r="G61">
        <f t="shared" si="0"/>
        <v>7.4800000000000005E-2</v>
      </c>
      <c r="H61">
        <v>5</v>
      </c>
      <c r="I61" t="s">
        <v>366</v>
      </c>
      <c r="J61" t="s">
        <v>411</v>
      </c>
      <c r="K61" t="s">
        <v>373</v>
      </c>
      <c r="M61">
        <f>E15*G61*E61*E7</f>
        <v>831.67829125333344</v>
      </c>
      <c r="N61">
        <f>IF(Betriebsdaten!C32&lt;=Kalkulation!H61,M61,0)</f>
        <v>0</v>
      </c>
      <c r="O61">
        <f>N61*Betriebsdaten!C13*Betriebsdaten!C31</f>
        <v>0</v>
      </c>
    </row>
    <row r="62" spans="2:15" x14ac:dyDescent="0.25">
      <c r="C62" s="30" t="s">
        <v>400</v>
      </c>
      <c r="D62" t="s">
        <v>407</v>
      </c>
      <c r="E62" s="15">
        <f>Äquivalente!B12</f>
        <v>1.1000000000000001</v>
      </c>
      <c r="F62">
        <v>9.9600000000000009</v>
      </c>
      <c r="G62">
        <f t="shared" si="0"/>
        <v>0.66400000000000003</v>
      </c>
      <c r="H62">
        <v>15</v>
      </c>
      <c r="I62" t="s">
        <v>366</v>
      </c>
      <c r="J62" t="s">
        <v>410</v>
      </c>
      <c r="K62" t="s">
        <v>446</v>
      </c>
      <c r="M62">
        <f>E14*G62*E62*E7</f>
        <v>2239.8933333333334</v>
      </c>
      <c r="N62">
        <f>IF(Betriebsdaten!C24&lt;=Kalkulation!H62,M62,0)</f>
        <v>0</v>
      </c>
      <c r="O62">
        <f>N62*Betriebsdaten!C13*Betriebsdaten!C18</f>
        <v>0</v>
      </c>
    </row>
    <row r="63" spans="2:15" x14ac:dyDescent="0.25">
      <c r="C63" s="30" t="s">
        <v>401</v>
      </c>
      <c r="D63" t="s">
        <v>407</v>
      </c>
      <c r="E63" s="15">
        <f>Äquivalente!B13</f>
        <v>1.1000000000000001</v>
      </c>
      <c r="F63">
        <v>19.920000000000002</v>
      </c>
      <c r="G63">
        <f t="shared" si="0"/>
        <v>1.3280000000000001</v>
      </c>
      <c r="H63">
        <v>15</v>
      </c>
      <c r="I63" t="s">
        <v>366</v>
      </c>
      <c r="J63" t="s">
        <v>410</v>
      </c>
      <c r="K63" t="s">
        <v>446</v>
      </c>
      <c r="M63">
        <f>E14*G63*E63*E7</f>
        <v>4479.7866666666669</v>
      </c>
      <c r="N63">
        <f>IF(Betriebsdaten!C24&lt;=Kalkulation!H63,M63,0)</f>
        <v>0</v>
      </c>
      <c r="O63">
        <f>N63*Betriebsdaten!C13*Betriebsdaten!C19</f>
        <v>0</v>
      </c>
    </row>
    <row r="64" spans="2:15" x14ac:dyDescent="0.25">
      <c r="C64" s="30" t="s">
        <v>402</v>
      </c>
      <c r="D64" t="s">
        <v>407</v>
      </c>
      <c r="E64" s="15">
        <f>Äquivalente!B14</f>
        <v>1</v>
      </c>
      <c r="F64">
        <v>1.7</v>
      </c>
      <c r="G64">
        <f t="shared" si="0"/>
        <v>0.16999999999999998</v>
      </c>
      <c r="H64">
        <v>10</v>
      </c>
      <c r="I64" t="s">
        <v>366</v>
      </c>
      <c r="J64" t="s">
        <v>410</v>
      </c>
      <c r="K64" t="s">
        <v>447</v>
      </c>
      <c r="M64">
        <f>E14*G64*E64*E7</f>
        <v>521.33333333333326</v>
      </c>
      <c r="N64">
        <f>IF(Betriebsdaten!C24&lt;=Kalkulation!H64,M64,0)</f>
        <v>0</v>
      </c>
      <c r="O64">
        <f>N64*Betriebsdaten!C13*Betriebsdaten!C20</f>
        <v>0</v>
      </c>
    </row>
    <row r="65" spans="2:15" x14ac:dyDescent="0.25">
      <c r="C65" s="30" t="s">
        <v>403</v>
      </c>
      <c r="D65" t="s">
        <v>407</v>
      </c>
      <c r="E65" s="15">
        <f>Äquivalente!B15</f>
        <v>1</v>
      </c>
      <c r="F65">
        <v>2.7</v>
      </c>
      <c r="G65">
        <f t="shared" si="0"/>
        <v>0.27</v>
      </c>
      <c r="H65">
        <v>10</v>
      </c>
      <c r="I65" t="s">
        <v>366</v>
      </c>
      <c r="J65" t="s">
        <v>410</v>
      </c>
      <c r="K65" t="s">
        <v>447</v>
      </c>
      <c r="M65">
        <f>E14*G65*E65*E7</f>
        <v>827.99999999999989</v>
      </c>
      <c r="N65">
        <f>IF(Betriebsdaten!C24&lt;=Kalkulation!H65,M65,0)</f>
        <v>0</v>
      </c>
      <c r="O65">
        <f>N65*Betriebsdaten!C13*Betriebsdaten!C21</f>
        <v>0</v>
      </c>
    </row>
    <row r="66" spans="2:15" x14ac:dyDescent="0.25">
      <c r="C66" s="30" t="s">
        <v>404</v>
      </c>
      <c r="D66" t="s">
        <v>407</v>
      </c>
      <c r="E66" s="15">
        <f>Äquivalente!B16</f>
        <v>2.7889699999999999</v>
      </c>
      <c r="F66">
        <v>0.187</v>
      </c>
      <c r="G66">
        <f t="shared" si="0"/>
        <v>3.7400000000000003E-2</v>
      </c>
      <c r="H66">
        <v>5</v>
      </c>
      <c r="I66" t="s">
        <v>366</v>
      </c>
      <c r="J66" t="s">
        <v>410</v>
      </c>
      <c r="K66" t="s">
        <v>448</v>
      </c>
      <c r="M66">
        <f>E14*G66*E66*E7</f>
        <v>319.87626586666664</v>
      </c>
      <c r="N66">
        <f>IF(Betriebsdaten!C24&lt;=Kalkulation!H66,M66,0)</f>
        <v>0</v>
      </c>
      <c r="O66">
        <f>N66*Betriebsdaten!C13*Betriebsdaten!C22</f>
        <v>0</v>
      </c>
    </row>
    <row r="67" spans="2:15" x14ac:dyDescent="0.25">
      <c r="C67" s="30" t="s">
        <v>405</v>
      </c>
      <c r="D67" t="s">
        <v>407</v>
      </c>
      <c r="E67" s="15">
        <f>Äquivalente!B17</f>
        <v>2.7889699999999999</v>
      </c>
      <c r="F67">
        <v>0.374</v>
      </c>
      <c r="G67">
        <f t="shared" si="0"/>
        <v>7.4800000000000005E-2</v>
      </c>
      <c r="H67">
        <v>5</v>
      </c>
      <c r="I67" t="s">
        <v>366</v>
      </c>
      <c r="J67" t="s">
        <v>410</v>
      </c>
      <c r="K67" t="s">
        <v>448</v>
      </c>
      <c r="M67">
        <f>E14*G67*E67*E7</f>
        <v>639.75253173333329</v>
      </c>
      <c r="N67">
        <f>IF(Betriebsdaten!C24&lt;=Kalkulation!H67,M67,0)</f>
        <v>0</v>
      </c>
      <c r="O67">
        <f>N67*Betriebsdaten!C13*Betriebsdaten!C23</f>
        <v>0</v>
      </c>
    </row>
    <row r="68" spans="2:15" x14ac:dyDescent="0.25">
      <c r="C68" s="15"/>
      <c r="E68" s="15"/>
    </row>
    <row r="69" spans="2:15" x14ac:dyDescent="0.25">
      <c r="B69" s="31" t="s">
        <v>363</v>
      </c>
      <c r="C69" s="29"/>
      <c r="D69" s="31" t="s">
        <v>424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31">
        <f>O70+O71+O72+O73+O74+O75+O76+O77+O78+O79+O80+O81+O82+O83+O84+O85+O86</f>
        <v>0</v>
      </c>
    </row>
    <row r="70" spans="2:15" x14ac:dyDescent="0.25">
      <c r="C70" s="33" t="s">
        <v>346</v>
      </c>
      <c r="D70" t="s">
        <v>423</v>
      </c>
      <c r="E70">
        <f>Äquivalente!B3</f>
        <v>0.17069999999999999</v>
      </c>
      <c r="F70">
        <v>50.4</v>
      </c>
      <c r="G70">
        <f t="shared" si="0"/>
        <v>2.52</v>
      </c>
      <c r="H70">
        <v>20</v>
      </c>
      <c r="I70" t="s">
        <v>372</v>
      </c>
      <c r="K70" t="s">
        <v>367</v>
      </c>
      <c r="M70">
        <f>E52*G70*E70*E7</f>
        <v>0.41267047013942398</v>
      </c>
      <c r="N70">
        <f>IF(Betriebsdaten!C16&lt;=Kalkulation!H70,M70,0)</f>
        <v>0</v>
      </c>
      <c r="O70">
        <f>N70*Betriebsdaten!C14</f>
        <v>0</v>
      </c>
    </row>
    <row r="71" spans="2:15" x14ac:dyDescent="0.25">
      <c r="C71" s="33" t="s">
        <v>364</v>
      </c>
      <c r="D71" t="s">
        <v>423</v>
      </c>
      <c r="E71">
        <f>Äquivalente!B4</f>
        <v>1.5641297000000001</v>
      </c>
      <c r="F71">
        <v>11</v>
      </c>
      <c r="G71">
        <f t="shared" si="0"/>
        <v>0.55000000000000004</v>
      </c>
      <c r="H71">
        <v>20</v>
      </c>
      <c r="I71" t="s">
        <v>372</v>
      </c>
      <c r="K71" t="s">
        <v>367</v>
      </c>
      <c r="M71">
        <f>E53*G71*E71*E7</f>
        <v>7.5799668807855101</v>
      </c>
      <c r="N71">
        <f>IF(Betriebsdaten!C16&lt;=Kalkulation!H71,M71,0)</f>
        <v>0</v>
      </c>
      <c r="O71">
        <f>N71*Betriebsdaten!C14</f>
        <v>0</v>
      </c>
    </row>
    <row r="72" spans="2:15" x14ac:dyDescent="0.25">
      <c r="C72" s="33" t="s">
        <v>354</v>
      </c>
      <c r="D72" t="s">
        <v>423</v>
      </c>
      <c r="E72">
        <f>Äquivalente!B5</f>
        <v>14.365981</v>
      </c>
      <c r="F72">
        <v>0.3</v>
      </c>
      <c r="G72">
        <f t="shared" si="0"/>
        <v>1.4999999999999999E-2</v>
      </c>
      <c r="H72">
        <v>20</v>
      </c>
      <c r="I72" t="s">
        <v>372</v>
      </c>
      <c r="K72" t="s">
        <v>367</v>
      </c>
      <c r="M72">
        <f>E54*G72*E72*E7</f>
        <v>0.14826524642011291</v>
      </c>
      <c r="N72">
        <f>IF(Betriebsdaten!C16&lt;=Kalkulation!H72,M72,0)</f>
        <v>0</v>
      </c>
      <c r="O72">
        <f>N72*Betriebsdaten!C14</f>
        <v>0</v>
      </c>
    </row>
    <row r="73" spans="2:15" x14ac:dyDescent="0.25">
      <c r="C73" s="44" t="s">
        <v>355</v>
      </c>
      <c r="D73" s="45" t="s">
        <v>423</v>
      </c>
      <c r="E73" s="45">
        <v>1.1218021</v>
      </c>
      <c r="F73" s="45">
        <v>13</v>
      </c>
      <c r="G73" s="45">
        <f t="shared" si="0"/>
        <v>0.8666666666666667</v>
      </c>
      <c r="H73" s="45">
        <v>15</v>
      </c>
      <c r="I73" s="45" t="s">
        <v>372</v>
      </c>
      <c r="J73" s="45"/>
      <c r="K73" s="45" t="s">
        <v>370</v>
      </c>
      <c r="L73" s="45"/>
      <c r="M73" s="45">
        <f>E55*G73*E73*E7</f>
        <v>1.6630631972413565</v>
      </c>
      <c r="N73" s="45">
        <f>IF(Betriebsdaten!C24&lt;=Kalkulation!H73,M73,0)</f>
        <v>0</v>
      </c>
      <c r="O73" s="45">
        <f>N73*Betriebsdaten!C14*0</f>
        <v>0</v>
      </c>
    </row>
    <row r="74" spans="2:15" x14ac:dyDescent="0.25">
      <c r="C74" s="44" t="s">
        <v>365</v>
      </c>
      <c r="D74" s="45" t="s">
        <v>423</v>
      </c>
      <c r="E74" s="22">
        <f>Äquivalente!B18</f>
        <v>2.7889699999999999</v>
      </c>
      <c r="F74" s="45">
        <v>0.7</v>
      </c>
      <c r="G74" s="45">
        <f t="shared" si="0"/>
        <v>5.8333333333333327E-2</v>
      </c>
      <c r="H74" s="45">
        <v>12</v>
      </c>
      <c r="I74" s="45" t="s">
        <v>372</v>
      </c>
      <c r="J74" s="45"/>
      <c r="K74" s="45" t="s">
        <v>371</v>
      </c>
      <c r="L74" s="45"/>
      <c r="M74" s="45">
        <f>E56*G74*E74*E7</f>
        <v>0.10976146377777776</v>
      </c>
      <c r="N74" s="45">
        <f>IF(Betriebsdaten!C24&lt;=Kalkulation!H74,M74,0)</f>
        <v>0</v>
      </c>
      <c r="O74" s="45">
        <f>N74*Betriebsdaten!C14*0</f>
        <v>0</v>
      </c>
    </row>
    <row r="75" spans="2:15" x14ac:dyDescent="0.25">
      <c r="C75" s="33" t="s">
        <v>394</v>
      </c>
      <c r="D75" t="s">
        <v>408</v>
      </c>
      <c r="E75" s="15">
        <f>Äquivalente!B6</f>
        <v>1.1000000000000001</v>
      </c>
      <c r="F75">
        <v>9.9600000000000009</v>
      </c>
      <c r="G75">
        <f t="shared" si="0"/>
        <v>0.66400000000000003</v>
      </c>
      <c r="H75">
        <v>15</v>
      </c>
      <c r="I75" t="s">
        <v>372</v>
      </c>
      <c r="J75" t="s">
        <v>411</v>
      </c>
      <c r="K75" t="s">
        <v>370</v>
      </c>
      <c r="M75">
        <f>E57*G75*E75*E7</f>
        <v>0.49277653333333338</v>
      </c>
      <c r="N75">
        <f>IF(Betriebsdaten!C32&lt;=Kalkulation!H75,M75,0)</f>
        <v>0.49277653333333338</v>
      </c>
      <c r="O75">
        <f>N75*Betriebsdaten!C14*Betriebsdaten!C26</f>
        <v>0</v>
      </c>
    </row>
    <row r="76" spans="2:15" x14ac:dyDescent="0.25">
      <c r="C76" s="33" t="s">
        <v>395</v>
      </c>
      <c r="D76" t="s">
        <v>408</v>
      </c>
      <c r="E76" s="15">
        <f>Äquivalente!B7</f>
        <v>1.1000000000000001</v>
      </c>
      <c r="F76">
        <v>19.920000000000002</v>
      </c>
      <c r="G76">
        <f t="shared" si="0"/>
        <v>1.3280000000000001</v>
      </c>
      <c r="H76">
        <v>15</v>
      </c>
      <c r="I76" t="s">
        <v>372</v>
      </c>
      <c r="J76" t="s">
        <v>411</v>
      </c>
      <c r="K76" t="s">
        <v>370</v>
      </c>
      <c r="M76">
        <f>E58*G76*E76*E7</f>
        <v>0.89595733333333327</v>
      </c>
      <c r="N76">
        <f>IF(Betriebsdaten!C32&lt;=Kalkulation!H76,M76,0)</f>
        <v>0.89595733333333327</v>
      </c>
      <c r="O76">
        <f>N76*Betriebsdaten!C14*Betriebsdaten!C27</f>
        <v>0</v>
      </c>
    </row>
    <row r="77" spans="2:15" x14ac:dyDescent="0.25">
      <c r="C77" s="33" t="s">
        <v>396</v>
      </c>
      <c r="D77" t="s">
        <v>408</v>
      </c>
      <c r="E77" s="15">
        <f>Äquivalente!B8</f>
        <v>1</v>
      </c>
      <c r="F77">
        <v>1.7</v>
      </c>
      <c r="G77">
        <f t="shared" si="0"/>
        <v>0.16999999999999998</v>
      </c>
      <c r="H77">
        <v>10</v>
      </c>
      <c r="I77" t="s">
        <v>372</v>
      </c>
      <c r="J77" t="s">
        <v>411</v>
      </c>
      <c r="K77" t="s">
        <v>412</v>
      </c>
      <c r="M77">
        <f>E59*G77*E77*E7</f>
        <v>0.10426666666666665</v>
      </c>
      <c r="N77">
        <f>IF(Betriebsdaten!C32&lt;=Kalkulation!H77,M77,0)</f>
        <v>0</v>
      </c>
      <c r="O77">
        <f>N77*Betriebsdaten!C14*Betriebsdaten!C28</f>
        <v>0</v>
      </c>
    </row>
    <row r="78" spans="2:15" x14ac:dyDescent="0.25">
      <c r="C78" s="33" t="s">
        <v>397</v>
      </c>
      <c r="D78" t="s">
        <v>408</v>
      </c>
      <c r="E78" s="15">
        <f>Äquivalente!B9</f>
        <v>1</v>
      </c>
      <c r="F78">
        <v>2.7</v>
      </c>
      <c r="G78">
        <f t="shared" si="0"/>
        <v>0.27</v>
      </c>
      <c r="H78">
        <v>10</v>
      </c>
      <c r="I78" t="s">
        <v>372</v>
      </c>
      <c r="J78" t="s">
        <v>411</v>
      </c>
      <c r="K78" t="s">
        <v>412</v>
      </c>
      <c r="M78">
        <f>E60*G78*E78*E7</f>
        <v>0.46185343199999995</v>
      </c>
      <c r="N78">
        <f>IF(Betriebsdaten!C32&lt;=Kalkulation!H78,M78,0)</f>
        <v>0</v>
      </c>
      <c r="O78">
        <f>N78*Betriebsdaten!C14*Betriebsdaten!C29</f>
        <v>0</v>
      </c>
    </row>
    <row r="79" spans="2:15" x14ac:dyDescent="0.25">
      <c r="C79" s="33" t="s">
        <v>399</v>
      </c>
      <c r="D79" t="s">
        <v>408</v>
      </c>
      <c r="E79" s="15">
        <f>Äquivalente!B10</f>
        <v>2.7889699999999999</v>
      </c>
      <c r="F79">
        <v>0.187</v>
      </c>
      <c r="G79">
        <f t="shared" si="0"/>
        <v>3.7400000000000003E-2</v>
      </c>
      <c r="H79">
        <v>5</v>
      </c>
      <c r="I79" t="s">
        <v>372</v>
      </c>
      <c r="J79" t="s">
        <v>411</v>
      </c>
      <c r="K79" t="s">
        <v>373</v>
      </c>
      <c r="M79">
        <f>E61*G79*E79*E7</f>
        <v>0.17842506184283147</v>
      </c>
      <c r="N79">
        <f>IF(Betriebsdaten!C32&lt;=Kalkulation!H79,M79,0)</f>
        <v>0</v>
      </c>
      <c r="O79">
        <f>N79*Betriebsdaten!C14*Betriebsdaten!C30</f>
        <v>0</v>
      </c>
    </row>
    <row r="80" spans="2:15" x14ac:dyDescent="0.25">
      <c r="C80" s="33" t="s">
        <v>398</v>
      </c>
      <c r="D80" t="s">
        <v>408</v>
      </c>
      <c r="E80" s="15">
        <f>Äquivalente!B11</f>
        <v>2.7889699999999999</v>
      </c>
      <c r="F80">
        <v>0.374</v>
      </c>
      <c r="G80">
        <f t="shared" si="0"/>
        <v>7.4800000000000005E-2</v>
      </c>
      <c r="H80">
        <v>5</v>
      </c>
      <c r="I80" t="s">
        <v>372</v>
      </c>
      <c r="J80" t="s">
        <v>411</v>
      </c>
      <c r="K80" t="s">
        <v>373</v>
      </c>
      <c r="M80">
        <f>E62*G80*E80*E7</f>
        <v>0.14074555698133334</v>
      </c>
      <c r="N80">
        <f>IF(Betriebsdaten!C32&lt;=Kalkulation!H80,M80,0)</f>
        <v>0</v>
      </c>
      <c r="O80">
        <f>N80*Betriebsdaten!C14*Betriebsdaten!C31</f>
        <v>0</v>
      </c>
    </row>
    <row r="81" spans="2:15" x14ac:dyDescent="0.25">
      <c r="C81" s="33" t="s">
        <v>400</v>
      </c>
      <c r="D81" t="s">
        <v>409</v>
      </c>
      <c r="E81" s="15">
        <f>Äquivalente!B12</f>
        <v>1.1000000000000001</v>
      </c>
      <c r="F81">
        <v>9.9600000000000009</v>
      </c>
      <c r="G81">
        <f t="shared" si="0"/>
        <v>0.66400000000000003</v>
      </c>
      <c r="H81">
        <v>15</v>
      </c>
      <c r="I81" t="s">
        <v>372</v>
      </c>
      <c r="J81" t="s">
        <v>410</v>
      </c>
      <c r="K81" t="s">
        <v>446</v>
      </c>
      <c r="M81">
        <f>E63*G81*E81*E7</f>
        <v>0.49277653333333338</v>
      </c>
      <c r="N81">
        <f>IF(Betriebsdaten!C24&lt;=Kalkulation!H81,M81,0)</f>
        <v>0</v>
      </c>
      <c r="O81">
        <f>N81*Betriebsdaten!C14*Betriebsdaten!C18</f>
        <v>0</v>
      </c>
    </row>
    <row r="82" spans="2:15" x14ac:dyDescent="0.25">
      <c r="C82" s="33" t="s">
        <v>401</v>
      </c>
      <c r="D82" t="s">
        <v>409</v>
      </c>
      <c r="E82" s="15">
        <f>Äquivalente!B13</f>
        <v>1.1000000000000001</v>
      </c>
      <c r="F82">
        <v>19.920000000000002</v>
      </c>
      <c r="G82">
        <f t="shared" si="0"/>
        <v>1.3280000000000001</v>
      </c>
      <c r="H82">
        <v>15</v>
      </c>
      <c r="I82" t="s">
        <v>372</v>
      </c>
      <c r="J82" t="s">
        <v>410</v>
      </c>
      <c r="K82" t="s">
        <v>446</v>
      </c>
      <c r="M82">
        <f>E64*G82*E82*E7</f>
        <v>0.89595733333333327</v>
      </c>
      <c r="N82">
        <f>IF(Betriebsdaten!C24&lt;=Kalkulation!H82,M82,0)</f>
        <v>0</v>
      </c>
      <c r="O82">
        <f>N82*Betriebsdaten!C14*Betriebsdaten!C19</f>
        <v>0</v>
      </c>
    </row>
    <row r="83" spans="2:15" x14ac:dyDescent="0.25">
      <c r="C83" s="33" t="s">
        <v>402</v>
      </c>
      <c r="D83" t="s">
        <v>409</v>
      </c>
      <c r="E83" s="15">
        <f>Äquivalente!B14</f>
        <v>1</v>
      </c>
      <c r="F83">
        <v>1.7</v>
      </c>
      <c r="G83">
        <f t="shared" si="0"/>
        <v>0.16999999999999998</v>
      </c>
      <c r="H83">
        <v>10</v>
      </c>
      <c r="I83" t="s">
        <v>372</v>
      </c>
      <c r="J83" t="s">
        <v>410</v>
      </c>
      <c r="K83" t="s">
        <v>447</v>
      </c>
      <c r="M83">
        <f>E65*G83*E83*E7</f>
        <v>0.10426666666666665</v>
      </c>
      <c r="N83">
        <f>IF(Betriebsdaten!C24&lt;=Kalkulation!H83,M83,0)</f>
        <v>0</v>
      </c>
      <c r="O83">
        <f>N83*Betriebsdaten!C14*Betriebsdaten!C20</f>
        <v>0</v>
      </c>
    </row>
    <row r="84" spans="2:15" x14ac:dyDescent="0.25">
      <c r="C84" s="33" t="s">
        <v>403</v>
      </c>
      <c r="D84" t="s">
        <v>409</v>
      </c>
      <c r="E84" s="15">
        <f>Äquivalente!B15</f>
        <v>1</v>
      </c>
      <c r="F84">
        <v>2.7</v>
      </c>
      <c r="G84">
        <f t="shared" si="0"/>
        <v>0.27</v>
      </c>
      <c r="H84">
        <v>10</v>
      </c>
      <c r="I84" t="s">
        <v>372</v>
      </c>
      <c r="J84" t="s">
        <v>410</v>
      </c>
      <c r="K84" t="s">
        <v>447</v>
      </c>
      <c r="M84">
        <f>E66*G84*E84*E7</f>
        <v>0.46185343199999995</v>
      </c>
      <c r="N84">
        <f>IF(Betriebsdaten!C24&lt;=Kalkulation!H84,M84,0)</f>
        <v>0</v>
      </c>
      <c r="O84">
        <f>N84*Betriebsdaten!C14*Betriebsdaten!C21</f>
        <v>0</v>
      </c>
    </row>
    <row r="85" spans="2:15" x14ac:dyDescent="0.25">
      <c r="C85" s="33" t="s">
        <v>404</v>
      </c>
      <c r="D85" t="s">
        <v>409</v>
      </c>
      <c r="E85" s="15">
        <f>Äquivalente!B16</f>
        <v>2.7889699999999999</v>
      </c>
      <c r="F85">
        <v>0.187</v>
      </c>
      <c r="G85">
        <f t="shared" si="0"/>
        <v>3.7400000000000003E-2</v>
      </c>
      <c r="H85">
        <v>5</v>
      </c>
      <c r="I85" t="s">
        <v>372</v>
      </c>
      <c r="J85" t="s">
        <v>410</v>
      </c>
      <c r="K85" t="s">
        <v>448</v>
      </c>
      <c r="M85">
        <f>E67*G85*E85*E7</f>
        <v>0.17842506184283147</v>
      </c>
      <c r="N85">
        <f>IF(Betriebsdaten!C24&lt;=Kalkulation!H85,M85,0)</f>
        <v>0</v>
      </c>
      <c r="O85">
        <f>N85*Betriebsdaten!C14*Betriebsdaten!C22</f>
        <v>0</v>
      </c>
    </row>
    <row r="86" spans="2:15" x14ac:dyDescent="0.25">
      <c r="C86" s="33" t="s">
        <v>405</v>
      </c>
      <c r="D86" t="s">
        <v>409</v>
      </c>
      <c r="E86" s="15">
        <f>Äquivalente!B17</f>
        <v>2.7889699999999999</v>
      </c>
      <c r="F86">
        <v>0.374</v>
      </c>
      <c r="G86">
        <f t="shared" si="0"/>
        <v>7.4800000000000005E-2</v>
      </c>
      <c r="H86">
        <v>5</v>
      </c>
      <c r="I86" t="s">
        <v>372</v>
      </c>
      <c r="J86" t="s">
        <v>410</v>
      </c>
      <c r="K86" t="s">
        <v>448</v>
      </c>
      <c r="M86">
        <f>E69*G86*E86*E7</f>
        <v>0</v>
      </c>
      <c r="N86">
        <f>IF(Betriebsdaten!C24&lt;=Kalkulation!H86,M86,0)</f>
        <v>0</v>
      </c>
      <c r="O86">
        <f>N86*Betriebsdaten!C14*Betriebsdaten!C23</f>
        <v>0</v>
      </c>
    </row>
    <row r="87" spans="2:15" x14ac:dyDescent="0.25">
      <c r="C87" s="66"/>
      <c r="E87" s="15"/>
    </row>
    <row r="88" spans="2:15" x14ac:dyDescent="0.25">
      <c r="B88" s="31" t="s">
        <v>349</v>
      </c>
      <c r="C88" s="42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31">
        <f>O89+O90</f>
        <v>0</v>
      </c>
    </row>
    <row r="89" spans="2:15" x14ac:dyDescent="0.25">
      <c r="C89" s="33" t="s">
        <v>365</v>
      </c>
      <c r="D89" t="s">
        <v>414</v>
      </c>
      <c r="E89" s="21">
        <f>Äquivalente!B18</f>
        <v>2.7889699999999999</v>
      </c>
      <c r="F89">
        <v>0.3</v>
      </c>
      <c r="G89">
        <f>F89/H89</f>
        <v>0.06</v>
      </c>
      <c r="H89">
        <v>5</v>
      </c>
      <c r="I89" t="s">
        <v>415</v>
      </c>
      <c r="K89" t="s">
        <v>448</v>
      </c>
      <c r="M89">
        <f>E70*G89*E89*E7</f>
        <v>1.7519640187199998E-2</v>
      </c>
      <c r="N89">
        <f>IF(Betriebsdaten!C24&lt;=Kalkulation!H89,M89,0)</f>
        <v>0</v>
      </c>
      <c r="O89">
        <f>N89*Betriebsdaten!C15*Betriebsdaten!C22</f>
        <v>0</v>
      </c>
    </row>
    <row r="90" spans="2:15" x14ac:dyDescent="0.25">
      <c r="C90" s="33" t="s">
        <v>364</v>
      </c>
      <c r="D90" t="s">
        <v>423</v>
      </c>
      <c r="E90">
        <f>Äquivalente!B4</f>
        <v>1.5641297000000001</v>
      </c>
      <c r="F90">
        <v>2.6</v>
      </c>
      <c r="G90">
        <f>F90/H90</f>
        <v>0.13</v>
      </c>
      <c r="H90">
        <v>20</v>
      </c>
      <c r="I90" t="s">
        <v>415</v>
      </c>
      <c r="K90" t="s">
        <v>367</v>
      </c>
      <c r="M90">
        <f>E71*G90*E90*E7</f>
        <v>0.19506773701552133</v>
      </c>
      <c r="N90">
        <f>IF(Betriebsdaten!C16&lt;=Kalkulation!H90,M90,0)</f>
        <v>0</v>
      </c>
      <c r="O90">
        <f>N90*Betriebsdaten!C15*Betriebsdaten!C22</f>
        <v>0</v>
      </c>
    </row>
    <row r="91" spans="2:15" x14ac:dyDescent="0.25">
      <c r="B91" s="31" t="s">
        <v>350</v>
      </c>
      <c r="C91" s="43"/>
      <c r="D91" s="31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1">
        <f>O92+O93</f>
        <v>0</v>
      </c>
    </row>
    <row r="92" spans="2:15" x14ac:dyDescent="0.25">
      <c r="C92" s="33" t="s">
        <v>365</v>
      </c>
      <c r="D92" t="s">
        <v>414</v>
      </c>
      <c r="E92" s="21">
        <f>Äquivalente!B18</f>
        <v>2.7889699999999999</v>
      </c>
      <c r="F92">
        <v>0.7</v>
      </c>
      <c r="G92">
        <f>F92/H92</f>
        <v>0.13999999999999999</v>
      </c>
      <c r="H92">
        <v>5</v>
      </c>
      <c r="I92" t="s">
        <v>416</v>
      </c>
      <c r="K92" t="s">
        <v>448</v>
      </c>
      <c r="M92">
        <f>E72*G92*E92*E7</f>
        <v>3.4403587705390763</v>
      </c>
      <c r="N92">
        <f>IF(Betriebsdaten!C24&lt;=Kalkulation!H92,M92,0)</f>
        <v>0</v>
      </c>
      <c r="O92">
        <f>N92*Betriebsdaten!C15*Betriebsdaten!C23</f>
        <v>0</v>
      </c>
    </row>
    <row r="93" spans="2:15" x14ac:dyDescent="0.25">
      <c r="C93" s="33" t="s">
        <v>364</v>
      </c>
      <c r="D93" t="s">
        <v>423</v>
      </c>
      <c r="E93">
        <f>Äquivalente!B4</f>
        <v>1.5641297000000001</v>
      </c>
      <c r="F93">
        <v>3.9</v>
      </c>
      <c r="G93">
        <f>F93/H93</f>
        <v>0.19500000000000001</v>
      </c>
      <c r="H93">
        <v>20</v>
      </c>
      <c r="I93" t="s">
        <v>416</v>
      </c>
      <c r="K93" t="s">
        <v>367</v>
      </c>
      <c r="M93">
        <f>E73*G93*E93*E7</f>
        <v>0.20985542026303147</v>
      </c>
      <c r="N93">
        <f>IF(Betriebsdaten!C16&lt;=Kalkulation!H93,M93,0)</f>
        <v>0</v>
      </c>
      <c r="O93">
        <f>N93*Betriebsdaten!C15*Betriebsdaten!C23</f>
        <v>0</v>
      </c>
    </row>
    <row r="95" spans="2:15" x14ac:dyDescent="0.25">
      <c r="E95" t="s">
        <v>356</v>
      </c>
      <c r="F95" t="s">
        <v>351</v>
      </c>
      <c r="G95" t="s">
        <v>352</v>
      </c>
      <c r="H95" t="s">
        <v>353</v>
      </c>
      <c r="I95" t="s">
        <v>368</v>
      </c>
      <c r="J95" t="s">
        <v>369</v>
      </c>
      <c r="K95" t="s">
        <v>413</v>
      </c>
      <c r="M95" t="s">
        <v>811</v>
      </c>
      <c r="N95" t="s">
        <v>812</v>
      </c>
      <c r="O95" t="s">
        <v>814</v>
      </c>
    </row>
    <row r="96" spans="2:15" x14ac:dyDescent="0.25">
      <c r="B96" s="31" t="s">
        <v>31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>
        <f>O97+O98+O99+O100</f>
        <v>0</v>
      </c>
    </row>
    <row r="97" spans="2:15" x14ac:dyDescent="0.25">
      <c r="C97" s="30" t="s">
        <v>420</v>
      </c>
      <c r="D97" t="s">
        <v>423</v>
      </c>
      <c r="E97">
        <f>Äquivalente!B19</f>
        <v>2.67</v>
      </c>
      <c r="F97">
        <v>0.5</v>
      </c>
      <c r="G97" s="20">
        <f>F97/H97</f>
        <v>0.05</v>
      </c>
      <c r="H97">
        <v>10</v>
      </c>
      <c r="I97" t="s">
        <v>430</v>
      </c>
      <c r="K97" t="s">
        <v>445</v>
      </c>
      <c r="M97">
        <f>E11*G97*E97*E7</f>
        <v>409.4</v>
      </c>
      <c r="N97">
        <f>IF(Betriebsdaten!C39&lt;=Kalkulation!H97,M97,0)</f>
        <v>0</v>
      </c>
      <c r="O97">
        <f>N97*Betriebsdaten!C35</f>
        <v>0</v>
      </c>
    </row>
    <row r="98" spans="2:15" x14ac:dyDescent="0.25">
      <c r="C98" s="30" t="s">
        <v>417</v>
      </c>
      <c r="D98" t="s">
        <v>428</v>
      </c>
      <c r="E98">
        <f>Äquivalente!B19</f>
        <v>2.67</v>
      </c>
      <c r="F98">
        <v>1</v>
      </c>
      <c r="G98" s="20">
        <f>F98/H98</f>
        <v>0.1</v>
      </c>
      <c r="H98">
        <v>10</v>
      </c>
      <c r="I98" t="s">
        <v>431</v>
      </c>
      <c r="K98" t="s">
        <v>445</v>
      </c>
      <c r="M98">
        <f>E11*G98*E98*E7</f>
        <v>818.8</v>
      </c>
      <c r="N98">
        <f>IF(Betriebsdaten!C39&lt;=Kalkulation!H98,M98,0)</f>
        <v>0</v>
      </c>
      <c r="O98">
        <f>N98*Betriebsdaten!C36</f>
        <v>0</v>
      </c>
    </row>
    <row r="99" spans="2:15" x14ac:dyDescent="0.25">
      <c r="C99" s="30" t="s">
        <v>422</v>
      </c>
      <c r="D99" t="s">
        <v>423</v>
      </c>
      <c r="E99">
        <f>Äquivalente!B20</f>
        <v>4.5167999999999999</v>
      </c>
      <c r="F99">
        <v>0.5</v>
      </c>
      <c r="G99" s="20">
        <f>F99/H99</f>
        <v>0.05</v>
      </c>
      <c r="H99">
        <v>10</v>
      </c>
      <c r="I99" t="s">
        <v>432</v>
      </c>
      <c r="K99" t="s">
        <v>445</v>
      </c>
      <c r="M99">
        <f>E11*G99*E99*E7</f>
        <v>692.57600000000002</v>
      </c>
      <c r="N99">
        <f>IF(Betriebsdaten!C39&lt;=Kalkulation!H99,M99,0)</f>
        <v>0</v>
      </c>
      <c r="O99">
        <f>N99*Betriebsdaten!C37</f>
        <v>0</v>
      </c>
    </row>
    <row r="100" spans="2:15" x14ac:dyDescent="0.25">
      <c r="C100" s="30" t="s">
        <v>421</v>
      </c>
      <c r="D100" t="s">
        <v>428</v>
      </c>
      <c r="E100">
        <f>Äquivalente!B20</f>
        <v>4.5167999999999999</v>
      </c>
      <c r="F100">
        <v>1</v>
      </c>
      <c r="G100" s="20">
        <f>F100/H100</f>
        <v>0.1</v>
      </c>
      <c r="H100">
        <v>10</v>
      </c>
      <c r="I100" t="s">
        <v>433</v>
      </c>
      <c r="K100" t="s">
        <v>445</v>
      </c>
      <c r="M100">
        <f>E11*G100*E100*E7</f>
        <v>1385.152</v>
      </c>
      <c r="N100">
        <f>IF(Betriebsdaten!C39&lt;=Kalkulation!H100,M100,0)</f>
        <v>0</v>
      </c>
      <c r="O100">
        <f>N100*Betriebsdaten!C38</f>
        <v>0</v>
      </c>
    </row>
    <row r="102" spans="2:15" x14ac:dyDescent="0.25">
      <c r="E102" t="s">
        <v>356</v>
      </c>
      <c r="F102" t="s">
        <v>351</v>
      </c>
      <c r="G102" t="s">
        <v>352</v>
      </c>
      <c r="H102" t="s">
        <v>353</v>
      </c>
      <c r="I102" t="s">
        <v>811</v>
      </c>
      <c r="J102" t="s">
        <v>812</v>
      </c>
      <c r="K102" t="s">
        <v>814</v>
      </c>
    </row>
    <row r="103" spans="2:15" x14ac:dyDescent="0.25">
      <c r="B103" s="31" t="s">
        <v>1065</v>
      </c>
      <c r="C103" s="31"/>
      <c r="D103" s="31"/>
      <c r="E103" s="31"/>
      <c r="F103" s="31"/>
      <c r="G103" s="31"/>
      <c r="H103" s="31"/>
      <c r="I103" s="31"/>
      <c r="J103" s="31"/>
      <c r="K103" s="31">
        <f>K104+K105+K106</f>
        <v>0</v>
      </c>
    </row>
    <row r="104" spans="2:15" x14ac:dyDescent="0.25">
      <c r="C104" s="30" t="s">
        <v>600</v>
      </c>
      <c r="D104" t="s">
        <v>601</v>
      </c>
      <c r="E104">
        <f>Äquivalente!B158</f>
        <v>2.67</v>
      </c>
      <c r="F104">
        <v>0.1</v>
      </c>
      <c r="G104" s="20">
        <f>F104/H104</f>
        <v>0.01</v>
      </c>
      <c r="H104">
        <v>10</v>
      </c>
      <c r="I104">
        <f>E12*G104*E104</f>
        <v>128.16</v>
      </c>
      <c r="J104">
        <f>IF(Betriebsdaten!C273&gt;Kalkulation!H104,0,I104)</f>
        <v>0</v>
      </c>
      <c r="K104">
        <f>J104*Betriebsdaten!C270*Betriebsdaten!C51</f>
        <v>0</v>
      </c>
    </row>
    <row r="105" spans="2:15" x14ac:dyDescent="0.25">
      <c r="C105" s="30" t="s">
        <v>1020</v>
      </c>
      <c r="E105">
        <f>Äquivalente!B159</f>
        <v>2.67</v>
      </c>
      <c r="F105">
        <v>0.2</v>
      </c>
      <c r="G105" s="20">
        <f t="shared" ref="G105:G106" si="1">F105/H105</f>
        <v>0.02</v>
      </c>
      <c r="H105">
        <v>10</v>
      </c>
      <c r="I105">
        <f>E12*G105*E105</f>
        <v>256.32</v>
      </c>
      <c r="J105">
        <f>IF(Betriebsdaten!C273&gt;Kalkulation!H105,0,I105)</f>
        <v>0</v>
      </c>
      <c r="K105">
        <f>J105*Betriebsdaten!C271*Betriebsdaten!C51</f>
        <v>0</v>
      </c>
    </row>
    <row r="106" spans="2:15" x14ac:dyDescent="0.25">
      <c r="C106" s="30" t="s">
        <v>346</v>
      </c>
      <c r="E106">
        <f>Äquivalente!B160</f>
        <v>0.17069999999999999</v>
      </c>
      <c r="F106">
        <v>50.4</v>
      </c>
      <c r="G106" s="20">
        <f t="shared" si="1"/>
        <v>2.52</v>
      </c>
      <c r="H106">
        <v>20</v>
      </c>
      <c r="I106">
        <f>E12*G106*E106</f>
        <v>2064.7871999999998</v>
      </c>
      <c r="J106">
        <f>IF(Betriebsdaten!C273&gt;Kalkulation!H106,0,I106)</f>
        <v>2064.7871999999998</v>
      </c>
      <c r="K106">
        <f>J106*Betriebsdaten!C272</f>
        <v>0</v>
      </c>
    </row>
    <row r="108" spans="2:15" x14ac:dyDescent="0.25">
      <c r="I108" t="s">
        <v>437</v>
      </c>
    </row>
    <row r="109" spans="2:15" x14ac:dyDescent="0.25">
      <c r="E109" t="s">
        <v>356</v>
      </c>
      <c r="F109" t="s">
        <v>631</v>
      </c>
      <c r="G109" t="s">
        <v>352</v>
      </c>
      <c r="H109" t="s">
        <v>353</v>
      </c>
      <c r="I109" t="s">
        <v>368</v>
      </c>
      <c r="J109" t="s">
        <v>369</v>
      </c>
      <c r="K109" t="s">
        <v>413</v>
      </c>
      <c r="M109" t="s">
        <v>85</v>
      </c>
      <c r="N109" t="s">
        <v>812</v>
      </c>
      <c r="O109" t="s">
        <v>1047</v>
      </c>
    </row>
    <row r="110" spans="2:15" x14ac:dyDescent="0.25">
      <c r="B110" s="31" t="s">
        <v>42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>
        <f>O111+O112</f>
        <v>2701.5679999999998</v>
      </c>
    </row>
    <row r="111" spans="2:15" x14ac:dyDescent="0.25">
      <c r="C111" s="30" t="s">
        <v>434</v>
      </c>
      <c r="D111" t="s">
        <v>834</v>
      </c>
      <c r="E111">
        <f>Äquivalente!B21</f>
        <v>1.73</v>
      </c>
      <c r="F111">
        <v>2</v>
      </c>
      <c r="G111" s="20">
        <f>F111/H111</f>
        <v>0.13333333333333333</v>
      </c>
      <c r="H111">
        <v>15</v>
      </c>
      <c r="I111" t="s">
        <v>443</v>
      </c>
      <c r="M111">
        <f>E23*G111*E111</f>
        <v>2701.5679999999998</v>
      </c>
      <c r="N111">
        <f>IF(Betriebsdaten!C56&lt;=Kalkulation!H111,M111,0)</f>
        <v>2701.5679999999998</v>
      </c>
      <c r="O111" s="27">
        <f>N111*Betriebsdaten!C54*Betriebsdaten!C51</f>
        <v>0</v>
      </c>
    </row>
    <row r="112" spans="2:15" x14ac:dyDescent="0.25">
      <c r="C112" s="30" t="s">
        <v>435</v>
      </c>
      <c r="D112" t="s">
        <v>834</v>
      </c>
      <c r="E112">
        <f>Äquivalente!B21</f>
        <v>1.73</v>
      </c>
      <c r="F112">
        <v>2</v>
      </c>
      <c r="G112" s="20">
        <f>F112/H112</f>
        <v>0.13333333333333333</v>
      </c>
      <c r="H112">
        <v>15</v>
      </c>
      <c r="I112" t="s">
        <v>444</v>
      </c>
      <c r="M112">
        <f>E23*G112*E112</f>
        <v>2701.5679999999998</v>
      </c>
      <c r="N112">
        <f>IF(Betriebsdaten!C56&lt;=Kalkulation!H112,M112,0)</f>
        <v>2701.5679999999998</v>
      </c>
      <c r="O112" s="27">
        <f>N112*Betriebsdaten!C55*Betriebsdaten!C51</f>
        <v>2701.5679999999998</v>
      </c>
    </row>
    <row r="113" spans="1:15" x14ac:dyDescent="0.25">
      <c r="B113" s="31" t="s">
        <v>269</v>
      </c>
      <c r="C113" s="31" t="s">
        <v>269</v>
      </c>
      <c r="D113" s="31" t="s">
        <v>453</v>
      </c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>
        <f>O114+O115+O116</f>
        <v>0</v>
      </c>
    </row>
    <row r="114" spans="1:15" x14ac:dyDescent="0.25">
      <c r="C114" s="30" t="s">
        <v>452</v>
      </c>
      <c r="D114" t="s">
        <v>916</v>
      </c>
      <c r="E114">
        <f>Äquivalente!B4</f>
        <v>1.5641297000000001</v>
      </c>
      <c r="F114">
        <f>'Andere Berechnungen'!C2</f>
        <v>2.7</v>
      </c>
      <c r="G114" s="20">
        <f>F114/H114</f>
        <v>0.13500000000000001</v>
      </c>
      <c r="H114">
        <v>20</v>
      </c>
      <c r="I114" t="s">
        <v>451</v>
      </c>
      <c r="K114" t="s">
        <v>862</v>
      </c>
      <c r="M114">
        <f>E24*F114*G114*E114*E7</f>
        <v>4061.846123862912</v>
      </c>
      <c r="N114">
        <f>IF(Betriebsdaten!C49&lt;=Kalkulation!H114,M114,0)</f>
        <v>0</v>
      </c>
      <c r="O114">
        <f>N114*Betriebsdaten!C48</f>
        <v>0</v>
      </c>
    </row>
    <row r="115" spans="1:15" x14ac:dyDescent="0.25">
      <c r="C115" s="30" t="s">
        <v>863</v>
      </c>
      <c r="D115" t="s">
        <v>454</v>
      </c>
      <c r="E115" s="15">
        <f>Äquivalente!B23</f>
        <v>0</v>
      </c>
      <c r="G115" s="20">
        <f>F115/H115</f>
        <v>0</v>
      </c>
      <c r="H115">
        <v>20</v>
      </c>
      <c r="I115" t="s">
        <v>451</v>
      </c>
      <c r="M115" s="26"/>
      <c r="N115" s="26"/>
      <c r="O115" s="26"/>
    </row>
    <row r="116" spans="1:15" x14ac:dyDescent="0.25">
      <c r="C116" s="30" t="s">
        <v>864</v>
      </c>
      <c r="D116" t="s">
        <v>865</v>
      </c>
      <c r="E116" s="15">
        <f>Äquivalente!B22</f>
        <v>0</v>
      </c>
      <c r="G116" s="20"/>
      <c r="M116" s="26"/>
      <c r="N116" s="26"/>
      <c r="O116" s="26"/>
    </row>
    <row r="117" spans="1:15" x14ac:dyDescent="0.25">
      <c r="B117" s="31" t="s">
        <v>836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>
        <f>O118+O119</f>
        <v>0</v>
      </c>
    </row>
    <row r="118" spans="1:15" x14ac:dyDescent="0.25">
      <c r="C118" s="30" t="s">
        <v>837</v>
      </c>
      <c r="D118" t="s">
        <v>917</v>
      </c>
      <c r="E118">
        <f>Äquivalente!B4</f>
        <v>1.5641297000000001</v>
      </c>
      <c r="F118">
        <v>2</v>
      </c>
      <c r="G118" s="20">
        <f>F118/H118</f>
        <v>0.13333333333333333</v>
      </c>
      <c r="H118">
        <v>15</v>
      </c>
      <c r="I118" t="s">
        <v>839</v>
      </c>
      <c r="J118" t="s">
        <v>840</v>
      </c>
      <c r="M118">
        <f>E23*F118*G118*E118*E7</f>
        <v>2996.1884591445328</v>
      </c>
      <c r="N118">
        <f>IF(Betriebsdaten!C59&lt;=Kalkulation!H118,M118,0)</f>
        <v>0</v>
      </c>
      <c r="O118">
        <f>N118*Betriebsdaten!C58</f>
        <v>0</v>
      </c>
    </row>
    <row r="119" spans="1:15" x14ac:dyDescent="0.25">
      <c r="C119" s="30" t="s">
        <v>838</v>
      </c>
      <c r="D119" t="s">
        <v>918</v>
      </c>
      <c r="E119">
        <f>Äquivalente!B4</f>
        <v>1.5641297000000001</v>
      </c>
      <c r="F119">
        <v>7</v>
      </c>
      <c r="G119" s="20">
        <f>F119/H119</f>
        <v>0.46666666666666667</v>
      </c>
      <c r="H119">
        <v>15</v>
      </c>
      <c r="I119" t="s">
        <v>841</v>
      </c>
      <c r="J119" t="s">
        <v>840</v>
      </c>
      <c r="M119">
        <f>Betriebsdaten!C42*0.8*2*Kalkulation!F119*Kalkulation!G119*Kalkulation!E119*E7</f>
        <v>501.41132000711104</v>
      </c>
      <c r="N119">
        <f>IF(Betriebsdaten!C62&lt;=Kalkulation!H119,M119,0)</f>
        <v>0</v>
      </c>
      <c r="O119">
        <f>N119*Betriebsdaten!C61</f>
        <v>0</v>
      </c>
    </row>
    <row r="122" spans="1:15" ht="15.75" x14ac:dyDescent="0.25">
      <c r="A122" s="64" t="s">
        <v>88</v>
      </c>
      <c r="B122" s="62"/>
      <c r="C122" s="62"/>
      <c r="D122" s="64">
        <f>K125+M138</f>
        <v>1043331972.1615211</v>
      </c>
      <c r="E122" s="62" t="s">
        <v>1028</v>
      </c>
    </row>
    <row r="124" spans="1:15" x14ac:dyDescent="0.25">
      <c r="A124" s="24"/>
      <c r="E124" t="s">
        <v>632</v>
      </c>
      <c r="F124" t="s">
        <v>870</v>
      </c>
      <c r="G124" t="s">
        <v>871</v>
      </c>
      <c r="H124" t="s">
        <v>102</v>
      </c>
      <c r="I124" t="s">
        <v>880</v>
      </c>
      <c r="J124" t="s">
        <v>872</v>
      </c>
      <c r="K124" t="s">
        <v>873</v>
      </c>
      <c r="L124" t="s">
        <v>914</v>
      </c>
    </row>
    <row r="125" spans="1:15" x14ac:dyDescent="0.25">
      <c r="A125" s="27"/>
      <c r="B125" s="31" t="s">
        <v>514</v>
      </c>
      <c r="C125" s="31" t="s">
        <v>515</v>
      </c>
      <c r="D125" s="31" t="s">
        <v>516</v>
      </c>
      <c r="E125" s="31" t="s">
        <v>330</v>
      </c>
      <c r="F125" s="31"/>
      <c r="G125" s="31"/>
      <c r="H125" s="31">
        <f>H126+H127+H128+H129+H130+H131+H132+H133+H134+H135</f>
        <v>5850207633.1961803</v>
      </c>
      <c r="I125" s="31"/>
      <c r="J125" s="31"/>
      <c r="K125" s="31">
        <f>K126+K128+K129+K130+K131+K127+K132+K134+K133+K135</f>
        <v>1043328103.2103955</v>
      </c>
    </row>
    <row r="126" spans="1:15" x14ac:dyDescent="0.25">
      <c r="A126" s="27"/>
      <c r="B126" s="27"/>
      <c r="C126" s="34" t="s">
        <v>89</v>
      </c>
      <c r="D126" s="27" t="s">
        <v>519</v>
      </c>
      <c r="E126" s="27">
        <f>Äquivalente!B35</f>
        <v>0.252</v>
      </c>
      <c r="F126" s="27"/>
      <c r="H126" s="27">
        <f>K126/E126</f>
        <v>9.229676961306355</v>
      </c>
      <c r="I126" s="53">
        <f>H126/H125</f>
        <v>1.5776665615992588E-9</v>
      </c>
      <c r="J126" s="53">
        <f>K126/K125</f>
        <v>2.2292877830974799E-9</v>
      </c>
      <c r="K126" s="27">
        <f>IF(Betriebsdaten!C112&gt;0,Betriebsdaten!C112*Kalkulation!E126,Betriebsdaten!C111*10.4/1.1268*Kalkulation!E126)</f>
        <v>2.3258785942492013</v>
      </c>
    </row>
    <row r="127" spans="1:15" x14ac:dyDescent="0.25">
      <c r="A127" s="27"/>
      <c r="B127" s="27"/>
      <c r="C127" s="34" t="s">
        <v>93</v>
      </c>
      <c r="D127" s="27" t="s">
        <v>522</v>
      </c>
      <c r="E127" s="27">
        <f>Äquivalente!B42</f>
        <v>6.7849999999999994E-2</v>
      </c>
      <c r="F127" s="27"/>
      <c r="H127" s="27">
        <f t="shared" ref="H127:H135" si="2">K127/E127</f>
        <v>20</v>
      </c>
      <c r="I127" s="53">
        <f>H127/H125</f>
        <v>3.4186820800193165E-9</v>
      </c>
      <c r="J127" s="53">
        <f>K127/K125</f>
        <v>1.3006454976381959E-9</v>
      </c>
      <c r="K127" s="27">
        <f>IF(Betriebsdaten!C115&gt;0,Betriebsdaten!C115*Kalkulation!E127,Betriebsdaten!C114*5/1.1268*Kalkulation!E127)</f>
        <v>1.3569999999999998</v>
      </c>
    </row>
    <row r="128" spans="1:15" x14ac:dyDescent="0.25">
      <c r="A128" s="27"/>
      <c r="B128" s="27"/>
      <c r="C128" s="34" t="s">
        <v>90</v>
      </c>
      <c r="D128" s="27" t="s">
        <v>520</v>
      </c>
      <c r="E128" s="27">
        <f>Äquivalente!B36</f>
        <v>0.371</v>
      </c>
      <c r="F128" s="27"/>
      <c r="H128" s="27">
        <f t="shared" si="2"/>
        <v>9496.0000142440003</v>
      </c>
      <c r="I128" s="53">
        <f>H128/H125</f>
        <v>1.6231902540279569E-6</v>
      </c>
      <c r="J128" s="53">
        <f>K128/K125</f>
        <v>3.3767095839208692E-6</v>
      </c>
      <c r="K128" s="27">
        <f>IF(Betriebsdaten!C119&gt;0,Betriebsdaten!C119*Kalkulation!E128,Betriebsdaten!C118*0.85*11.87*Kalkulation!E128)</f>
        <v>3523.016005284524</v>
      </c>
    </row>
    <row r="129" spans="1:13" x14ac:dyDescent="0.25">
      <c r="A129" s="27"/>
      <c r="B129" s="27"/>
      <c r="C129" s="34" t="s">
        <v>91</v>
      </c>
      <c r="D129" s="27" t="s">
        <v>524</v>
      </c>
      <c r="E129" s="27">
        <f>Äquivalente!B40</f>
        <v>0.28499999999999998</v>
      </c>
      <c r="F129" s="27"/>
      <c r="H129" s="27">
        <f t="shared" si="2"/>
        <v>2418</v>
      </c>
      <c r="I129" s="53">
        <f>H129/H125</f>
        <v>4.1331866347433535E-7</v>
      </c>
      <c r="J129" s="53">
        <f>K129/K125</f>
        <v>6.6051129829580696E-7</v>
      </c>
      <c r="K129" s="27">
        <f>IF(Betriebsdaten!C121&gt;0,Betriebsdaten!C121*Kalkulation!E129,Betriebsdaten!C120*8.06*Kalkulation!E129)</f>
        <v>689.13</v>
      </c>
    </row>
    <row r="130" spans="1:13" x14ac:dyDescent="0.25">
      <c r="A130" s="27"/>
      <c r="B130" s="27"/>
      <c r="C130" s="34" t="s">
        <v>94</v>
      </c>
      <c r="D130" s="27" t="s">
        <v>525</v>
      </c>
      <c r="E130" s="35">
        <f>Äquivalente!B43</f>
        <v>0.36399999999999999</v>
      </c>
      <c r="F130" s="27"/>
      <c r="H130" s="27">
        <f t="shared" si="2"/>
        <v>166.8</v>
      </c>
      <c r="I130" s="53">
        <f>H130/H125</f>
        <v>2.85118085473611E-8</v>
      </c>
      <c r="J130" s="53">
        <f>K130/K125</f>
        <v>5.819377414753324E-8</v>
      </c>
      <c r="K130" s="27">
        <f>IF(Betriebsdaten!C123&gt;0,Betriebsdaten!C123*Kalkulation!E130,Betriebsdaten!C122*4.17*Kalkulation!E130)</f>
        <v>60.715200000000003</v>
      </c>
    </row>
    <row r="131" spans="1:13" x14ac:dyDescent="0.25">
      <c r="A131" s="27"/>
      <c r="B131" s="27"/>
      <c r="C131" s="34" t="s">
        <v>92</v>
      </c>
      <c r="D131" s="27" t="s">
        <v>521</v>
      </c>
      <c r="E131" s="27">
        <f>Äquivalente!B37</f>
        <v>2.5000000000000001E-2</v>
      </c>
      <c r="F131" s="27"/>
      <c r="H131" s="27">
        <f t="shared" si="2"/>
        <v>280</v>
      </c>
      <c r="I131" s="53">
        <f>H131/H125</f>
        <v>4.7861549120270427E-8</v>
      </c>
      <c r="J131" s="53">
        <f>K131/K125</f>
        <v>6.7092988087453E-9</v>
      </c>
      <c r="K131" s="27">
        <f>IF(Betriebsdaten!C125&gt;0,Betriebsdaten!C125*Kalkulation!E131,Betriebsdaten!C124*3.5*Kalkulation!E131)</f>
        <v>7</v>
      </c>
    </row>
    <row r="132" spans="1:13" x14ac:dyDescent="0.25">
      <c r="A132" s="27"/>
      <c r="B132" s="27"/>
      <c r="C132" s="34" t="s">
        <v>868</v>
      </c>
      <c r="D132" s="27" t="s">
        <v>523</v>
      </c>
      <c r="E132" s="27">
        <f>Äquivalente!B39</f>
        <v>3.4799999999999998E-2</v>
      </c>
      <c r="F132" s="27"/>
      <c r="H132" s="27">
        <f t="shared" si="2"/>
        <v>0</v>
      </c>
      <c r="I132" s="53">
        <f>H132/H125</f>
        <v>0</v>
      </c>
      <c r="J132" s="53">
        <f>K132/K125</f>
        <v>0</v>
      </c>
      <c r="K132" s="27">
        <f>Betriebsdaten!C126*Kalkulation!E132</f>
        <v>0</v>
      </c>
    </row>
    <row r="133" spans="1:13" x14ac:dyDescent="0.25">
      <c r="A133" s="27"/>
      <c r="B133" s="27"/>
      <c r="C133" s="34" t="s">
        <v>532</v>
      </c>
      <c r="D133" s="27" t="s">
        <v>523</v>
      </c>
      <c r="E133" s="27">
        <f>Äquivalente!B41</f>
        <v>6.3299999999999997E-3</v>
      </c>
      <c r="F133" s="27"/>
      <c r="H133" s="27">
        <f t="shared" si="2"/>
        <v>0</v>
      </c>
      <c r="I133" s="53">
        <f>H133/H125</f>
        <v>0</v>
      </c>
      <c r="J133" s="53">
        <f>K133/K125</f>
        <v>0</v>
      </c>
      <c r="K133" s="27">
        <f>Betriebsdaten!C127*Kalkulation!E133</f>
        <v>0</v>
      </c>
    </row>
    <row r="134" spans="1:13" x14ac:dyDescent="0.25">
      <c r="A134" s="27"/>
      <c r="B134" s="27"/>
      <c r="C134" s="34" t="s">
        <v>874</v>
      </c>
      <c r="D134" s="27" t="s">
        <v>519</v>
      </c>
      <c r="E134" s="27">
        <v>0.252</v>
      </c>
      <c r="F134" s="27"/>
      <c r="H134" s="27">
        <f t="shared" si="2"/>
        <v>3510117145.8998933</v>
      </c>
      <c r="I134" s="53">
        <f>H134/H125</f>
        <v>0.59999872927282571</v>
      </c>
      <c r="J134" s="53">
        <f>K134/K125</f>
        <v>0.84781529227953389</v>
      </c>
      <c r="K134" s="27">
        <f>IF(Betriebsdaten!C131&gt;0,Betriebsdaten!C131*10.4/1.1268*Kalkulation!E134,Betriebsdaten!C132*Betriebsdaten!C129*Kalkulation!E134)</f>
        <v>884549520.7667731</v>
      </c>
    </row>
    <row r="135" spans="1:13" x14ac:dyDescent="0.25">
      <c r="A135" s="27"/>
      <c r="B135" s="27"/>
      <c r="C135" s="34" t="s">
        <v>869</v>
      </c>
      <c r="D135" s="27" t="s">
        <v>519</v>
      </c>
      <c r="E135" s="27">
        <f>Äquivalente!B42</f>
        <v>6.7849999999999994E-2</v>
      </c>
      <c r="F135" s="27"/>
      <c r="H135" s="27">
        <f t="shared" si="2"/>
        <v>2340078097.2665958</v>
      </c>
      <c r="I135" s="53">
        <f>H135/H125</f>
        <v>0.39999915284855053</v>
      </c>
      <c r="J135" s="53">
        <f>K135/K125</f>
        <v>0.15218060206657771</v>
      </c>
      <c r="K135" s="27">
        <f>IF(Betriebsdaten!C133&gt;0,Betriebsdaten!C133*5/1.1268*Kalkulation!E135,Betriebsdaten!C134*Betriebsdaten!C129*Kalkulation!E135)</f>
        <v>158774298.89953852</v>
      </c>
    </row>
    <row r="136" spans="1:13" x14ac:dyDescent="0.25">
      <c r="A136" s="27"/>
      <c r="B136" s="27"/>
      <c r="C136" s="35"/>
      <c r="D136" s="27"/>
      <c r="E136" s="27"/>
      <c r="F136" s="27"/>
      <c r="H136" s="27"/>
      <c r="I136" s="53"/>
      <c r="J136" s="53"/>
      <c r="K136" s="27"/>
    </row>
    <row r="137" spans="1:13" x14ac:dyDescent="0.25">
      <c r="A137" s="27"/>
      <c r="B137" s="27"/>
      <c r="C137" s="27"/>
      <c r="D137" s="27"/>
      <c r="E137" t="s">
        <v>632</v>
      </c>
      <c r="F137" s="27" t="s">
        <v>882</v>
      </c>
      <c r="G137" t="s">
        <v>1072</v>
      </c>
      <c r="H137" t="s">
        <v>1073</v>
      </c>
      <c r="I137" s="27" t="s">
        <v>880</v>
      </c>
      <c r="J137" s="27" t="s">
        <v>872</v>
      </c>
      <c r="K137" t="s">
        <v>881</v>
      </c>
      <c r="L137" s="27" t="s">
        <v>886</v>
      </c>
      <c r="M137" s="27" t="s">
        <v>915</v>
      </c>
    </row>
    <row r="138" spans="1:13" x14ac:dyDescent="0.25">
      <c r="A138" s="27"/>
      <c r="B138" s="31" t="s">
        <v>100</v>
      </c>
      <c r="C138" s="31" t="s">
        <v>536</v>
      </c>
      <c r="D138" s="31" t="s">
        <v>539</v>
      </c>
      <c r="E138" s="31"/>
      <c r="F138" s="31">
        <f t="shared" ref="F138:M138" si="3">F139+F140+F141+F142+F143+F144+F145+F146+F147+F148</f>
        <v>34.959999999999994</v>
      </c>
      <c r="G138" s="31">
        <f t="shared" si="3"/>
        <v>20000.000000000004</v>
      </c>
      <c r="H138" s="31">
        <f t="shared" si="3"/>
        <v>20034.96</v>
      </c>
      <c r="I138" s="54">
        <f t="shared" si="3"/>
        <v>1</v>
      </c>
      <c r="J138" s="54">
        <f t="shared" si="3"/>
        <v>1</v>
      </c>
      <c r="K138" s="31">
        <f t="shared" si="3"/>
        <v>6.7511255999999991</v>
      </c>
      <c r="L138" s="31">
        <f t="shared" si="3"/>
        <v>3868.9511256000001</v>
      </c>
      <c r="M138" s="31">
        <f t="shared" si="3"/>
        <v>3868.9511256000001</v>
      </c>
    </row>
    <row r="139" spans="1:13" x14ac:dyDescent="0.25">
      <c r="A139" s="27"/>
      <c r="B139" s="27"/>
      <c r="C139" s="30" t="s">
        <v>526</v>
      </c>
      <c r="D139" s="27" t="s">
        <v>919</v>
      </c>
      <c r="E139" s="27">
        <f>Äquivalente!B51</f>
        <v>0.48499999999999999</v>
      </c>
      <c r="F139" s="27">
        <f>IF(Betriebsdaten!C138&gt;0,Betriebsdaten!C138,Betriebsdaten!C135*Betriebsdaten!C137)*E7</f>
        <v>12.266666666666666</v>
      </c>
      <c r="G139">
        <f>E150*I139</f>
        <v>7017.5438596491231</v>
      </c>
      <c r="H139">
        <f>F139+G139</f>
        <v>7029.8105263157895</v>
      </c>
      <c r="I139" s="52">
        <f>F139/F138</f>
        <v>0.35087719298245618</v>
      </c>
      <c r="J139" s="52">
        <f>M139/M138</f>
        <v>0.88123576508979973</v>
      </c>
      <c r="K139" s="27">
        <f t="shared" ref="K139:K148" si="4">F139*E139</f>
        <v>5.9493333333333327</v>
      </c>
      <c r="L139" s="27">
        <f>K139+I139*E150*E139</f>
        <v>3409.4581052631579</v>
      </c>
      <c r="M139">
        <f>L139</f>
        <v>3409.4581052631579</v>
      </c>
    </row>
    <row r="140" spans="1:13" x14ac:dyDescent="0.25">
      <c r="A140" s="27"/>
      <c r="B140" s="27"/>
      <c r="C140" s="30" t="s">
        <v>527</v>
      </c>
      <c r="D140" s="27" t="s">
        <v>919</v>
      </c>
      <c r="E140" s="27">
        <f>Äquivalente!B52</f>
        <v>2.4293333333333333E-2</v>
      </c>
      <c r="F140" s="27">
        <f>IF(Betriebsdaten!C140&gt;0,Betriebsdaten!C140,Betriebsdaten!C135*Betriebsdaten!C139)*E7</f>
        <v>14.719999999999999</v>
      </c>
      <c r="G140">
        <f>E150*I140</f>
        <v>8421.0526315789484</v>
      </c>
      <c r="H140">
        <f t="shared" ref="H140:H148" si="5">F140+G140</f>
        <v>8435.7726315789478</v>
      </c>
      <c r="I140" s="52">
        <f>F140/F138</f>
        <v>0.4210526315789474</v>
      </c>
      <c r="J140" s="52">
        <f>M140/M138</f>
        <v>5.2968628915253294E-2</v>
      </c>
      <c r="K140" s="27">
        <f t="shared" si="4"/>
        <v>0.35759786666666665</v>
      </c>
      <c r="L140" s="27">
        <f>K140+I140*E150*E140</f>
        <v>204.93303646315795</v>
      </c>
      <c r="M140">
        <f t="shared" ref="M140:M148" si="6">L140</f>
        <v>204.93303646315795</v>
      </c>
    </row>
    <row r="141" spans="1:13" x14ac:dyDescent="0.25">
      <c r="A141" s="27"/>
      <c r="B141" s="27"/>
      <c r="C141" s="30" t="s">
        <v>528</v>
      </c>
      <c r="D141" s="27" t="s">
        <v>919</v>
      </c>
      <c r="E141" s="27">
        <f>Äquivalente!B53</f>
        <v>5.5710000000000003E-2</v>
      </c>
      <c r="F141" s="27">
        <f>IF(Betriebsdaten!C142&gt;0,Betriebsdaten!C142,Betriebsdaten!C135*Betriebsdaten!C141)*E7</f>
        <v>7.9733333333333327</v>
      </c>
      <c r="G141">
        <f>E150*I141</f>
        <v>4561.4035087719303</v>
      </c>
      <c r="H141">
        <f t="shared" si="5"/>
        <v>4569.3768421052637</v>
      </c>
      <c r="I141" s="52">
        <f>F141/F138</f>
        <v>0.22807017543859651</v>
      </c>
      <c r="J141" s="52">
        <f>M141/M138</f>
        <v>6.5795605994946979E-2</v>
      </c>
      <c r="K141" s="27">
        <f t="shared" si="4"/>
        <v>0.44419439999999999</v>
      </c>
      <c r="L141" s="27">
        <f>K141+I141*E150*E141</f>
        <v>254.55998387368425</v>
      </c>
      <c r="M141">
        <f t="shared" si="6"/>
        <v>254.55998387368425</v>
      </c>
    </row>
    <row r="142" spans="1:13" x14ac:dyDescent="0.25">
      <c r="A142" s="27"/>
      <c r="B142" s="27"/>
      <c r="C142" s="30" t="s">
        <v>529</v>
      </c>
      <c r="D142" s="27" t="s">
        <v>919</v>
      </c>
      <c r="E142" s="27">
        <f>Äquivalente!B54</f>
        <v>8.8000000000000005E-3</v>
      </c>
      <c r="F142" s="27">
        <f>IF(Betriebsdaten!C144&gt;0,Betriebsdaten!C144,Betriebsdaten!C135*Betriebsdaten!C143)*E7</f>
        <v>0</v>
      </c>
      <c r="G142">
        <f>E150*I142</f>
        <v>0</v>
      </c>
      <c r="H142">
        <f t="shared" si="5"/>
        <v>0</v>
      </c>
      <c r="I142" s="52">
        <f>F142/F138</f>
        <v>0</v>
      </c>
      <c r="J142" s="52">
        <f>M142/M138</f>
        <v>0</v>
      </c>
      <c r="K142" s="27">
        <f t="shared" si="4"/>
        <v>0</v>
      </c>
      <c r="L142" s="27">
        <f>K142+I142*E150*E142</f>
        <v>0</v>
      </c>
      <c r="M142">
        <f t="shared" si="6"/>
        <v>0</v>
      </c>
    </row>
    <row r="143" spans="1:13" x14ac:dyDescent="0.25">
      <c r="C143" s="30" t="s">
        <v>530</v>
      </c>
      <c r="D143" s="27" t="s">
        <v>919</v>
      </c>
      <c r="E143" s="27">
        <f>Äquivalente!B55</f>
        <v>4.3699999999999998E-3</v>
      </c>
      <c r="F143" s="27">
        <f>IF(Betriebsdaten!C146&gt;0,Betriebsdaten!C146,Betriebsdaten!C135*Betriebsdaten!C145)*E7</f>
        <v>0</v>
      </c>
      <c r="G143">
        <f>E150*I143</f>
        <v>0</v>
      </c>
      <c r="H143">
        <f t="shared" si="5"/>
        <v>0</v>
      </c>
      <c r="I143" s="52">
        <f>F143/F138</f>
        <v>0</v>
      </c>
      <c r="J143" s="52">
        <f>M143/M138</f>
        <v>0</v>
      </c>
      <c r="K143" s="27">
        <f t="shared" si="4"/>
        <v>0</v>
      </c>
      <c r="L143" s="27">
        <f>K143+I143*E150*E143</f>
        <v>0</v>
      </c>
      <c r="M143">
        <f t="shared" si="6"/>
        <v>0</v>
      </c>
    </row>
    <row r="144" spans="1:13" x14ac:dyDescent="0.25">
      <c r="C144" s="30" t="s">
        <v>531</v>
      </c>
      <c r="D144" s="27" t="s">
        <v>919</v>
      </c>
      <c r="E144" s="27">
        <f>Äquivalente!B56</f>
        <v>2.7000000000000001E-3</v>
      </c>
      <c r="F144" s="27">
        <f>IF(Betriebsdaten!C148&gt;0,Betriebsdaten!C148,Betriebsdaten!C135*Betriebsdaten!C147)*E7</f>
        <v>0</v>
      </c>
      <c r="G144">
        <f>E150*I144</f>
        <v>0</v>
      </c>
      <c r="H144">
        <f t="shared" si="5"/>
        <v>0</v>
      </c>
      <c r="I144" s="52">
        <f>F144/F138</f>
        <v>0</v>
      </c>
      <c r="J144" s="52">
        <f>M144/M138</f>
        <v>0</v>
      </c>
      <c r="K144" s="27">
        <f t="shared" si="4"/>
        <v>0</v>
      </c>
      <c r="L144" s="27">
        <f>K144+I144*E150*E144</f>
        <v>0</v>
      </c>
      <c r="M144">
        <f t="shared" si="6"/>
        <v>0</v>
      </c>
    </row>
    <row r="145" spans="1:13" x14ac:dyDescent="0.25">
      <c r="C145" s="30" t="s">
        <v>532</v>
      </c>
      <c r="D145" s="27" t="s">
        <v>919</v>
      </c>
      <c r="E145" s="27">
        <f>Äquivalente!B57</f>
        <v>6.3299999999999997E-3</v>
      </c>
      <c r="F145" s="27">
        <f>IF(Betriebsdaten!C150&gt;0,Betriebsdaten!C150,Betriebsdaten!C135*Betriebsdaten!C149)*E7</f>
        <v>0</v>
      </c>
      <c r="G145">
        <f>E150*I145</f>
        <v>0</v>
      </c>
      <c r="H145">
        <f t="shared" si="5"/>
        <v>0</v>
      </c>
      <c r="I145" s="52">
        <f>F145/F138</f>
        <v>0</v>
      </c>
      <c r="J145" s="52">
        <f>M145/M138</f>
        <v>0</v>
      </c>
      <c r="K145" s="27">
        <f t="shared" si="4"/>
        <v>0</v>
      </c>
      <c r="L145" s="27">
        <f>K145+I145*E150*E145</f>
        <v>0</v>
      </c>
      <c r="M145">
        <f>IF(K133&gt;0,0,L145)</f>
        <v>0</v>
      </c>
    </row>
    <row r="146" spans="1:13" x14ac:dyDescent="0.25">
      <c r="C146" s="30" t="s">
        <v>883</v>
      </c>
      <c r="D146" s="27" t="s">
        <v>919</v>
      </c>
      <c r="E146" s="27">
        <f>Äquivalente!B58</f>
        <v>6.7849999999999994E-2</v>
      </c>
      <c r="F146" s="27">
        <f>IF(Betriebsdaten!C152&gt;0,Betriebsdaten!C152,Betriebsdaten!C135*Betriebsdaten!C151)*E7</f>
        <v>0</v>
      </c>
      <c r="G146">
        <f>E150*I146</f>
        <v>0</v>
      </c>
      <c r="H146">
        <f t="shared" si="5"/>
        <v>0</v>
      </c>
      <c r="I146" s="52">
        <f>F146/F138</f>
        <v>0</v>
      </c>
      <c r="J146" s="52">
        <f>M146/M138</f>
        <v>0</v>
      </c>
      <c r="K146" s="27">
        <f t="shared" si="4"/>
        <v>0</v>
      </c>
      <c r="L146" s="27">
        <f>K146+I146*E150*E146</f>
        <v>0</v>
      </c>
      <c r="M146">
        <f>IF(K135&gt;0,0,L146)</f>
        <v>0</v>
      </c>
    </row>
    <row r="147" spans="1:13" x14ac:dyDescent="0.25">
      <c r="C147" s="30" t="s">
        <v>884</v>
      </c>
      <c r="D147" s="27" t="s">
        <v>919</v>
      </c>
      <c r="E147" s="27">
        <f>Äquivalente!B59</f>
        <v>0.252</v>
      </c>
      <c r="F147" s="27">
        <f>IF(Betriebsdaten!C154&gt;0,Betriebsdaten!C154,Betriebsdaten!C135*Betriebsdaten!C151)*E7</f>
        <v>0</v>
      </c>
      <c r="G147">
        <f>E150*I147</f>
        <v>0</v>
      </c>
      <c r="H147">
        <f t="shared" si="5"/>
        <v>0</v>
      </c>
      <c r="I147" s="52">
        <f>F147/F138</f>
        <v>0</v>
      </c>
      <c r="J147" s="52">
        <f>M147/M138</f>
        <v>0</v>
      </c>
      <c r="K147" s="27">
        <f t="shared" si="4"/>
        <v>0</v>
      </c>
      <c r="L147" s="27">
        <f>K147+I147*E150*E147</f>
        <v>0</v>
      </c>
      <c r="M147">
        <f>IF(K134&gt;0,0,L147)</f>
        <v>0</v>
      </c>
    </row>
    <row r="148" spans="1:13" x14ac:dyDescent="0.25">
      <c r="C148" s="30" t="s">
        <v>624</v>
      </c>
      <c r="D148" s="27" t="s">
        <v>919</v>
      </c>
      <c r="E148" s="27">
        <f>Äquivalente!B33</f>
        <v>4.8675561059551155E-2</v>
      </c>
      <c r="F148" s="27">
        <f>IF(Betriebsdaten!C156&gt;0,Betriebsdaten!C156,Betriebsdaten!C135*Betriebsdaten!C155)*E7</f>
        <v>0</v>
      </c>
      <c r="G148">
        <f>E150*I148</f>
        <v>0</v>
      </c>
      <c r="H148">
        <f t="shared" si="5"/>
        <v>0</v>
      </c>
      <c r="I148" s="52">
        <f>F148/F138</f>
        <v>0</v>
      </c>
      <c r="J148" s="52">
        <f>M148/M138</f>
        <v>0</v>
      </c>
      <c r="K148" s="27">
        <f t="shared" si="4"/>
        <v>0</v>
      </c>
      <c r="L148" s="27">
        <f>K148+I148*E150*E148</f>
        <v>0</v>
      </c>
      <c r="M148">
        <f t="shared" si="6"/>
        <v>0</v>
      </c>
    </row>
    <row r="149" spans="1:13" x14ac:dyDescent="0.25">
      <c r="C149" s="30" t="s">
        <v>538</v>
      </c>
      <c r="D149" s="27" t="s">
        <v>537</v>
      </c>
      <c r="E149" s="9">
        <f>K138/F138</f>
        <v>0.19311</v>
      </c>
    </row>
    <row r="150" spans="1:13" x14ac:dyDescent="0.25">
      <c r="C150" s="30" t="s">
        <v>535</v>
      </c>
      <c r="D150" s="27" t="s">
        <v>920</v>
      </c>
      <c r="E150">
        <f>IF(Betriebsdaten!C158&gt;0,Betriebsdaten!C158,Betriebsdaten!F158)</f>
        <v>20000</v>
      </c>
    </row>
    <row r="151" spans="1:13" x14ac:dyDescent="0.25">
      <c r="C151" s="30" t="s">
        <v>887</v>
      </c>
      <c r="D151" s="27" t="s">
        <v>888</v>
      </c>
      <c r="E151" s="9">
        <f>F138+E150</f>
        <v>20034.96</v>
      </c>
    </row>
    <row r="154" spans="1:13" ht="15.75" x14ac:dyDescent="0.25">
      <c r="A154" s="64" t="s">
        <v>116</v>
      </c>
      <c r="B154" s="62"/>
      <c r="C154" s="62"/>
      <c r="D154" s="64">
        <f>J157+I162+I208+I213</f>
        <v>42935.885999999999</v>
      </c>
      <c r="E154" s="62" t="s">
        <v>1028</v>
      </c>
    </row>
    <row r="156" spans="1:13" x14ac:dyDescent="0.25">
      <c r="A156" s="24"/>
      <c r="E156" t="s">
        <v>896</v>
      </c>
      <c r="F156" t="s">
        <v>893</v>
      </c>
      <c r="G156" t="s">
        <v>890</v>
      </c>
      <c r="H156" t="s">
        <v>895</v>
      </c>
      <c r="I156" t="s">
        <v>892</v>
      </c>
      <c r="J156" t="s">
        <v>894</v>
      </c>
    </row>
    <row r="157" spans="1:13" x14ac:dyDescent="0.25">
      <c r="B157" s="31" t="s">
        <v>115</v>
      </c>
      <c r="C157" s="31" t="s">
        <v>541</v>
      </c>
      <c r="D157" s="31" t="s">
        <v>545</v>
      </c>
      <c r="E157" s="31"/>
      <c r="F157" s="31">
        <f>F158+F159+F160</f>
        <v>215.6</v>
      </c>
      <c r="G157" s="54">
        <f>G158+G159+G160</f>
        <v>1</v>
      </c>
      <c r="H157" s="54">
        <f>H158+H159+H160</f>
        <v>1</v>
      </c>
      <c r="I157" s="31">
        <f>I158+I159+I160</f>
        <v>83.495999999999995</v>
      </c>
      <c r="J157" s="31">
        <f>J158+J159+J160</f>
        <v>83.495999999999995</v>
      </c>
    </row>
    <row r="158" spans="1:13" x14ac:dyDescent="0.25">
      <c r="C158" s="30" t="s">
        <v>542</v>
      </c>
      <c r="D158" t="s">
        <v>544</v>
      </c>
      <c r="E158">
        <f>Äquivalente!B62</f>
        <v>0.5</v>
      </c>
      <c r="F158">
        <f>IF(Betriebsdaten!E167&gt;0,Betriebsdaten!E167,Betriebsdaten!C168*(0.00196*1000))</f>
        <v>117.6</v>
      </c>
      <c r="G158" s="53">
        <f>F158/F157</f>
        <v>0.54545454545454541</v>
      </c>
      <c r="H158" s="53">
        <f>J158/J157</f>
        <v>0.70422535211267612</v>
      </c>
      <c r="I158">
        <f>F158*E158</f>
        <v>58.8</v>
      </c>
      <c r="J158">
        <f>I158</f>
        <v>58.8</v>
      </c>
    </row>
    <row r="159" spans="1:13" x14ac:dyDescent="0.25">
      <c r="C159" s="30" t="s">
        <v>543</v>
      </c>
      <c r="D159" t="s">
        <v>544</v>
      </c>
      <c r="E159">
        <f>Äquivalente!B63</f>
        <v>0</v>
      </c>
      <c r="F159">
        <f>IF(Betriebsdaten!E168&gt;0,Betriebsdaten!E168,Betriebsdaten!C171*(0.00196*1000))</f>
        <v>0</v>
      </c>
      <c r="G159" s="53">
        <f>F159/F157</f>
        <v>0</v>
      </c>
      <c r="H159" s="53">
        <f>J159/J157</f>
        <v>0</v>
      </c>
      <c r="I159">
        <f t="shared" ref="I159:I160" si="7">F159*E159</f>
        <v>0</v>
      </c>
      <c r="J159">
        <f>IF(Betriebsdaten!C128=1,0,I159)</f>
        <v>0</v>
      </c>
    </row>
    <row r="160" spans="1:13" x14ac:dyDescent="0.25">
      <c r="C160" s="30" t="s">
        <v>616</v>
      </c>
      <c r="D160" t="s">
        <v>544</v>
      </c>
      <c r="E160">
        <f>Äquivalente!B64</f>
        <v>0.252</v>
      </c>
      <c r="F160">
        <f>IF(Betriebsdaten!E173&gt;0,Betriebsdaten!E173,Betriebsdaten!C174*(0.00196*1000))</f>
        <v>98</v>
      </c>
      <c r="G160" s="53">
        <f>F160/F157</f>
        <v>0.45454545454545453</v>
      </c>
      <c r="H160" s="53">
        <f>J160/J157</f>
        <v>0.29577464788732399</v>
      </c>
      <c r="I160">
        <f t="shared" si="7"/>
        <v>24.696000000000002</v>
      </c>
      <c r="J160">
        <f>I160</f>
        <v>24.696000000000002</v>
      </c>
    </row>
    <row r="161" spans="2:10" x14ac:dyDescent="0.25">
      <c r="I161" t="s">
        <v>892</v>
      </c>
    </row>
    <row r="162" spans="2:10" x14ac:dyDescent="0.25">
      <c r="B162" s="31" t="s">
        <v>548</v>
      </c>
      <c r="C162" s="31" t="s">
        <v>547</v>
      </c>
      <c r="D162" s="31" t="s">
        <v>549</v>
      </c>
      <c r="E162" s="31"/>
      <c r="F162" s="31"/>
      <c r="G162" s="31"/>
      <c r="H162" s="31"/>
      <c r="I162" s="31">
        <f>I164+I177</f>
        <v>27735.39</v>
      </c>
      <c r="J162" s="15"/>
    </row>
    <row r="163" spans="2:10" x14ac:dyDescent="0.25">
      <c r="E163" t="s">
        <v>356</v>
      </c>
      <c r="F163" t="s">
        <v>893</v>
      </c>
      <c r="G163" t="s">
        <v>897</v>
      </c>
      <c r="H163" t="s">
        <v>891</v>
      </c>
      <c r="I163" t="s">
        <v>892</v>
      </c>
    </row>
    <row r="164" spans="2:10" x14ac:dyDescent="0.25">
      <c r="B164" s="31" t="s">
        <v>546</v>
      </c>
      <c r="C164" s="31" t="s">
        <v>550</v>
      </c>
      <c r="D164" s="31" t="s">
        <v>552</v>
      </c>
      <c r="E164" s="31"/>
      <c r="F164" s="31">
        <f>F165+F166+F168+F167+F169+F170+F171+F172+F173+F174+F175</f>
        <v>2290</v>
      </c>
      <c r="G164" s="54">
        <f>G165+G166+G168+G167+G169+G170+G171+G172+G173+G174+G175</f>
        <v>1</v>
      </c>
      <c r="H164" s="54">
        <f>H165+H166+H168+H167+H169+H170+H171+H172+H173+H174+H175</f>
        <v>1</v>
      </c>
      <c r="I164" s="31">
        <f>I165+I166+I168+I167+I169+I170+I171+I172+I173+I174+I175</f>
        <v>24712</v>
      </c>
      <c r="J164" s="15"/>
    </row>
    <row r="165" spans="2:10" x14ac:dyDescent="0.25">
      <c r="C165" s="30" t="s">
        <v>126</v>
      </c>
      <c r="D165" t="s">
        <v>551</v>
      </c>
      <c r="E165">
        <f>Äquivalente!B68</f>
        <v>1</v>
      </c>
      <c r="F165">
        <f>Betriebsdaten!C176</f>
        <v>10</v>
      </c>
      <c r="G165" s="53">
        <f>F165/F164</f>
        <v>4.3668122270742356E-3</v>
      </c>
      <c r="H165" s="53">
        <f>I165/I164</f>
        <v>4.0466170281644546E-4</v>
      </c>
      <c r="I165">
        <f>F165*E165</f>
        <v>10</v>
      </c>
    </row>
    <row r="166" spans="2:10" x14ac:dyDescent="0.25">
      <c r="C166" s="30" t="s">
        <v>125</v>
      </c>
      <c r="D166" t="s">
        <v>551</v>
      </c>
      <c r="E166">
        <f>Äquivalente!B69</f>
        <v>2</v>
      </c>
      <c r="F166">
        <f>Betriebsdaten!C177</f>
        <v>8</v>
      </c>
      <c r="G166" s="53">
        <f>F166/F164</f>
        <v>3.4934497816593887E-3</v>
      </c>
      <c r="H166" s="53">
        <f>I166/I164</f>
        <v>6.4745872450631275E-4</v>
      </c>
      <c r="I166">
        <f t="shared" ref="I166:I175" si="8">F166*E166</f>
        <v>16</v>
      </c>
    </row>
    <row r="167" spans="2:10" x14ac:dyDescent="0.25">
      <c r="C167" s="30" t="s">
        <v>335</v>
      </c>
      <c r="D167" t="s">
        <v>551</v>
      </c>
      <c r="E167">
        <f>Äquivalente!B70</f>
        <v>3</v>
      </c>
      <c r="F167">
        <f>Betriebsdaten!C178</f>
        <v>3</v>
      </c>
      <c r="G167" s="53">
        <f>F167/F164</f>
        <v>1.3100436681222707E-3</v>
      </c>
      <c r="H167" s="53">
        <f>I167/I164</f>
        <v>3.6419553253480092E-4</v>
      </c>
      <c r="I167">
        <f t="shared" si="8"/>
        <v>9</v>
      </c>
    </row>
    <row r="168" spans="2:10" x14ac:dyDescent="0.25">
      <c r="C168" s="30" t="s">
        <v>158</v>
      </c>
      <c r="D168" t="s">
        <v>551</v>
      </c>
      <c r="E168">
        <f>Äquivalente!B71</f>
        <v>4</v>
      </c>
      <c r="F168">
        <f>Betriebsdaten!C179</f>
        <v>5</v>
      </c>
      <c r="G168" s="53">
        <f>F168/F164</f>
        <v>2.1834061135371178E-3</v>
      </c>
      <c r="H168" s="53">
        <f>I168/I164</f>
        <v>8.0932340563289091E-4</v>
      </c>
      <c r="I168">
        <f t="shared" si="8"/>
        <v>20</v>
      </c>
    </row>
    <row r="169" spans="2:10" x14ac:dyDescent="0.25">
      <c r="C169" s="30" t="s">
        <v>339</v>
      </c>
      <c r="D169" t="s">
        <v>551</v>
      </c>
      <c r="E169">
        <f>Äquivalente!B72</f>
        <v>5</v>
      </c>
      <c r="F169">
        <f>Betriebsdaten!C180</f>
        <v>4</v>
      </c>
      <c r="G169" s="53">
        <f>F169/F164</f>
        <v>1.7467248908296944E-3</v>
      </c>
      <c r="H169" s="53">
        <f>I169/I164</f>
        <v>8.0932340563289091E-4</v>
      </c>
      <c r="I169">
        <f t="shared" si="8"/>
        <v>20</v>
      </c>
    </row>
    <row r="170" spans="2:10" x14ac:dyDescent="0.25">
      <c r="C170" s="30" t="s">
        <v>336</v>
      </c>
      <c r="D170" t="s">
        <v>551</v>
      </c>
      <c r="E170">
        <f>Äquivalente!B73</f>
        <v>6</v>
      </c>
      <c r="F170">
        <f>Betriebsdaten!C181</f>
        <v>3</v>
      </c>
      <c r="G170" s="53">
        <f>F170/F164</f>
        <v>1.3100436681222707E-3</v>
      </c>
      <c r="H170" s="53">
        <f>I170/I164</f>
        <v>7.2839106506960183E-4</v>
      </c>
      <c r="I170">
        <f t="shared" si="8"/>
        <v>18</v>
      </c>
    </row>
    <row r="171" spans="2:10" x14ac:dyDescent="0.25">
      <c r="C171" s="30" t="s">
        <v>337</v>
      </c>
      <c r="D171" t="s">
        <v>551</v>
      </c>
      <c r="E171">
        <f>Äquivalente!B74</f>
        <v>7</v>
      </c>
      <c r="F171">
        <f>Betriebsdaten!C182</f>
        <v>2</v>
      </c>
      <c r="G171" s="53">
        <f>F171/F164</f>
        <v>8.7336244541484718E-4</v>
      </c>
      <c r="H171" s="53">
        <f>I171/I164</f>
        <v>5.6652638394302367E-4</v>
      </c>
      <c r="I171">
        <f t="shared" si="8"/>
        <v>14</v>
      </c>
    </row>
    <row r="172" spans="2:10" x14ac:dyDescent="0.25">
      <c r="C172" s="30" t="s">
        <v>338</v>
      </c>
      <c r="D172" t="s">
        <v>551</v>
      </c>
      <c r="E172">
        <f>Äquivalente!B75</f>
        <v>8</v>
      </c>
      <c r="F172">
        <f>Betriebsdaten!C183</f>
        <v>1</v>
      </c>
      <c r="G172" s="53">
        <f>F172/F164</f>
        <v>4.3668122270742359E-4</v>
      </c>
      <c r="H172" s="53">
        <f>I172/I164</f>
        <v>3.2372936225315638E-4</v>
      </c>
      <c r="I172">
        <f t="shared" si="8"/>
        <v>8</v>
      </c>
    </row>
    <row r="173" spans="2:10" x14ac:dyDescent="0.25">
      <c r="C173" s="30" t="s">
        <v>340</v>
      </c>
      <c r="D173" t="s">
        <v>551</v>
      </c>
      <c r="E173">
        <f>Äquivalente!B76</f>
        <v>9</v>
      </c>
      <c r="F173">
        <f>Betriebsdaten!C184</f>
        <v>88</v>
      </c>
      <c r="G173" s="53">
        <f>F173/F164</f>
        <v>3.8427947598253277E-2</v>
      </c>
      <c r="H173" s="53">
        <f>I173/I164</f>
        <v>3.2049206863062479E-2</v>
      </c>
      <c r="I173">
        <f t="shared" si="8"/>
        <v>792</v>
      </c>
    </row>
    <row r="174" spans="2:10" x14ac:dyDescent="0.25">
      <c r="C174" s="30" t="s">
        <v>341</v>
      </c>
      <c r="D174" t="s">
        <v>551</v>
      </c>
      <c r="E174">
        <f>Äquivalente!B77</f>
        <v>10</v>
      </c>
      <c r="F174">
        <f>Betriebsdaten!C185</f>
        <v>21</v>
      </c>
      <c r="G174" s="53">
        <f>F174/F164</f>
        <v>9.1703056768558944E-3</v>
      </c>
      <c r="H174" s="53">
        <f>I174/I164</f>
        <v>8.4978957591453543E-3</v>
      </c>
      <c r="I174">
        <f t="shared" si="8"/>
        <v>210</v>
      </c>
    </row>
    <row r="175" spans="2:10" x14ac:dyDescent="0.25">
      <c r="C175" s="30" t="s">
        <v>342</v>
      </c>
      <c r="D175" t="s">
        <v>551</v>
      </c>
      <c r="E175">
        <f>Äquivalente!B78</f>
        <v>11</v>
      </c>
      <c r="F175">
        <f>Betriebsdaten!C186</f>
        <v>2145</v>
      </c>
      <c r="G175" s="53">
        <f>F175/F164</f>
        <v>0.9366812227074236</v>
      </c>
      <c r="H175" s="53">
        <f>I175/I164</f>
        <v>0.95479928779540302</v>
      </c>
      <c r="I175">
        <f t="shared" si="8"/>
        <v>23595</v>
      </c>
    </row>
    <row r="177" spans="2:10" x14ac:dyDescent="0.25">
      <c r="B177" s="31" t="s">
        <v>553</v>
      </c>
      <c r="C177" s="31" t="s">
        <v>554</v>
      </c>
      <c r="D177" s="31" t="s">
        <v>552</v>
      </c>
      <c r="E177" s="31"/>
      <c r="F177" s="31">
        <f>F178+F179+F181+F180+F182+F183+F184+F185+F186+F187+F188+F190+F189+F191+F192+F193+F194+F195+F196+F197+F198+F199+F200+F201+F202+F203</f>
        <v>403</v>
      </c>
      <c r="G177" s="54">
        <f>G178+G179+G181+G180+G182+G183+G184+G185+G186+G187+G188+G190+G189+G191+G192+G193+G194+G195+G196+G197+G198+G199+G200+G201+G202+G203</f>
        <v>0.99999999999999989</v>
      </c>
      <c r="H177" s="54">
        <f>H178+H179+H181+H180+H182+H183+H184+H185+H186+H187+H188+H190+H189+H191+H192+H193+H194+H195+H196+H197+H198+H199+H200+H201+H202+H203</f>
        <v>1</v>
      </c>
      <c r="I177" s="31">
        <f>I178+I179+I181+I180+I182+I183+I184+I185+I186+I187+I188+I190+I189+I191+I192+I193+I194+I195+I196+I197+I198+I199+I200+I201+I202+I203</f>
        <v>3023.39</v>
      </c>
      <c r="J177" s="15"/>
    </row>
    <row r="178" spans="2:10" x14ac:dyDescent="0.25">
      <c r="C178" s="30" t="s">
        <v>127</v>
      </c>
      <c r="D178" t="s">
        <v>551</v>
      </c>
      <c r="E178">
        <f>Äquivalente!B82</f>
        <v>1.94</v>
      </c>
      <c r="F178">
        <f>Betriebsdaten!C188</f>
        <v>3</v>
      </c>
      <c r="G178" s="53">
        <f>F178/F177</f>
        <v>7.4441687344913151E-3</v>
      </c>
      <c r="H178" s="53">
        <f>I178/I177</f>
        <v>1.9249914830703286E-3</v>
      </c>
      <c r="I178">
        <f>F178*E178</f>
        <v>5.82</v>
      </c>
    </row>
    <row r="179" spans="2:10" x14ac:dyDescent="0.25">
      <c r="C179" s="30" t="s">
        <v>128</v>
      </c>
      <c r="D179" t="s">
        <v>551</v>
      </c>
      <c r="E179">
        <f>Äquivalente!B83</f>
        <v>0.67700000000000005</v>
      </c>
      <c r="F179">
        <f>Betriebsdaten!C189</f>
        <v>5</v>
      </c>
      <c r="G179" s="53">
        <f>F179/F177</f>
        <v>1.2406947890818859E-2</v>
      </c>
      <c r="H179" s="53">
        <f>I179/I177</f>
        <v>1.1196041529541343E-3</v>
      </c>
      <c r="I179">
        <f t="shared" ref="I179:I203" si="9">F179*E179</f>
        <v>3.3850000000000002</v>
      </c>
    </row>
    <row r="180" spans="2:10" x14ac:dyDescent="0.25">
      <c r="C180" s="30" t="s">
        <v>129</v>
      </c>
      <c r="D180" t="s">
        <v>551</v>
      </c>
      <c r="E180">
        <f>Äquivalente!B84</f>
        <v>4.43</v>
      </c>
      <c r="F180">
        <f>Betriebsdaten!C190</f>
        <v>8</v>
      </c>
      <c r="G180" s="53">
        <f>F180/F177</f>
        <v>1.9851116625310174E-2</v>
      </c>
      <c r="H180" s="53">
        <f>I180/I177</f>
        <v>1.1721941264606947E-2</v>
      </c>
      <c r="I180">
        <f t="shared" si="9"/>
        <v>35.44</v>
      </c>
    </row>
    <row r="181" spans="2:10" x14ac:dyDescent="0.25">
      <c r="C181" s="30" t="s">
        <v>130</v>
      </c>
      <c r="D181" t="s">
        <v>551</v>
      </c>
      <c r="E181">
        <f>Äquivalente!B85</f>
        <v>4.43</v>
      </c>
      <c r="F181">
        <f>Betriebsdaten!C191</f>
        <v>4</v>
      </c>
      <c r="G181" s="53">
        <f>F181/F177</f>
        <v>9.9255583126550868E-3</v>
      </c>
      <c r="H181" s="53">
        <f>I181/I177</f>
        <v>5.8609706323034735E-3</v>
      </c>
      <c r="I181">
        <f t="shared" si="9"/>
        <v>17.72</v>
      </c>
    </row>
    <row r="182" spans="2:10" x14ac:dyDescent="0.25">
      <c r="C182" s="30" t="s">
        <v>131</v>
      </c>
      <c r="D182" t="s">
        <v>551</v>
      </c>
      <c r="E182">
        <f>Äquivalente!B86</f>
        <v>0.377</v>
      </c>
      <c r="F182">
        <f>Betriebsdaten!C192</f>
        <v>5</v>
      </c>
      <c r="G182" s="53">
        <f>F182/F177</f>
        <v>1.2406947890818859E-2</v>
      </c>
      <c r="H182" s="53">
        <f>I182/I177</f>
        <v>6.2347232742054448E-4</v>
      </c>
      <c r="I182">
        <f t="shared" si="9"/>
        <v>1.885</v>
      </c>
    </row>
    <row r="183" spans="2:10" x14ac:dyDescent="0.25">
      <c r="C183" s="30" t="s">
        <v>132</v>
      </c>
      <c r="D183" t="s">
        <v>551</v>
      </c>
      <c r="E183">
        <f>Äquivalente!B87</f>
        <v>1.1299999999999999</v>
      </c>
      <c r="F183">
        <f>Betriebsdaten!C193</f>
        <v>8</v>
      </c>
      <c r="G183" s="53">
        <f>F183/F177</f>
        <v>1.9851116625310174E-2</v>
      </c>
      <c r="H183" s="53">
        <f>I183/I177</f>
        <v>2.9900211352157677E-3</v>
      </c>
      <c r="I183">
        <f t="shared" si="9"/>
        <v>9.0399999999999991</v>
      </c>
    </row>
    <row r="184" spans="2:10" x14ac:dyDescent="0.25">
      <c r="C184" s="30" t="s">
        <v>325</v>
      </c>
      <c r="D184" t="s">
        <v>551</v>
      </c>
      <c r="E184">
        <f>Äquivalente!B88</f>
        <v>0.72899999999999998</v>
      </c>
      <c r="F184">
        <f>Betriebsdaten!C194</f>
        <v>0</v>
      </c>
      <c r="G184" s="53">
        <f>F184/F177</f>
        <v>0</v>
      </c>
      <c r="H184" s="53">
        <f>I184/I177</f>
        <v>0</v>
      </c>
      <c r="I184">
        <f t="shared" si="9"/>
        <v>0</v>
      </c>
    </row>
    <row r="185" spans="2:10" x14ac:dyDescent="0.25">
      <c r="C185" s="30" t="s">
        <v>133</v>
      </c>
      <c r="D185" t="s">
        <v>551</v>
      </c>
      <c r="E185">
        <f>Äquivalente!B89</f>
        <v>1.62</v>
      </c>
      <c r="F185">
        <f>Betriebsdaten!C195</f>
        <v>5</v>
      </c>
      <c r="G185" s="53">
        <f>F185/F177</f>
        <v>1.2406947890818859E-2</v>
      </c>
      <c r="H185" s="53">
        <f>I185/I177</f>
        <v>2.6791118578813854E-3</v>
      </c>
      <c r="I185">
        <f t="shared" si="9"/>
        <v>8.1000000000000014</v>
      </c>
    </row>
    <row r="186" spans="2:10" x14ac:dyDescent="0.25">
      <c r="C186" s="30" t="s">
        <v>334</v>
      </c>
      <c r="D186" t="s">
        <v>551</v>
      </c>
      <c r="E186">
        <f>Äquivalente!B90</f>
        <v>1</v>
      </c>
      <c r="F186">
        <f>Betriebsdaten!C196</f>
        <v>85</v>
      </c>
      <c r="G186" s="53">
        <f>F186/F177</f>
        <v>0.21091811414392059</v>
      </c>
      <c r="H186" s="53">
        <f>I186/I177</f>
        <v>2.8114136780236755E-2</v>
      </c>
      <c r="I186">
        <f>F186*E186</f>
        <v>85</v>
      </c>
    </row>
    <row r="187" spans="2:10" x14ac:dyDescent="0.25">
      <c r="C187" s="30" t="s">
        <v>134</v>
      </c>
      <c r="D187" t="s">
        <v>551</v>
      </c>
      <c r="E187">
        <f>Äquivalente!B91</f>
        <v>2</v>
      </c>
      <c r="F187">
        <f>Betriebsdaten!C197</f>
        <v>5</v>
      </c>
      <c r="G187" s="53">
        <f>F187/F177</f>
        <v>1.2406947890818859E-2</v>
      </c>
      <c r="H187" s="53">
        <f>I187/I177</f>
        <v>3.3075455035572652E-3</v>
      </c>
      <c r="I187">
        <f t="shared" si="9"/>
        <v>10</v>
      </c>
    </row>
    <row r="188" spans="2:10" x14ac:dyDescent="0.25">
      <c r="C188" s="30" t="s">
        <v>135</v>
      </c>
      <c r="D188" t="s">
        <v>551</v>
      </c>
      <c r="E188">
        <f>Äquivalente!B92</f>
        <v>3</v>
      </c>
      <c r="F188">
        <f>Betriebsdaten!C198</f>
        <v>8</v>
      </c>
      <c r="G188" s="53">
        <f>F188/F177</f>
        <v>1.9851116625310174E-2</v>
      </c>
      <c r="H188" s="53">
        <f>I188/I177</f>
        <v>7.9381092085374361E-3</v>
      </c>
      <c r="I188">
        <f t="shared" si="9"/>
        <v>24</v>
      </c>
    </row>
    <row r="189" spans="2:10" x14ac:dyDescent="0.25">
      <c r="C189" s="30" t="s">
        <v>136</v>
      </c>
      <c r="D189" t="s">
        <v>551</v>
      </c>
      <c r="E189">
        <f>Äquivalente!B93</f>
        <v>4</v>
      </c>
      <c r="F189">
        <f>Betriebsdaten!C199</f>
        <v>44</v>
      </c>
      <c r="G189" s="53">
        <f>F189/F177</f>
        <v>0.10918114143920596</v>
      </c>
      <c r="H189" s="53">
        <f>I189/I177</f>
        <v>5.8212800862607869E-2</v>
      </c>
      <c r="I189">
        <f t="shared" si="9"/>
        <v>176</v>
      </c>
    </row>
    <row r="190" spans="2:10" x14ac:dyDescent="0.25">
      <c r="C190" s="30" t="s">
        <v>137</v>
      </c>
      <c r="D190" t="s">
        <v>551</v>
      </c>
      <c r="E190">
        <f>Äquivalente!B94</f>
        <v>5</v>
      </c>
      <c r="F190">
        <f>Betriebsdaten!C200</f>
        <v>5</v>
      </c>
      <c r="G190" s="53">
        <f>F190/F177</f>
        <v>1.2406947890818859E-2</v>
      </c>
      <c r="H190" s="53">
        <f>I190/I177</f>
        <v>8.2688637588931631E-3</v>
      </c>
      <c r="I190">
        <f t="shared" si="9"/>
        <v>25</v>
      </c>
    </row>
    <row r="191" spans="2:10" x14ac:dyDescent="0.25">
      <c r="C191" s="30" t="s">
        <v>138</v>
      </c>
      <c r="D191" t="s">
        <v>551</v>
      </c>
      <c r="E191">
        <f>Äquivalente!B95</f>
        <v>6</v>
      </c>
      <c r="F191">
        <f>Betriebsdaten!C201</f>
        <v>8</v>
      </c>
      <c r="G191" s="53">
        <f>F191/F177</f>
        <v>1.9851116625310174E-2</v>
      </c>
      <c r="H191" s="53">
        <f>I191/I177</f>
        <v>1.5876218417074872E-2</v>
      </c>
      <c r="I191">
        <f t="shared" si="9"/>
        <v>48</v>
      </c>
    </row>
    <row r="192" spans="2:10" x14ac:dyDescent="0.25">
      <c r="C192" s="30" t="s">
        <v>139</v>
      </c>
      <c r="D192" t="s">
        <v>551</v>
      </c>
      <c r="E192">
        <f>Äquivalente!B96</f>
        <v>7</v>
      </c>
      <c r="F192">
        <f>Betriebsdaten!C202</f>
        <v>8</v>
      </c>
      <c r="G192" s="53">
        <f>F192/F177</f>
        <v>1.9851116625310174E-2</v>
      </c>
      <c r="H192" s="53">
        <f>I192/I177</f>
        <v>1.8522254819920685E-2</v>
      </c>
      <c r="I192">
        <f t="shared" si="9"/>
        <v>56</v>
      </c>
    </row>
    <row r="193" spans="2:9" x14ac:dyDescent="0.25">
      <c r="C193" s="30" t="s">
        <v>140</v>
      </c>
      <c r="D193" t="s">
        <v>551</v>
      </c>
      <c r="E193">
        <f>Äquivalente!B97</f>
        <v>8</v>
      </c>
      <c r="F193">
        <f>Betriebsdaten!C203</f>
        <v>5</v>
      </c>
      <c r="G193" s="53">
        <f>F193/F177</f>
        <v>1.2406947890818859E-2</v>
      </c>
      <c r="H193" s="53">
        <f>I193/I177</f>
        <v>1.3230182014229061E-2</v>
      </c>
      <c r="I193">
        <f t="shared" si="9"/>
        <v>40</v>
      </c>
    </row>
    <row r="194" spans="2:9" x14ac:dyDescent="0.25">
      <c r="C194" s="30" t="s">
        <v>322</v>
      </c>
      <c r="D194" t="s">
        <v>551</v>
      </c>
      <c r="E194">
        <f>Äquivalente!B98</f>
        <v>9</v>
      </c>
      <c r="F194">
        <f>Betriebsdaten!C204</f>
        <v>54</v>
      </c>
      <c r="G194" s="53">
        <f>F194/F177</f>
        <v>0.13399503722084366</v>
      </c>
      <c r="H194" s="53">
        <f>I194/I177</f>
        <v>0.16074671147288311</v>
      </c>
      <c r="I194">
        <f t="shared" si="9"/>
        <v>486</v>
      </c>
    </row>
    <row r="195" spans="2:9" x14ac:dyDescent="0.25">
      <c r="C195" s="30" t="s">
        <v>323</v>
      </c>
      <c r="D195" t="s">
        <v>551</v>
      </c>
      <c r="E195">
        <f>Äquivalente!B99</f>
        <v>10</v>
      </c>
      <c r="F195">
        <f>Betriebsdaten!C205</f>
        <v>4</v>
      </c>
      <c r="G195" s="53">
        <f>F195/F177</f>
        <v>9.9255583126550868E-3</v>
      </c>
      <c r="H195" s="53">
        <f>I195/I177</f>
        <v>1.3230182014229061E-2</v>
      </c>
      <c r="I195">
        <f t="shared" si="9"/>
        <v>40</v>
      </c>
    </row>
    <row r="196" spans="2:9" x14ac:dyDescent="0.25">
      <c r="C196" s="30" t="s">
        <v>324</v>
      </c>
      <c r="D196" t="s">
        <v>551</v>
      </c>
      <c r="E196">
        <f>Äquivalente!B100</f>
        <v>11</v>
      </c>
      <c r="F196">
        <f>Betriebsdaten!C206</f>
        <v>55</v>
      </c>
      <c r="G196" s="53">
        <f>F196/F177</f>
        <v>0.13647642679900746</v>
      </c>
      <c r="H196" s="53">
        <f>I196/I177</f>
        <v>0.20010650296521454</v>
      </c>
      <c r="I196">
        <f t="shared" si="9"/>
        <v>605</v>
      </c>
    </row>
    <row r="197" spans="2:9" x14ac:dyDescent="0.25">
      <c r="C197" s="30" t="s">
        <v>326</v>
      </c>
      <c r="D197" t="s">
        <v>551</v>
      </c>
      <c r="E197">
        <f>Äquivalente!B101</f>
        <v>12</v>
      </c>
      <c r="F197">
        <f>Betriebsdaten!C207</f>
        <v>8</v>
      </c>
      <c r="G197" s="53">
        <f>F197/F177</f>
        <v>1.9851116625310174E-2</v>
      </c>
      <c r="H197" s="53">
        <f>I197/I177</f>
        <v>3.1752436834149744E-2</v>
      </c>
      <c r="I197">
        <f t="shared" si="9"/>
        <v>96</v>
      </c>
    </row>
    <row r="198" spans="2:9" x14ac:dyDescent="0.25">
      <c r="C198" s="30" t="s">
        <v>327</v>
      </c>
      <c r="D198" t="s">
        <v>551</v>
      </c>
      <c r="E198">
        <f>Äquivalente!B102</f>
        <v>13</v>
      </c>
      <c r="F198">
        <f>Betriebsdaten!C208</f>
        <v>5</v>
      </c>
      <c r="G198" s="53">
        <f>F198/F177</f>
        <v>1.2406947890818859E-2</v>
      </c>
      <c r="H198" s="53">
        <f>I198/I177</f>
        <v>2.1499045773122224E-2</v>
      </c>
      <c r="I198">
        <f t="shared" si="9"/>
        <v>65</v>
      </c>
    </row>
    <row r="199" spans="2:9" x14ac:dyDescent="0.25">
      <c r="C199" s="30" t="s">
        <v>328</v>
      </c>
      <c r="D199" t="s">
        <v>551</v>
      </c>
      <c r="E199">
        <f>Äquivalente!B103</f>
        <v>14</v>
      </c>
      <c r="F199">
        <f>Betriebsdaten!C209</f>
        <v>4</v>
      </c>
      <c r="G199" s="53">
        <f>F199/F177</f>
        <v>9.9255583126550868E-3</v>
      </c>
      <c r="H199" s="53">
        <f>I199/I177</f>
        <v>1.8522254819920685E-2</v>
      </c>
      <c r="I199">
        <f t="shared" si="9"/>
        <v>56</v>
      </c>
    </row>
    <row r="200" spans="2:9" x14ac:dyDescent="0.25">
      <c r="C200" s="30" t="s">
        <v>329</v>
      </c>
      <c r="D200" t="s">
        <v>551</v>
      </c>
      <c r="E200">
        <f>Äquivalente!B104</f>
        <v>15</v>
      </c>
      <c r="F200">
        <f>Betriebsdaten!C210</f>
        <v>4</v>
      </c>
      <c r="G200" s="53">
        <f>F200/F177</f>
        <v>9.9255583126550868E-3</v>
      </c>
      <c r="H200" s="53">
        <f>I200/I177</f>
        <v>1.9845273021343594E-2</v>
      </c>
      <c r="I200">
        <f t="shared" si="9"/>
        <v>60</v>
      </c>
    </row>
    <row r="201" spans="2:9" x14ac:dyDescent="0.25">
      <c r="C201" s="30" t="s">
        <v>331</v>
      </c>
      <c r="D201" t="s">
        <v>551</v>
      </c>
      <c r="E201">
        <f>Äquivalente!B105</f>
        <v>16</v>
      </c>
      <c r="F201">
        <f>Betriebsdaten!C211</f>
        <v>5</v>
      </c>
      <c r="G201" s="53">
        <f>F201/F177</f>
        <v>1.2406947890818859E-2</v>
      </c>
      <c r="H201" s="53">
        <f>I201/I177</f>
        <v>2.6460364028458121E-2</v>
      </c>
      <c r="I201">
        <f t="shared" si="9"/>
        <v>80</v>
      </c>
    </row>
    <row r="202" spans="2:9" x14ac:dyDescent="0.25">
      <c r="C202" s="30" t="s">
        <v>332</v>
      </c>
      <c r="D202" t="s">
        <v>551</v>
      </c>
      <c r="E202">
        <f>Äquivalente!B106</f>
        <v>17</v>
      </c>
      <c r="F202">
        <f>Betriebsdaten!C212</f>
        <v>54</v>
      </c>
      <c r="G202" s="53">
        <f>F202/F177</f>
        <v>0.13399503722084366</v>
      </c>
      <c r="H202" s="53">
        <f>I202/I177</f>
        <v>0.30363267722655696</v>
      </c>
      <c r="I202">
        <f t="shared" si="9"/>
        <v>918</v>
      </c>
    </row>
    <row r="203" spans="2:9" x14ac:dyDescent="0.25">
      <c r="C203" s="30" t="s">
        <v>333</v>
      </c>
      <c r="D203" t="s">
        <v>551</v>
      </c>
      <c r="E203">
        <f>Äquivalente!B107</f>
        <v>18</v>
      </c>
      <c r="F203">
        <f>Betriebsdaten!C213</f>
        <v>4</v>
      </c>
      <c r="G203" s="53">
        <f>F203/F177</f>
        <v>9.9255583126550868E-3</v>
      </c>
      <c r="H203" s="53">
        <f>I203/I177</f>
        <v>2.3814327625612312E-2</v>
      </c>
      <c r="I203">
        <f t="shared" si="9"/>
        <v>72</v>
      </c>
    </row>
    <row r="207" spans="2:9" x14ac:dyDescent="0.25">
      <c r="E207" t="s">
        <v>356</v>
      </c>
      <c r="F207" t="s">
        <v>893</v>
      </c>
      <c r="G207" t="s">
        <v>899</v>
      </c>
      <c r="H207" t="s">
        <v>891</v>
      </c>
      <c r="I207" t="s">
        <v>892</v>
      </c>
    </row>
    <row r="208" spans="2:9" x14ac:dyDescent="0.25">
      <c r="B208" s="31" t="s">
        <v>555</v>
      </c>
      <c r="C208" s="31" t="s">
        <v>556</v>
      </c>
      <c r="D208" s="31" t="s">
        <v>557</v>
      </c>
      <c r="E208" s="31"/>
      <c r="F208" s="31">
        <f>F209+F210</f>
        <v>1307</v>
      </c>
      <c r="G208" s="54">
        <f>G209+G210</f>
        <v>1</v>
      </c>
      <c r="H208" s="54">
        <f>H209+H210</f>
        <v>1</v>
      </c>
      <c r="I208" s="31">
        <f>I209+I210</f>
        <v>14377</v>
      </c>
    </row>
    <row r="209" spans="1:9" x14ac:dyDescent="0.25">
      <c r="C209" s="30" t="s">
        <v>142</v>
      </c>
      <c r="D209" t="s">
        <v>898</v>
      </c>
      <c r="E209">
        <f>Äquivalente!B113</f>
        <v>11</v>
      </c>
      <c r="F209">
        <f>Betriebsdaten!C215+Betriebsdaten!C216*100</f>
        <v>803</v>
      </c>
      <c r="G209" s="53">
        <f>F209/F208</f>
        <v>0.61438408569242542</v>
      </c>
      <c r="H209" s="53">
        <f>I209/I208</f>
        <v>0.61438408569242542</v>
      </c>
      <c r="I209">
        <f>F209*E209</f>
        <v>8833</v>
      </c>
    </row>
    <row r="210" spans="1:9" x14ac:dyDescent="0.25">
      <c r="C210" s="30" t="s">
        <v>144</v>
      </c>
      <c r="D210" t="s">
        <v>898</v>
      </c>
      <c r="E210">
        <f>Äquivalente!B114</f>
        <v>11</v>
      </c>
      <c r="F210">
        <f>Betriebsdaten!C217+Betriebsdaten!C218*100</f>
        <v>504</v>
      </c>
      <c r="G210" s="53">
        <f>F210/F208</f>
        <v>0.38561591430757458</v>
      </c>
      <c r="H210" s="53">
        <f>I210/I208</f>
        <v>0.38561591430757458</v>
      </c>
      <c r="I210">
        <f>F210*E210</f>
        <v>5544</v>
      </c>
    </row>
    <row r="212" spans="1:9" x14ac:dyDescent="0.25">
      <c r="E212" t="s">
        <v>904</v>
      </c>
      <c r="F212" t="s">
        <v>318</v>
      </c>
      <c r="G212" t="s">
        <v>903</v>
      </c>
      <c r="H212" t="s">
        <v>891</v>
      </c>
      <c r="I212" t="s">
        <v>892</v>
      </c>
    </row>
    <row r="213" spans="1:9" x14ac:dyDescent="0.25">
      <c r="B213" s="31" t="s">
        <v>220</v>
      </c>
      <c r="C213" s="31" t="s">
        <v>558</v>
      </c>
      <c r="D213" s="31" t="s">
        <v>615</v>
      </c>
      <c r="E213" s="31"/>
      <c r="F213" s="31">
        <f>F214+F215+F216+F217+F218+F219+F220+F221</f>
        <v>209</v>
      </c>
      <c r="G213" s="54">
        <f>G214+G215+G216+G217+G218+G219+G220+G221</f>
        <v>1.0000000000000002</v>
      </c>
      <c r="H213" s="54">
        <f>H214+H215+H216+H217+H218+H219+H220+H221</f>
        <v>1</v>
      </c>
      <c r="I213" s="31">
        <f>I214+I215+I216+I217+I218+I219+I220+I221</f>
        <v>740</v>
      </c>
    </row>
    <row r="214" spans="1:9" x14ac:dyDescent="0.25">
      <c r="C214" s="30" t="s">
        <v>229</v>
      </c>
      <c r="D214" t="s">
        <v>559</v>
      </c>
      <c r="E214" s="15">
        <f>Äquivalente!B116</f>
        <v>1</v>
      </c>
      <c r="F214">
        <f>Betriebsdaten!C219</f>
        <v>92</v>
      </c>
      <c r="G214" s="53">
        <f>F214/F213</f>
        <v>0.44019138755980863</v>
      </c>
      <c r="H214" s="53">
        <f>I214/I213</f>
        <v>0.12432432432432433</v>
      </c>
      <c r="I214">
        <f>F214*E214</f>
        <v>92</v>
      </c>
    </row>
    <row r="215" spans="1:9" x14ac:dyDescent="0.25">
      <c r="C215" s="30" t="s">
        <v>226</v>
      </c>
      <c r="D215" t="s">
        <v>559</v>
      </c>
      <c r="E215" s="15">
        <f>Äquivalente!B117</f>
        <v>2</v>
      </c>
      <c r="F215">
        <f>Betriebsdaten!C220</f>
        <v>12</v>
      </c>
      <c r="G215" s="53">
        <f>F215/F213</f>
        <v>5.7416267942583733E-2</v>
      </c>
      <c r="H215" s="53">
        <f>I215/I213</f>
        <v>3.2432432432432434E-2</v>
      </c>
      <c r="I215">
        <f t="shared" ref="I215:I221" si="10">F215*E215</f>
        <v>24</v>
      </c>
    </row>
    <row r="216" spans="1:9" x14ac:dyDescent="0.25">
      <c r="C216" s="30" t="s">
        <v>222</v>
      </c>
      <c r="D216" t="s">
        <v>559</v>
      </c>
      <c r="E216" s="15">
        <f>Äquivalente!B118</f>
        <v>3</v>
      </c>
      <c r="F216">
        <f>Betriebsdaten!C221</f>
        <v>10</v>
      </c>
      <c r="G216" s="53">
        <f>F216/F213</f>
        <v>4.784688995215311E-2</v>
      </c>
      <c r="H216" s="53">
        <f>I216/I213</f>
        <v>4.0540540540540543E-2</v>
      </c>
      <c r="I216">
        <f t="shared" si="10"/>
        <v>30</v>
      </c>
    </row>
    <row r="217" spans="1:9" x14ac:dyDescent="0.25">
      <c r="C217" s="30" t="s">
        <v>223</v>
      </c>
      <c r="D217" t="s">
        <v>559</v>
      </c>
      <c r="E217" s="15">
        <f>Äquivalente!B119</f>
        <v>4</v>
      </c>
      <c r="F217">
        <f>Betriebsdaten!C222</f>
        <v>11</v>
      </c>
      <c r="G217" s="53">
        <f>F217/F213</f>
        <v>5.2631578947368418E-2</v>
      </c>
      <c r="H217" s="53">
        <f>I217/I213</f>
        <v>5.9459459459459463E-2</v>
      </c>
      <c r="I217">
        <f t="shared" si="10"/>
        <v>44</v>
      </c>
    </row>
    <row r="218" spans="1:9" x14ac:dyDescent="0.25">
      <c r="C218" s="30" t="s">
        <v>221</v>
      </c>
      <c r="D218" t="s">
        <v>559</v>
      </c>
      <c r="E218" s="15">
        <f>Äquivalente!B120</f>
        <v>5</v>
      </c>
      <c r="F218">
        <f>Betriebsdaten!C223</f>
        <v>13</v>
      </c>
      <c r="G218" s="53">
        <f>F218/F213</f>
        <v>6.2200956937799042E-2</v>
      </c>
      <c r="H218" s="53">
        <f>I218/I213</f>
        <v>8.7837837837837843E-2</v>
      </c>
      <c r="I218">
        <f t="shared" si="10"/>
        <v>65</v>
      </c>
    </row>
    <row r="219" spans="1:9" x14ac:dyDescent="0.25">
      <c r="C219" s="30" t="s">
        <v>224</v>
      </c>
      <c r="D219" t="s">
        <v>559</v>
      </c>
      <c r="E219" s="15">
        <f>Äquivalente!B121</f>
        <v>6</v>
      </c>
      <c r="F219">
        <f>Betriebsdaten!C224</f>
        <v>14</v>
      </c>
      <c r="G219" s="53">
        <f>F219/F213</f>
        <v>6.6985645933014357E-2</v>
      </c>
      <c r="H219" s="53">
        <f>I219/I213</f>
        <v>0.11351351351351352</v>
      </c>
      <c r="I219">
        <f t="shared" si="10"/>
        <v>84</v>
      </c>
    </row>
    <row r="220" spans="1:9" x14ac:dyDescent="0.25">
      <c r="C220" s="30" t="s">
        <v>225</v>
      </c>
      <c r="D220" t="s">
        <v>559</v>
      </c>
      <c r="E220" s="15">
        <f>Äquivalente!B122</f>
        <v>7</v>
      </c>
      <c r="F220">
        <f>Betriebsdaten!C225</f>
        <v>55</v>
      </c>
      <c r="G220" s="53">
        <f>F220/F213</f>
        <v>0.26315789473684209</v>
      </c>
      <c r="H220" s="53">
        <f>I220/I213</f>
        <v>0.52027027027027029</v>
      </c>
      <c r="I220">
        <f t="shared" si="10"/>
        <v>385</v>
      </c>
    </row>
    <row r="221" spans="1:9" x14ac:dyDescent="0.25">
      <c r="C221" s="30" t="s">
        <v>227</v>
      </c>
      <c r="D221" t="s">
        <v>559</v>
      </c>
      <c r="E221" s="15">
        <f>Äquivalente!B123</f>
        <v>8</v>
      </c>
      <c r="F221">
        <f>Betriebsdaten!C226</f>
        <v>2</v>
      </c>
      <c r="G221" s="53">
        <f>F221/F213</f>
        <v>9.5693779904306216E-3</v>
      </c>
      <c r="H221" s="53">
        <f>I221/I213</f>
        <v>2.1621621621621623E-2</v>
      </c>
      <c r="I221">
        <f t="shared" si="10"/>
        <v>16</v>
      </c>
    </row>
    <row r="222" spans="1:9" x14ac:dyDescent="0.25">
      <c r="E222" s="15"/>
    </row>
    <row r="223" spans="1:9" x14ac:dyDescent="0.25">
      <c r="E223" s="15"/>
    </row>
    <row r="224" spans="1:9" ht="15.75" x14ac:dyDescent="0.25">
      <c r="A224" s="64" t="s">
        <v>146</v>
      </c>
      <c r="B224" s="62"/>
      <c r="C224" s="62"/>
      <c r="D224" s="64">
        <f>L227+L233+H241+H249+I253+I262+I268+I274+H280+H286+G295</f>
        <v>8037816.4975541122</v>
      </c>
      <c r="E224" s="62" t="s">
        <v>1028</v>
      </c>
    </row>
    <row r="225" spans="1:12" x14ac:dyDescent="0.25">
      <c r="E225" s="15"/>
    </row>
    <row r="226" spans="1:12" x14ac:dyDescent="0.25">
      <c r="A226" s="24"/>
      <c r="E226" t="s">
        <v>356</v>
      </c>
      <c r="F226" t="s">
        <v>956</v>
      </c>
      <c r="G226" t="s">
        <v>893</v>
      </c>
      <c r="H226" t="s">
        <v>903</v>
      </c>
      <c r="I226" t="s">
        <v>891</v>
      </c>
      <c r="J226" t="s">
        <v>892</v>
      </c>
      <c r="L226" t="s">
        <v>814</v>
      </c>
    </row>
    <row r="227" spans="1:12" x14ac:dyDescent="0.25">
      <c r="A227" s="24"/>
      <c r="B227" s="31" t="s">
        <v>905</v>
      </c>
      <c r="C227" s="31"/>
      <c r="D227" s="31"/>
      <c r="E227" s="31"/>
      <c r="F227" s="29">
        <f>F228+F230</f>
        <v>84560.639999999999</v>
      </c>
      <c r="G227" s="31"/>
      <c r="H227" s="31"/>
      <c r="I227" s="31"/>
      <c r="J227" s="31"/>
      <c r="K227" s="31"/>
      <c r="L227" s="31">
        <f>L228+L230</f>
        <v>3967.3547162611203</v>
      </c>
    </row>
    <row r="228" spans="1:12" x14ac:dyDescent="0.25">
      <c r="A228" s="24"/>
      <c r="C228" s="30" t="s">
        <v>906</v>
      </c>
      <c r="D228" t="s">
        <v>921</v>
      </c>
      <c r="E228">
        <f>Äquivalente!B18</f>
        <v>2.7889699999999999</v>
      </c>
      <c r="F228">
        <f>E23*2*0.11</f>
        <v>2576.64</v>
      </c>
      <c r="G228">
        <f>(E23*0.2*2+E23*0.11*2+E23/1*2*(0.15*0.11))*'Andere Berechnungen'!C37</f>
        <v>1422.5160960000001</v>
      </c>
      <c r="J228">
        <f>G228*E228</f>
        <v>3967.3547162611203</v>
      </c>
      <c r="L228">
        <f>J228*Betriebsdaten!C230</f>
        <v>3967.3547162611203</v>
      </c>
    </row>
    <row r="229" spans="1:12" x14ac:dyDescent="0.25">
      <c r="A229" s="24"/>
      <c r="G229" t="s">
        <v>943</v>
      </c>
      <c r="H229" t="s">
        <v>926</v>
      </c>
      <c r="I229" t="s">
        <v>353</v>
      </c>
      <c r="J229" t="s">
        <v>811</v>
      </c>
      <c r="K229" t="s">
        <v>812</v>
      </c>
      <c r="L229" t="s">
        <v>814</v>
      </c>
    </row>
    <row r="230" spans="1:12" x14ac:dyDescent="0.25">
      <c r="A230" s="24"/>
      <c r="C230" s="30" t="s">
        <v>929</v>
      </c>
      <c r="D230" t="s">
        <v>942</v>
      </c>
      <c r="E230">
        <f>Äquivalente!B127</f>
        <v>2.88</v>
      </c>
      <c r="F230">
        <f>Betriebsdaten!C236/Betriebsdaten!C237*Kalkulation!E32</f>
        <v>81984</v>
      </c>
      <c r="G230">
        <f>'Andere Berechnungen'!C43/Betriebsdaten!C237*E32</f>
        <v>2208.8831999999998</v>
      </c>
      <c r="H230" s="20">
        <f>G230/I230</f>
        <v>220.88831999999996</v>
      </c>
      <c r="I230">
        <v>10</v>
      </c>
      <c r="J230">
        <f>H230*E230</f>
        <v>636.15836159999992</v>
      </c>
      <c r="K230">
        <f>IF(Betriebsdaten!C238&gt;Kalkulation!I230,0,J230)</f>
        <v>0</v>
      </c>
      <c r="L230">
        <f>K230*Betriebsdaten!C235</f>
        <v>0</v>
      </c>
    </row>
    <row r="231" spans="1:12" x14ac:dyDescent="0.25">
      <c r="A231" s="24"/>
      <c r="C231" s="15"/>
      <c r="H231" s="20"/>
    </row>
    <row r="232" spans="1:12" x14ac:dyDescent="0.25">
      <c r="A232" s="24"/>
      <c r="C232" s="15"/>
      <c r="E232" t="s">
        <v>966</v>
      </c>
      <c r="F232" t="s">
        <v>930</v>
      </c>
      <c r="G232" s="45" t="s">
        <v>961</v>
      </c>
      <c r="H232" s="45" t="s">
        <v>893</v>
      </c>
      <c r="I232" t="s">
        <v>931</v>
      </c>
      <c r="J232" t="s">
        <v>892</v>
      </c>
      <c r="K232" t="s">
        <v>967</v>
      </c>
      <c r="L232" t="s">
        <v>814</v>
      </c>
    </row>
    <row r="233" spans="1:12" x14ac:dyDescent="0.25">
      <c r="A233" s="24"/>
      <c r="B233" s="31" t="s">
        <v>163</v>
      </c>
      <c r="C233" s="31"/>
      <c r="D233" s="31"/>
      <c r="E233" s="31"/>
      <c r="F233" s="29"/>
      <c r="G233" s="57"/>
      <c r="H233" s="58"/>
      <c r="I233" s="31"/>
      <c r="J233" s="31">
        <f>J234+J235+J236+J237+J238</f>
        <v>7895426.9568000007</v>
      </c>
      <c r="K233" s="31">
        <f>K234+K235+K236+K237+K238</f>
        <v>7895426.9568000007</v>
      </c>
      <c r="L233" s="31">
        <f>L234+L235+L236+L237+L238</f>
        <v>7895426.9568000007</v>
      </c>
    </row>
    <row r="234" spans="1:12" x14ac:dyDescent="0.25">
      <c r="A234" s="24"/>
      <c r="C234" s="30" t="s">
        <v>156</v>
      </c>
      <c r="D234" t="s">
        <v>965</v>
      </c>
      <c r="E234">
        <f>Äquivalente!B130</f>
        <v>100</v>
      </c>
      <c r="F234">
        <f>F227*Betriebsdaten!C240</f>
        <v>0</v>
      </c>
      <c r="G234" s="45"/>
      <c r="H234" s="45"/>
      <c r="I234">
        <f>Betriebsdaten!C245</f>
        <v>1</v>
      </c>
      <c r="J234">
        <f>F234*E234</f>
        <v>0</v>
      </c>
      <c r="K234">
        <f>J234/I234</f>
        <v>0</v>
      </c>
      <c r="L234">
        <f>K234*Betriebsdaten!C240</f>
        <v>0</v>
      </c>
    </row>
    <row r="235" spans="1:12" x14ac:dyDescent="0.25">
      <c r="A235" s="24"/>
      <c r="C235" s="30" t="s">
        <v>157</v>
      </c>
      <c r="D235" t="s">
        <v>965</v>
      </c>
      <c r="E235">
        <f>Äquivalente!B131</f>
        <v>33.29</v>
      </c>
      <c r="F235">
        <f>F227*Betriebsdaten!C241</f>
        <v>0</v>
      </c>
      <c r="G235" s="45">
        <f>'Andere Berechnungen'!E49</f>
        <v>216.66666600000002</v>
      </c>
      <c r="H235" s="45">
        <f>'Andere Berechnungen'!E49*Kalkulation!F235</f>
        <v>0</v>
      </c>
      <c r="I235">
        <f>Betriebsdaten!C245</f>
        <v>1</v>
      </c>
      <c r="J235">
        <f t="shared" ref="J235:J236" si="11">F235*E235</f>
        <v>0</v>
      </c>
      <c r="K235">
        <f t="shared" ref="K235:K238" si="12">J235/I235</f>
        <v>0</v>
      </c>
      <c r="L235">
        <f>K235*Betriebsdaten!C241</f>
        <v>0</v>
      </c>
    </row>
    <row r="236" spans="1:12" x14ac:dyDescent="0.25">
      <c r="A236" s="24"/>
      <c r="C236" s="30" t="s">
        <v>159</v>
      </c>
      <c r="D236" t="s">
        <v>965</v>
      </c>
      <c r="E236">
        <f>Äquivalente!B132</f>
        <v>93.01</v>
      </c>
      <c r="F236">
        <f>F227*Betriebsdaten!C242</f>
        <v>0</v>
      </c>
      <c r="G236" s="45"/>
      <c r="H236" s="45"/>
      <c r="I236">
        <f>Betriebsdaten!C245</f>
        <v>1</v>
      </c>
      <c r="J236">
        <f t="shared" si="11"/>
        <v>0</v>
      </c>
      <c r="K236">
        <f t="shared" si="12"/>
        <v>0</v>
      </c>
      <c r="L236">
        <f>K236*Betriebsdaten!C242</f>
        <v>0</v>
      </c>
    </row>
    <row r="237" spans="1:12" x14ac:dyDescent="0.25">
      <c r="A237" s="24"/>
      <c r="C237" s="30" t="s">
        <v>160</v>
      </c>
      <c r="D237" t="s">
        <v>965</v>
      </c>
      <c r="E237">
        <f>Äquivalente!B133</f>
        <v>93.37</v>
      </c>
      <c r="F237">
        <f>F227*Betriebsdaten!C243</f>
        <v>84560.639999999999</v>
      </c>
      <c r="G237" s="45"/>
      <c r="H237" s="45"/>
      <c r="I237">
        <f>Betriebsdaten!C245</f>
        <v>1</v>
      </c>
      <c r="J237">
        <f>F237*E237</f>
        <v>7895426.9568000007</v>
      </c>
      <c r="K237">
        <f t="shared" si="12"/>
        <v>7895426.9568000007</v>
      </c>
      <c r="L237">
        <f>K237*Betriebsdaten!C243</f>
        <v>7895426.9568000007</v>
      </c>
    </row>
    <row r="238" spans="1:12" x14ac:dyDescent="0.25">
      <c r="A238" s="24"/>
      <c r="C238" s="30" t="s">
        <v>963</v>
      </c>
      <c r="D238" t="s">
        <v>965</v>
      </c>
      <c r="E238">
        <f>Äquivalente!B134</f>
        <v>16.010000000000002</v>
      </c>
      <c r="F238">
        <f>F227*Betriebsdaten!C244</f>
        <v>0</v>
      </c>
      <c r="G238" s="45"/>
      <c r="H238" s="45"/>
      <c r="I238">
        <f>Betriebsdaten!C245</f>
        <v>1</v>
      </c>
      <c r="J238">
        <f>F238*E238</f>
        <v>0</v>
      </c>
      <c r="K238">
        <f t="shared" si="12"/>
        <v>0</v>
      </c>
      <c r="L238">
        <f>K238*Betriebsdaten!C244</f>
        <v>0</v>
      </c>
    </row>
    <row r="239" spans="1:12" x14ac:dyDescent="0.25">
      <c r="A239" s="24"/>
    </row>
    <row r="240" spans="1:12" x14ac:dyDescent="0.25">
      <c r="C240" s="15"/>
      <c r="E240" t="s">
        <v>966</v>
      </c>
      <c r="F240" t="s">
        <v>930</v>
      </c>
      <c r="G240" t="s">
        <v>892</v>
      </c>
      <c r="H240" t="s">
        <v>814</v>
      </c>
      <c r="I240" s="15"/>
      <c r="J240" s="15"/>
      <c r="K240" s="15"/>
      <c r="L240" s="15"/>
    </row>
    <row r="241" spans="2:12" x14ac:dyDescent="0.25">
      <c r="B241" s="31" t="s">
        <v>968</v>
      </c>
      <c r="C241" s="31"/>
      <c r="D241" s="31"/>
      <c r="E241" s="31"/>
      <c r="F241" s="29"/>
      <c r="G241" s="31">
        <f>G242+G243+G244+G245+G246</f>
        <v>7862.9683200000027</v>
      </c>
      <c r="H241" s="31">
        <f>H242+H243+H244+H245+H246</f>
        <v>2178.6662400000009</v>
      </c>
      <c r="I241" s="55"/>
      <c r="J241" s="15"/>
      <c r="K241" s="15"/>
      <c r="L241" s="55"/>
    </row>
    <row r="242" spans="2:12" x14ac:dyDescent="0.25">
      <c r="C242" s="30" t="s">
        <v>156</v>
      </c>
      <c r="D242" t="s">
        <v>965</v>
      </c>
      <c r="E242">
        <f>Äquivalente!B130</f>
        <v>100</v>
      </c>
      <c r="F242">
        <f>(0.1*0.1*0.1)*E32</f>
        <v>23.424000000000007</v>
      </c>
      <c r="G242">
        <f>F242*E242</f>
        <v>2342.4000000000005</v>
      </c>
      <c r="H242">
        <f>G242*Betriebsdaten!C276</f>
        <v>0</v>
      </c>
      <c r="I242" s="15"/>
      <c r="J242" s="15"/>
      <c r="K242" s="15"/>
      <c r="L242" s="15"/>
    </row>
    <row r="243" spans="2:12" x14ac:dyDescent="0.25">
      <c r="C243" s="30" t="s">
        <v>157</v>
      </c>
      <c r="D243" t="s">
        <v>965</v>
      </c>
      <c r="E243">
        <f>Äquivalente!B131</f>
        <v>33.29</v>
      </c>
      <c r="F243">
        <f>(0.1*0.1*0.1)*E32</f>
        <v>23.424000000000007</v>
      </c>
      <c r="G243">
        <f>F243*E243</f>
        <v>779.78496000000018</v>
      </c>
      <c r="H243">
        <f>G243*Betriebsdaten!C277</f>
        <v>0</v>
      </c>
      <c r="I243" s="15"/>
      <c r="J243" s="15"/>
      <c r="K243" s="15"/>
      <c r="L243" s="15"/>
    </row>
    <row r="244" spans="2:12" x14ac:dyDescent="0.25">
      <c r="C244" s="30" t="s">
        <v>159</v>
      </c>
      <c r="D244" t="s">
        <v>965</v>
      </c>
      <c r="E244">
        <f>Äquivalente!B132</f>
        <v>93.01</v>
      </c>
      <c r="F244">
        <f>(0.1*0.1*0.1)*E32</f>
        <v>23.424000000000007</v>
      </c>
      <c r="G244">
        <f>F244*E244</f>
        <v>2178.6662400000009</v>
      </c>
      <c r="H244">
        <f>G244*Betriebsdaten!C278</f>
        <v>2178.6662400000009</v>
      </c>
      <c r="I244" s="15"/>
      <c r="J244" s="15"/>
      <c r="K244" s="15"/>
      <c r="L244" s="15"/>
    </row>
    <row r="245" spans="2:12" x14ac:dyDescent="0.25">
      <c r="C245" s="30" t="s">
        <v>160</v>
      </c>
      <c r="D245" t="s">
        <v>965</v>
      </c>
      <c r="E245">
        <f>Äquivalente!B133</f>
        <v>93.37</v>
      </c>
      <c r="F245">
        <f>(0.1*0.1*0.1)*E32</f>
        <v>23.424000000000007</v>
      </c>
      <c r="G245">
        <f>F245*E245</f>
        <v>2187.0988800000009</v>
      </c>
      <c r="H245">
        <f>G245*Betriebsdaten!C279</f>
        <v>0</v>
      </c>
      <c r="I245" s="15"/>
      <c r="J245" s="15"/>
      <c r="K245" s="15"/>
      <c r="L245" s="15"/>
    </row>
    <row r="246" spans="2:12" x14ac:dyDescent="0.25">
      <c r="C246" s="30" t="s">
        <v>963</v>
      </c>
      <c r="D246" t="s">
        <v>965</v>
      </c>
      <c r="E246">
        <f>Äquivalente!B134</f>
        <v>16.010000000000002</v>
      </c>
      <c r="F246">
        <f>(0.1*0.1*0.1)*E32</f>
        <v>23.424000000000007</v>
      </c>
      <c r="G246">
        <f>F246*E246</f>
        <v>375.01824000000016</v>
      </c>
      <c r="H246">
        <f>G246*Betriebsdaten!C280</f>
        <v>0</v>
      </c>
      <c r="I246" s="15"/>
      <c r="J246" s="15"/>
      <c r="K246" s="15"/>
      <c r="L246" s="15"/>
    </row>
    <row r="247" spans="2:12" x14ac:dyDescent="0.25">
      <c r="C247" s="15"/>
      <c r="I247" s="15"/>
      <c r="J247" s="15"/>
      <c r="K247" s="15"/>
      <c r="L247" s="15"/>
    </row>
    <row r="248" spans="2:12" x14ac:dyDescent="0.25">
      <c r="C248" s="15"/>
      <c r="E248" t="s">
        <v>1046</v>
      </c>
      <c r="G248" s="21" t="s">
        <v>892</v>
      </c>
      <c r="H248" t="s">
        <v>814</v>
      </c>
      <c r="I248" s="21"/>
    </row>
    <row r="249" spans="2:12" x14ac:dyDescent="0.25">
      <c r="B249" s="31" t="s">
        <v>969</v>
      </c>
      <c r="C249" s="31"/>
      <c r="D249" s="31"/>
      <c r="E249" s="31"/>
      <c r="F249" s="31"/>
      <c r="G249" s="56"/>
      <c r="H249" s="56">
        <f>H250</f>
        <v>109.31200000000001</v>
      </c>
      <c r="I249" s="21"/>
    </row>
    <row r="250" spans="2:12" x14ac:dyDescent="0.25">
      <c r="C250" s="30" t="s">
        <v>614</v>
      </c>
      <c r="D250" t="s">
        <v>1080</v>
      </c>
      <c r="E250">
        <f>Äquivalente!B137</f>
        <v>0.112</v>
      </c>
      <c r="G250" s="21">
        <f>Kalkulation!E32/'Andere Berechnungen'!C56*'Andere Berechnungen'!C57*Betriebsdaten!C275*Kalkulation!E250</f>
        <v>109.31200000000001</v>
      </c>
      <c r="H250" s="21">
        <f>G250*Betriebsdaten!C274</f>
        <v>109.31200000000001</v>
      </c>
      <c r="I250" s="21"/>
    </row>
    <row r="251" spans="2:12" x14ac:dyDescent="0.25">
      <c r="C251" s="15"/>
      <c r="G251" s="21"/>
      <c r="H251" s="21"/>
      <c r="I251" s="21"/>
    </row>
    <row r="252" spans="2:12" x14ac:dyDescent="0.25">
      <c r="C252" s="15"/>
      <c r="E252" t="s">
        <v>356</v>
      </c>
      <c r="F252" t="s">
        <v>893</v>
      </c>
      <c r="G252" t="s">
        <v>994</v>
      </c>
      <c r="H252" t="s">
        <v>892</v>
      </c>
      <c r="I252" t="s">
        <v>814</v>
      </c>
    </row>
    <row r="253" spans="2:12" x14ac:dyDescent="0.25">
      <c r="B253" s="31" t="s">
        <v>564</v>
      </c>
      <c r="C253" s="31" t="s">
        <v>565</v>
      </c>
      <c r="D253" s="31" t="s">
        <v>575</v>
      </c>
      <c r="E253" s="31"/>
      <c r="F253" s="31"/>
      <c r="G253" s="56"/>
      <c r="H253" s="56"/>
      <c r="I253" s="56">
        <f>I254+I255+I256+I257+I258+I259</f>
        <v>860.16000000000008</v>
      </c>
    </row>
    <row r="254" spans="2:12" x14ac:dyDescent="0.25">
      <c r="C254" s="30" t="s">
        <v>568</v>
      </c>
      <c r="D254" t="s">
        <v>577</v>
      </c>
      <c r="E254">
        <f>Äquivalente!B140</f>
        <v>1.73</v>
      </c>
      <c r="F254">
        <f>E39*'Andere Berechnungen'!C60</f>
        <v>645.12</v>
      </c>
      <c r="G254">
        <f>Betriebsdaten!C254</f>
        <v>1</v>
      </c>
      <c r="H254" s="21">
        <f>F254*E254/G254</f>
        <v>1116.0576000000001</v>
      </c>
      <c r="I254" s="21">
        <f>H254*Betriebsdaten!C246</f>
        <v>0</v>
      </c>
    </row>
    <row r="255" spans="2:12" x14ac:dyDescent="0.25">
      <c r="C255" s="30" t="s">
        <v>569</v>
      </c>
      <c r="D255" t="s">
        <v>577</v>
      </c>
      <c r="E255">
        <f>Äquivalente!B141</f>
        <v>0.4</v>
      </c>
      <c r="F255">
        <f>E39*'Andere Berechnungen'!C61</f>
        <v>2150.4</v>
      </c>
      <c r="G255">
        <f>Betriebsdaten!C254</f>
        <v>1</v>
      </c>
      <c r="H255" s="21">
        <f t="shared" ref="H255:H259" si="13">F255*E255/G255</f>
        <v>860.16000000000008</v>
      </c>
      <c r="I255" s="21">
        <f>H255*Betriebsdaten!C247</f>
        <v>0</v>
      </c>
    </row>
    <row r="256" spans="2:12" x14ac:dyDescent="0.25">
      <c r="C256" s="30" t="s">
        <v>570</v>
      </c>
      <c r="D256" t="s">
        <v>577</v>
      </c>
      <c r="E256">
        <f>Äquivalente!B142</f>
        <v>0.4</v>
      </c>
      <c r="F256">
        <f>E39*'Andere Berechnungen'!C62</f>
        <v>2150.4</v>
      </c>
      <c r="G256">
        <f>Betriebsdaten!C254</f>
        <v>1</v>
      </c>
      <c r="H256" s="21">
        <f t="shared" si="13"/>
        <v>860.16000000000008</v>
      </c>
      <c r="I256" s="21">
        <f>H256*Betriebsdaten!C248</f>
        <v>0</v>
      </c>
    </row>
    <row r="257" spans="2:9" x14ac:dyDescent="0.25">
      <c r="C257" s="30" t="s">
        <v>571</v>
      </c>
      <c r="D257" t="s">
        <v>577</v>
      </c>
      <c r="E257">
        <f>Äquivalente!B143</f>
        <v>0.4</v>
      </c>
      <c r="F257">
        <f>E39*'Andere Berechnungen'!C63</f>
        <v>2150.4</v>
      </c>
      <c r="G257">
        <f>Betriebsdaten!C254</f>
        <v>1</v>
      </c>
      <c r="H257" s="21">
        <f t="shared" si="13"/>
        <v>860.16000000000008</v>
      </c>
      <c r="I257" s="21">
        <f>H257*Betriebsdaten!C249</f>
        <v>860.16000000000008</v>
      </c>
    </row>
    <row r="258" spans="2:9" x14ac:dyDescent="0.25">
      <c r="C258" s="30" t="s">
        <v>572</v>
      </c>
      <c r="D258" t="s">
        <v>577</v>
      </c>
      <c r="E258">
        <f>Äquivalente!B144</f>
        <v>0.4</v>
      </c>
      <c r="F258">
        <f>E39*'Andere Berechnungen'!C64</f>
        <v>2150.4</v>
      </c>
      <c r="G258">
        <f>Betriebsdaten!C254</f>
        <v>1</v>
      </c>
      <c r="H258" s="21">
        <f t="shared" si="13"/>
        <v>860.16000000000008</v>
      </c>
      <c r="I258" s="21">
        <f>H258*Betriebsdaten!C250</f>
        <v>0</v>
      </c>
    </row>
    <row r="259" spans="2:9" x14ac:dyDescent="0.25">
      <c r="C259" s="30" t="s">
        <v>573</v>
      </c>
      <c r="D259" t="s">
        <v>577</v>
      </c>
      <c r="E259">
        <f>Äquivalente!B145</f>
        <v>1.2</v>
      </c>
      <c r="F259">
        <f>E39*'Andere Berechnungen'!C65</f>
        <v>1155840</v>
      </c>
      <c r="G259">
        <f>Betriebsdaten!C254</f>
        <v>1</v>
      </c>
      <c r="H259" s="21">
        <f t="shared" si="13"/>
        <v>1387008</v>
      </c>
      <c r="I259" s="21">
        <f>H259*Betriebsdaten!C251</f>
        <v>0</v>
      </c>
    </row>
    <row r="261" spans="2:9" x14ac:dyDescent="0.25">
      <c r="E261" t="s">
        <v>356</v>
      </c>
      <c r="F261" t="s">
        <v>893</v>
      </c>
      <c r="G261" t="s">
        <v>994</v>
      </c>
      <c r="H261" t="s">
        <v>892</v>
      </c>
      <c r="I261" t="s">
        <v>814</v>
      </c>
    </row>
    <row r="262" spans="2:9" x14ac:dyDescent="0.25">
      <c r="B262" s="31" t="s">
        <v>574</v>
      </c>
      <c r="C262" s="31" t="s">
        <v>576</v>
      </c>
      <c r="D262" s="31" t="s">
        <v>583</v>
      </c>
      <c r="E262" s="31"/>
      <c r="F262" s="31"/>
      <c r="G262" s="31"/>
      <c r="H262" s="31"/>
      <c r="I262" s="31">
        <f>I263+I264+I265</f>
        <v>558.02880000000005</v>
      </c>
    </row>
    <row r="263" spans="2:9" x14ac:dyDescent="0.25">
      <c r="C263" s="30" t="s">
        <v>580</v>
      </c>
      <c r="D263" t="s">
        <v>584</v>
      </c>
      <c r="E263">
        <f>Äquivalente!B148</f>
        <v>1.73</v>
      </c>
      <c r="F263">
        <f>E40*'Andere Berechnungen'!C67</f>
        <v>322.56</v>
      </c>
      <c r="G263">
        <f>Betriebsdaten!C260</f>
        <v>1</v>
      </c>
      <c r="H263">
        <f>F263*E263/G263</f>
        <v>558.02880000000005</v>
      </c>
      <c r="I263">
        <f>H263*Betriebsdaten!C255</f>
        <v>558.02880000000005</v>
      </c>
    </row>
    <row r="264" spans="2:9" x14ac:dyDescent="0.25">
      <c r="C264" s="30" t="s">
        <v>581</v>
      </c>
      <c r="D264" t="s">
        <v>585</v>
      </c>
      <c r="E264">
        <f>Äquivalente!B149</f>
        <v>1.73</v>
      </c>
      <c r="F264">
        <f>E40*'Andere Berechnungen'!C68</f>
        <v>516.096</v>
      </c>
      <c r="G264">
        <f>Betriebsdaten!C260</f>
        <v>1</v>
      </c>
      <c r="H264">
        <f t="shared" ref="H264:H265" si="14">F264*E264/G264</f>
        <v>892.84608000000003</v>
      </c>
      <c r="I264">
        <f>H264*Betriebsdaten!C256</f>
        <v>0</v>
      </c>
    </row>
    <row r="265" spans="2:9" x14ac:dyDescent="0.25">
      <c r="C265" s="30" t="s">
        <v>582</v>
      </c>
      <c r="D265" t="s">
        <v>584</v>
      </c>
      <c r="E265">
        <f>Äquivalente!B150</f>
        <v>0.4</v>
      </c>
      <c r="F265">
        <f>E40*'Andere Berechnungen'!C69</f>
        <v>516.096</v>
      </c>
      <c r="G265">
        <f>Betriebsdaten!C260</f>
        <v>1</v>
      </c>
      <c r="H265">
        <f t="shared" si="14"/>
        <v>206.4384</v>
      </c>
      <c r="I265">
        <f>H265*Betriebsdaten!C257</f>
        <v>0</v>
      </c>
    </row>
    <row r="267" spans="2:9" x14ac:dyDescent="0.25">
      <c r="E267" t="s">
        <v>356</v>
      </c>
      <c r="F267" t="s">
        <v>893</v>
      </c>
      <c r="G267" t="s">
        <v>994</v>
      </c>
      <c r="H267" t="s">
        <v>892</v>
      </c>
      <c r="I267" t="s">
        <v>814</v>
      </c>
    </row>
    <row r="268" spans="2:9" x14ac:dyDescent="0.25">
      <c r="B268" s="31" t="s">
        <v>586</v>
      </c>
      <c r="C268" s="31" t="s">
        <v>587</v>
      </c>
      <c r="D268" s="31" t="s">
        <v>592</v>
      </c>
      <c r="E268" s="31"/>
      <c r="F268" s="31"/>
      <c r="G268" s="31"/>
      <c r="H268" s="31"/>
      <c r="I268" s="31">
        <f>I269+I270+I271</f>
        <v>198.41024000000002</v>
      </c>
    </row>
    <row r="269" spans="2:9" x14ac:dyDescent="0.25">
      <c r="C269" s="30" t="s">
        <v>589</v>
      </c>
      <c r="D269" t="s">
        <v>593</v>
      </c>
      <c r="E269">
        <f>Äquivalente!B148</f>
        <v>1.73</v>
      </c>
      <c r="F269">
        <f>E41*'Andere Berechnungen'!C71</f>
        <v>344.06400000000002</v>
      </c>
      <c r="G269">
        <f>Betriebsdaten!C266</f>
        <v>3</v>
      </c>
      <c r="H269">
        <f>F269*E269/G269</f>
        <v>198.41024000000002</v>
      </c>
      <c r="I269">
        <f>H269*Betriebsdaten!C261</f>
        <v>198.41024000000002</v>
      </c>
    </row>
    <row r="270" spans="2:9" x14ac:dyDescent="0.25">
      <c r="C270" s="30" t="s">
        <v>590</v>
      </c>
      <c r="D270" t="s">
        <v>593</v>
      </c>
      <c r="E270">
        <f>Äquivalente!B149</f>
        <v>1.73</v>
      </c>
      <c r="F270">
        <f>E41*'Andere Berechnungen'!C72</f>
        <v>430.08</v>
      </c>
      <c r="G270">
        <f>Betriebsdaten!C266</f>
        <v>3</v>
      </c>
      <c r="H270">
        <f t="shared" ref="H270:H271" si="15">F270*E270/G270</f>
        <v>248.01279999999997</v>
      </c>
      <c r="I270">
        <f>H270*Betriebsdaten!C262</f>
        <v>0</v>
      </c>
    </row>
    <row r="271" spans="2:9" x14ac:dyDescent="0.25">
      <c r="C271" s="30" t="s">
        <v>591</v>
      </c>
      <c r="D271" t="s">
        <v>593</v>
      </c>
      <c r="E271">
        <f>Äquivalente!B150</f>
        <v>0.4</v>
      </c>
      <c r="F271">
        <f>E41*'Andere Berechnungen'!C73</f>
        <v>430.08</v>
      </c>
      <c r="G271">
        <f>Betriebsdaten!C266</f>
        <v>3</v>
      </c>
      <c r="H271">
        <f t="shared" si="15"/>
        <v>57.344000000000001</v>
      </c>
      <c r="I271">
        <f>H271*Betriebsdaten!C263</f>
        <v>0</v>
      </c>
    </row>
    <row r="272" spans="2:9" s="15" customFormat="1" x14ac:dyDescent="0.25"/>
    <row r="273" spans="2:9" x14ac:dyDescent="0.25">
      <c r="E273" t="s">
        <v>356</v>
      </c>
      <c r="F273" t="s">
        <v>893</v>
      </c>
      <c r="G273" t="s">
        <v>1019</v>
      </c>
      <c r="H273" t="s">
        <v>892</v>
      </c>
      <c r="I273" t="s">
        <v>814</v>
      </c>
    </row>
    <row r="274" spans="2:9" x14ac:dyDescent="0.25">
      <c r="B274" s="31" t="s">
        <v>594</v>
      </c>
      <c r="C274" s="31" t="s">
        <v>595</v>
      </c>
      <c r="D274" s="31" t="s">
        <v>599</v>
      </c>
      <c r="E274" s="31"/>
      <c r="F274" s="31"/>
      <c r="G274" s="31"/>
      <c r="H274" s="31"/>
      <c r="I274" s="31">
        <f>I275+I276+I277</f>
        <v>42.7101744</v>
      </c>
    </row>
    <row r="275" spans="2:9" x14ac:dyDescent="0.25">
      <c r="C275" s="30" t="s">
        <v>619</v>
      </c>
      <c r="D275" t="s">
        <v>1017</v>
      </c>
      <c r="E275">
        <f>Äquivalente!B153</f>
        <v>2.67</v>
      </c>
      <c r="F275">
        <f>(E23+Betriebsdaten!C43)*'Andere Berechnungen'!C75</f>
        <v>159.9632</v>
      </c>
      <c r="G275">
        <v>10</v>
      </c>
      <c r="H275">
        <f>F275*E275/G275</f>
        <v>42.7101744</v>
      </c>
      <c r="I275">
        <f>H275*Betriebsdaten!C267</f>
        <v>42.7101744</v>
      </c>
    </row>
    <row r="276" spans="2:9" x14ac:dyDescent="0.25">
      <c r="C276" s="30" t="s">
        <v>596</v>
      </c>
      <c r="D276" t="s">
        <v>1018</v>
      </c>
      <c r="E276">
        <f>Äquivalente!B154</f>
        <v>2.67</v>
      </c>
      <c r="F276">
        <f>(E23/3+Betriebsdaten!C43)*'Andere Berechnungen'!C76</f>
        <v>527.20000000000005</v>
      </c>
      <c r="G276">
        <v>15</v>
      </c>
      <c r="H276">
        <f t="shared" ref="H276:H277" si="16">F276*E276/G276</f>
        <v>93.8416</v>
      </c>
      <c r="I276">
        <f>H276*Betriebsdaten!C268</f>
        <v>0</v>
      </c>
    </row>
    <row r="277" spans="2:9" x14ac:dyDescent="0.25">
      <c r="C277" s="30" t="s">
        <v>597</v>
      </c>
      <c r="D277" t="s">
        <v>598</v>
      </c>
      <c r="E277">
        <f>Äquivalente!B155</f>
        <v>2.67</v>
      </c>
      <c r="F277">
        <f>(SQRT(E11))*2.5*'Andere Berechnungen'!C77</f>
        <v>23.570226039551585</v>
      </c>
      <c r="G277">
        <v>15</v>
      </c>
      <c r="H277">
        <f t="shared" si="16"/>
        <v>4.195500235040182</v>
      </c>
      <c r="I277">
        <f>H277*Betriebsdaten!C269</f>
        <v>0</v>
      </c>
    </row>
    <row r="279" spans="2:9" x14ac:dyDescent="0.25">
      <c r="E279" t="s">
        <v>356</v>
      </c>
      <c r="F279" t="s">
        <v>318</v>
      </c>
      <c r="G279" t="s">
        <v>1019</v>
      </c>
      <c r="H279" t="s">
        <v>85</v>
      </c>
    </row>
    <row r="280" spans="2:9" x14ac:dyDescent="0.25">
      <c r="B280" s="31" t="s">
        <v>610</v>
      </c>
      <c r="C280" s="31"/>
      <c r="D280" s="31"/>
      <c r="E280" s="31"/>
      <c r="F280" s="31"/>
      <c r="G280" s="31"/>
      <c r="H280" s="31">
        <f>H281+H282+H283</f>
        <v>3.2318592000000002</v>
      </c>
      <c r="I280" s="55"/>
    </row>
    <row r="281" spans="2:9" x14ac:dyDescent="0.25">
      <c r="C281" s="30" t="s">
        <v>611</v>
      </c>
      <c r="D281" t="s">
        <v>612</v>
      </c>
      <c r="E281">
        <f>Äquivalente!B163</f>
        <v>1.73</v>
      </c>
      <c r="F281">
        <f>Betriebsdaten!C281</f>
        <v>1</v>
      </c>
      <c r="G281">
        <v>1</v>
      </c>
      <c r="H281">
        <f>F281*E281</f>
        <v>1.73</v>
      </c>
    </row>
    <row r="282" spans="2:9" x14ac:dyDescent="0.25">
      <c r="C282" s="30" t="s">
        <v>613</v>
      </c>
      <c r="D282" t="s">
        <v>612</v>
      </c>
      <c r="E282">
        <f>Äquivalente!B164</f>
        <v>0.748</v>
      </c>
      <c r="F282">
        <f>Betriebsdaten!C282</f>
        <v>2</v>
      </c>
      <c r="G282">
        <v>1</v>
      </c>
      <c r="H282">
        <f>F282*E282</f>
        <v>1.496</v>
      </c>
    </row>
    <row r="283" spans="2:9" x14ac:dyDescent="0.25">
      <c r="C283" s="30" t="s">
        <v>1036</v>
      </c>
      <c r="D283" t="s">
        <v>1034</v>
      </c>
      <c r="E283">
        <f>Äquivalente!B165</f>
        <v>3.6620000000000003E-3</v>
      </c>
      <c r="F283">
        <f>Betriebsdaten!C283</f>
        <v>80</v>
      </c>
      <c r="G283">
        <v>50</v>
      </c>
      <c r="H283">
        <f>F283/G283*E283</f>
        <v>5.859200000000001E-3</v>
      </c>
    </row>
    <row r="284" spans="2:9" x14ac:dyDescent="0.25">
      <c r="C284" s="30"/>
    </row>
    <row r="285" spans="2:9" x14ac:dyDescent="0.25">
      <c r="E285" t="s">
        <v>356</v>
      </c>
      <c r="F285" t="s">
        <v>318</v>
      </c>
      <c r="G285" t="s">
        <v>994</v>
      </c>
      <c r="H285" t="s">
        <v>85</v>
      </c>
    </row>
    <row r="286" spans="2:9" x14ac:dyDescent="0.25">
      <c r="B286" s="31" t="s">
        <v>196</v>
      </c>
      <c r="C286" s="31" t="s">
        <v>602</v>
      </c>
      <c r="D286" s="31" t="s">
        <v>608</v>
      </c>
      <c r="E286" s="31"/>
      <c r="F286" s="31"/>
      <c r="G286" s="31"/>
      <c r="H286" s="31">
        <f>H287+H288+H289+H290+H291+H292</f>
        <v>71.666724249999987</v>
      </c>
      <c r="I286" s="55"/>
    </row>
    <row r="287" spans="2:9" x14ac:dyDescent="0.25">
      <c r="C287" s="30" t="s">
        <v>603</v>
      </c>
      <c r="D287" t="s">
        <v>1024</v>
      </c>
      <c r="E287">
        <f>Äquivalente!B168</f>
        <v>2.67</v>
      </c>
      <c r="F287">
        <f>Betriebsdaten!C284</f>
        <v>10</v>
      </c>
      <c r="G287">
        <f>Betriebsdaten!C285</f>
        <v>10</v>
      </c>
      <c r="H287">
        <f>F287*E287/G287</f>
        <v>2.67</v>
      </c>
    </row>
    <row r="288" spans="2:9" x14ac:dyDescent="0.25">
      <c r="C288" s="30" t="s">
        <v>604</v>
      </c>
      <c r="D288" t="s">
        <v>1024</v>
      </c>
      <c r="E288">
        <f>Äquivalente!B169</f>
        <v>1.5641297000000001</v>
      </c>
      <c r="F288">
        <f>Betriebsdaten!C286</f>
        <v>5</v>
      </c>
      <c r="G288">
        <f>Betriebsdaten!C287</f>
        <v>2</v>
      </c>
      <c r="H288">
        <f t="shared" ref="H288:H292" si="17">F288*E288/G288</f>
        <v>3.9103242500000004</v>
      </c>
    </row>
    <row r="289" spans="2:9" x14ac:dyDescent="0.25">
      <c r="C289" s="30" t="s">
        <v>605</v>
      </c>
      <c r="D289" t="s">
        <v>1024</v>
      </c>
      <c r="E289">
        <f>Äquivalente!B170</f>
        <v>14.6</v>
      </c>
      <c r="F289">
        <f>Betriebsdaten!C288</f>
        <v>8</v>
      </c>
      <c r="G289">
        <f>Betriebsdaten!C289</f>
        <v>2</v>
      </c>
      <c r="H289">
        <f t="shared" si="17"/>
        <v>58.4</v>
      </c>
    </row>
    <row r="290" spans="2:9" x14ac:dyDescent="0.25">
      <c r="C290" s="30" t="s">
        <v>606</v>
      </c>
      <c r="D290" t="s">
        <v>1024</v>
      </c>
      <c r="E290">
        <f>Äquivalente!B171</f>
        <v>1.73</v>
      </c>
      <c r="F290">
        <f>Betriebsdaten!C290</f>
        <v>6</v>
      </c>
      <c r="G290">
        <f>Betriebsdaten!C291</f>
        <v>2</v>
      </c>
      <c r="H290">
        <f t="shared" si="17"/>
        <v>5.1899999999999995</v>
      </c>
    </row>
    <row r="291" spans="2:9" x14ac:dyDescent="0.25">
      <c r="C291" s="30" t="s">
        <v>607</v>
      </c>
      <c r="D291" t="s">
        <v>1024</v>
      </c>
      <c r="E291">
        <f>Äquivalente!B172</f>
        <v>4.4000000000000003E-3</v>
      </c>
      <c r="F291">
        <f>Betriebsdaten!C292</f>
        <v>6</v>
      </c>
      <c r="G291">
        <f>Betriebsdaten!C293</f>
        <v>66</v>
      </c>
      <c r="H291">
        <f t="shared" si="17"/>
        <v>4.0000000000000002E-4</v>
      </c>
    </row>
    <row r="292" spans="2:9" x14ac:dyDescent="0.25">
      <c r="C292" s="30" t="s">
        <v>622</v>
      </c>
      <c r="D292" t="s">
        <v>1024</v>
      </c>
      <c r="E292">
        <f>Äquivalente!B173</f>
        <v>0.748</v>
      </c>
      <c r="F292">
        <f>Betriebsdaten!C294</f>
        <v>4</v>
      </c>
      <c r="G292">
        <f>Betriebsdaten!C295</f>
        <v>2</v>
      </c>
      <c r="H292">
        <f t="shared" si="17"/>
        <v>1.496</v>
      </c>
    </row>
    <row r="293" spans="2:9" s="15" customFormat="1" x14ac:dyDescent="0.25"/>
    <row r="294" spans="2:9" x14ac:dyDescent="0.25">
      <c r="E294" t="s">
        <v>1046</v>
      </c>
      <c r="F294" t="s">
        <v>1044</v>
      </c>
      <c r="G294" t="s">
        <v>85</v>
      </c>
    </row>
    <row r="295" spans="2:9" x14ac:dyDescent="0.25">
      <c r="B295" s="31" t="s">
        <v>1039</v>
      </c>
      <c r="C295" s="31"/>
      <c r="D295" s="31"/>
      <c r="E295" s="31"/>
      <c r="F295" s="31"/>
      <c r="G295" s="31">
        <f>G296+G297+G298+G299</f>
        <v>134400</v>
      </c>
      <c r="H295" s="55"/>
      <c r="I295" s="55"/>
    </row>
    <row r="296" spans="2:9" x14ac:dyDescent="0.25">
      <c r="B296" s="15"/>
      <c r="C296" s="30" t="s">
        <v>1040</v>
      </c>
      <c r="D296" s="15" t="s">
        <v>1081</v>
      </c>
      <c r="E296">
        <f>Äquivalente!B137</f>
        <v>0.112</v>
      </c>
      <c r="F296">
        <f>Ertrag!B7</f>
        <v>8000</v>
      </c>
      <c r="G296">
        <f>F296*Betriebsdaten!C296*E296</f>
        <v>71680</v>
      </c>
    </row>
    <row r="297" spans="2:9" x14ac:dyDescent="0.25">
      <c r="C297" s="30" t="s">
        <v>1041</v>
      </c>
      <c r="D297" s="15" t="s">
        <v>1081</v>
      </c>
      <c r="E297">
        <f>Äquivalente!B137</f>
        <v>0.112</v>
      </c>
      <c r="F297">
        <f>Ertrag!C7</f>
        <v>4000</v>
      </c>
      <c r="G297">
        <f>F297*Betriebsdaten!C296*E297</f>
        <v>35840</v>
      </c>
    </row>
    <row r="298" spans="2:9" x14ac:dyDescent="0.25">
      <c r="C298" s="30" t="s">
        <v>1042</v>
      </c>
      <c r="D298" s="15" t="s">
        <v>1081</v>
      </c>
      <c r="E298">
        <f>Äquivalente!B137</f>
        <v>0.112</v>
      </c>
      <c r="F298">
        <f>Ertrag!D7</f>
        <v>3000</v>
      </c>
      <c r="G298">
        <f>F298*Betriebsdaten!C296*E298</f>
        <v>26880</v>
      </c>
    </row>
    <row r="299" spans="2:9" x14ac:dyDescent="0.25">
      <c r="C299" s="30" t="s">
        <v>1043</v>
      </c>
      <c r="D299" s="15" t="s">
        <v>1081</v>
      </c>
      <c r="E299">
        <f>Äquivalente!B137</f>
        <v>0.112</v>
      </c>
      <c r="F299">
        <f>Ertrag!E7</f>
        <v>0</v>
      </c>
      <c r="G299">
        <f>F299*Betriebsdaten!C296*E299</f>
        <v>0</v>
      </c>
    </row>
    <row r="301" spans="2:9" x14ac:dyDescent="0.25">
      <c r="B301" s="15"/>
      <c r="C301" s="15"/>
      <c r="D301" s="15"/>
    </row>
    <row r="302" spans="2:9" x14ac:dyDescent="0.25">
      <c r="B302" s="15"/>
      <c r="C302" s="15"/>
      <c r="D302" s="15"/>
      <c r="E302">
        <v>3.24</v>
      </c>
      <c r="F302" t="s">
        <v>625</v>
      </c>
      <c r="G302">
        <v>20</v>
      </c>
      <c r="H302" t="s">
        <v>623</v>
      </c>
    </row>
    <row r="304" spans="2:9" x14ac:dyDescent="0.25">
      <c r="E304" t="s">
        <v>827</v>
      </c>
      <c r="F304" t="s">
        <v>832</v>
      </c>
      <c r="G304" t="s">
        <v>833</v>
      </c>
    </row>
    <row r="305" spans="2:7" x14ac:dyDescent="0.25">
      <c r="B305" s="31" t="s">
        <v>41</v>
      </c>
      <c r="C305" s="31" t="s">
        <v>436</v>
      </c>
      <c r="D305" s="31"/>
      <c r="E305" s="31">
        <f>Äquivalente!B32</f>
        <v>0.47653412399999989</v>
      </c>
      <c r="F305" s="31">
        <f>F306+F307+F308</f>
        <v>966</v>
      </c>
      <c r="G305" s="31">
        <f>F305*E305</f>
        <v>460.33196378399987</v>
      </c>
    </row>
    <row r="306" spans="2:7" x14ac:dyDescent="0.25">
      <c r="C306" t="s">
        <v>826</v>
      </c>
      <c r="F306">
        <f>Betriebsdaten!C298*Betriebsdaten!C300</f>
        <v>966</v>
      </c>
      <c r="G306">
        <f>F305*E306</f>
        <v>0</v>
      </c>
    </row>
    <row r="307" spans="2:7" x14ac:dyDescent="0.25">
      <c r="C307" t="s">
        <v>821</v>
      </c>
      <c r="F307">
        <f>Betriebsdaten!C302*Betriebsdaten!C304</f>
        <v>0</v>
      </c>
      <c r="G307">
        <f>F305*E307</f>
        <v>0</v>
      </c>
    </row>
    <row r="308" spans="2:7" x14ac:dyDescent="0.25">
      <c r="C308" t="s">
        <v>822</v>
      </c>
      <c r="F308">
        <f>Betriebsdaten!C306*Betriebsdaten!C308</f>
        <v>0</v>
      </c>
      <c r="G308">
        <f>F305*E308</f>
        <v>0</v>
      </c>
    </row>
    <row r="310" spans="2:7" x14ac:dyDescent="0.25">
      <c r="E310" t="s">
        <v>966</v>
      </c>
      <c r="F310" t="s">
        <v>1060</v>
      </c>
      <c r="G310" t="s">
        <v>85</v>
      </c>
    </row>
    <row r="311" spans="2:7" x14ac:dyDescent="0.25">
      <c r="B311" s="31" t="s">
        <v>1003</v>
      </c>
      <c r="C311" s="31"/>
      <c r="D311" s="31"/>
      <c r="E311" s="31"/>
      <c r="F311" s="31"/>
      <c r="G311" s="31"/>
    </row>
    <row r="312" spans="2:7" x14ac:dyDescent="0.25">
      <c r="C312" t="s">
        <v>1050</v>
      </c>
      <c r="D312" t="s">
        <v>1059</v>
      </c>
      <c r="E312">
        <f>Äquivalente!B176</f>
        <v>1</v>
      </c>
      <c r="G312">
        <f>F312*E312</f>
        <v>0</v>
      </c>
    </row>
    <row r="313" spans="2:7" x14ac:dyDescent="0.25">
      <c r="C313" t="s">
        <v>1051</v>
      </c>
      <c r="D313" t="s">
        <v>1059</v>
      </c>
      <c r="E313">
        <f>Äquivalente!B177</f>
        <v>1</v>
      </c>
      <c r="G313">
        <f t="shared" ref="G313:G315" si="18">F313*E313</f>
        <v>0</v>
      </c>
    </row>
    <row r="314" spans="2:7" x14ac:dyDescent="0.25">
      <c r="C314" t="s">
        <v>1052</v>
      </c>
      <c r="D314" t="s">
        <v>1059</v>
      </c>
      <c r="E314">
        <f>Äquivalente!B178</f>
        <v>1</v>
      </c>
      <c r="G314">
        <f t="shared" si="18"/>
        <v>0</v>
      </c>
    </row>
    <row r="315" spans="2:7" x14ac:dyDescent="0.25">
      <c r="C315" t="s">
        <v>1053</v>
      </c>
      <c r="D315" t="s">
        <v>1059</v>
      </c>
      <c r="E315">
        <f>Äquivalente!B179</f>
        <v>1</v>
      </c>
      <c r="G315">
        <f t="shared" si="18"/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06"/>
  <sheetViews>
    <sheetView zoomScale="90" zoomScaleNormal="90" workbookViewId="0">
      <selection activeCell="B20" sqref="B20"/>
    </sheetView>
  </sheetViews>
  <sheetFormatPr baseColWidth="10" defaultRowHeight="15" x14ac:dyDescent="0.25"/>
  <cols>
    <col min="2" max="2" width="24.85546875" customWidth="1"/>
    <col min="3" max="3" width="19.42578125" customWidth="1"/>
    <col min="4" max="4" width="12" customWidth="1"/>
    <col min="5" max="5" width="27.140625" customWidth="1"/>
    <col min="6" max="6" width="11.85546875" customWidth="1"/>
    <col min="7" max="7" width="15.28515625" customWidth="1"/>
    <col min="8" max="8" width="12.5703125" customWidth="1"/>
    <col min="9" max="9" width="14" customWidth="1"/>
  </cols>
  <sheetData>
    <row r="1" spans="1:11" x14ac:dyDescent="0.25">
      <c r="A1" s="9" t="s">
        <v>1085</v>
      </c>
    </row>
    <row r="2" spans="1:11" x14ac:dyDescent="0.25">
      <c r="A2" s="29"/>
      <c r="B2" s="31"/>
      <c r="C2" s="29"/>
      <c r="D2" s="29"/>
      <c r="E2" s="29"/>
      <c r="F2" s="29"/>
      <c r="G2" s="29"/>
      <c r="H2" s="29"/>
      <c r="I2" s="29"/>
      <c r="J2" s="29"/>
      <c r="K2" s="29"/>
    </row>
    <row r="3" spans="1:11" x14ac:dyDescent="0.25">
      <c r="A3" s="29"/>
      <c r="B3" s="9" t="s">
        <v>1067</v>
      </c>
      <c r="C3">
        <f>C5+C6+C7+C8</f>
        <v>1051418337.9744085</v>
      </c>
      <c r="E3" s="29"/>
      <c r="F3" s="29"/>
      <c r="G3" s="29"/>
      <c r="H3" s="29"/>
      <c r="I3" s="29"/>
      <c r="J3" s="29"/>
      <c r="K3" s="29"/>
    </row>
    <row r="4" spans="1:11" x14ac:dyDescent="0.25">
      <c r="A4" s="29"/>
      <c r="B4" t="s">
        <v>5</v>
      </c>
      <c r="C4" t="s">
        <v>1028</v>
      </c>
      <c r="D4" t="s">
        <v>161</v>
      </c>
      <c r="E4" s="29"/>
      <c r="F4" s="29"/>
      <c r="G4" s="29"/>
      <c r="H4" s="29"/>
      <c r="I4" s="29"/>
      <c r="J4" s="29"/>
      <c r="K4" s="29"/>
    </row>
    <row r="5" spans="1:11" x14ac:dyDescent="0.25">
      <c r="A5" s="29"/>
      <c r="B5" t="s">
        <v>1049</v>
      </c>
      <c r="C5" s="68">
        <f>Kalkulation!D47</f>
        <v>5613.4293333333335</v>
      </c>
      <c r="D5" s="53">
        <f>C5/C3</f>
        <v>5.3389113834059492E-6</v>
      </c>
      <c r="E5" s="29"/>
      <c r="F5" s="29"/>
      <c r="G5" s="29"/>
      <c r="H5" s="29"/>
      <c r="I5" s="29"/>
      <c r="J5" s="29"/>
      <c r="K5" s="29"/>
    </row>
    <row r="6" spans="1:11" x14ac:dyDescent="0.25">
      <c r="A6" s="29"/>
      <c r="B6" t="s">
        <v>88</v>
      </c>
      <c r="C6" s="68">
        <f>Kalkulation!D122</f>
        <v>1043331972.1615211</v>
      </c>
      <c r="D6" s="53">
        <f>C6/C3</f>
        <v>0.99230908809478624</v>
      </c>
      <c r="E6" s="29"/>
      <c r="F6" s="29"/>
      <c r="G6" s="29"/>
      <c r="H6" s="29"/>
      <c r="I6" s="29"/>
      <c r="J6" s="29"/>
      <c r="K6" s="29"/>
    </row>
    <row r="7" spans="1:11" x14ac:dyDescent="0.25">
      <c r="A7" s="29"/>
      <c r="B7" t="s">
        <v>116</v>
      </c>
      <c r="C7" s="68">
        <f>Kalkulation!D154</f>
        <v>42935.885999999999</v>
      </c>
      <c r="D7" s="53">
        <f>C7/C3</f>
        <v>4.0836158595747314E-5</v>
      </c>
      <c r="E7" s="29"/>
      <c r="F7" s="29"/>
      <c r="G7" s="29"/>
      <c r="H7" s="29"/>
      <c r="I7" s="29"/>
      <c r="J7" s="29"/>
      <c r="K7" s="29"/>
    </row>
    <row r="8" spans="1:11" x14ac:dyDescent="0.25">
      <c r="A8" s="29"/>
      <c r="B8" t="s">
        <v>146</v>
      </c>
      <c r="C8" s="68">
        <f>Kalkulation!D224</f>
        <v>8037816.4975541122</v>
      </c>
      <c r="D8" s="53">
        <f>C8/C3</f>
        <v>7.644736835234609E-3</v>
      </c>
      <c r="E8" s="29"/>
      <c r="F8" s="29"/>
      <c r="G8" s="29"/>
      <c r="H8" s="29"/>
      <c r="I8" s="29"/>
      <c r="J8" s="29"/>
      <c r="K8" s="29"/>
    </row>
    <row r="9" spans="1:11" x14ac:dyDescent="0.25">
      <c r="A9" s="29"/>
      <c r="B9" t="s">
        <v>1061</v>
      </c>
      <c r="C9" s="68">
        <f>SUBTOTAL(109,Tabelle3[kg CO2eq])</f>
        <v>1051418337.9744085</v>
      </c>
      <c r="D9" s="53"/>
      <c r="E9" s="29"/>
      <c r="F9" s="29"/>
      <c r="G9" s="29"/>
      <c r="H9" s="29"/>
      <c r="I9" s="29"/>
      <c r="J9" s="29"/>
      <c r="K9" s="29"/>
    </row>
    <row r="10" spans="1:11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</row>
    <row r="11" spans="1:11" x14ac:dyDescent="0.25">
      <c r="A11" s="29"/>
      <c r="B11" s="29"/>
      <c r="C11" s="70">
        <f>Tabelle3[[#Totals],[kg CO2eq]]/1000</f>
        <v>1051418.3379744084</v>
      </c>
      <c r="D11" s="31" t="s">
        <v>1062</v>
      </c>
      <c r="E11" s="29"/>
      <c r="F11" s="29"/>
      <c r="G11" s="29"/>
      <c r="H11" s="29"/>
      <c r="I11" s="29"/>
      <c r="J11" s="29"/>
      <c r="K11" s="29"/>
    </row>
    <row r="12" spans="1:11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</row>
    <row r="13" spans="1:11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</row>
    <row r="14" spans="1:11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1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</row>
    <row r="18" spans="1:1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22" spans="1:11" ht="15.75" x14ac:dyDescent="0.25">
      <c r="B22" s="69" t="s">
        <v>1049</v>
      </c>
      <c r="C22">
        <f>C24+C25+C26+C27+C28+C29</f>
        <v>5613.4293333333335</v>
      </c>
    </row>
    <row r="23" spans="1:11" x14ac:dyDescent="0.25">
      <c r="B23" t="s">
        <v>1063</v>
      </c>
      <c r="C23" t="s">
        <v>1028</v>
      </c>
      <c r="D23" t="s">
        <v>161</v>
      </c>
    </row>
    <row r="24" spans="1:11" x14ac:dyDescent="0.25">
      <c r="B24" t="s">
        <v>857</v>
      </c>
      <c r="C24">
        <f>Kalkulation!O50+Kalkulation!O69+Kalkulation!O88+Kalkulation!O91</f>
        <v>2911.8613333333333</v>
      </c>
      <c r="D24" s="53">
        <f>C24/C22</f>
        <v>0.51873127110415207</v>
      </c>
    </row>
    <row r="25" spans="1:11" x14ac:dyDescent="0.25">
      <c r="B25" t="s">
        <v>1064</v>
      </c>
      <c r="C25">
        <f>Kalkulation!O96</f>
        <v>0</v>
      </c>
      <c r="D25" s="53">
        <f>C25/C22</f>
        <v>0</v>
      </c>
    </row>
    <row r="26" spans="1:11" x14ac:dyDescent="0.25">
      <c r="B26" t="s">
        <v>1065</v>
      </c>
      <c r="C26">
        <f>Kalkulation!K103</f>
        <v>0</v>
      </c>
      <c r="D26" s="53">
        <f>C26/C22</f>
        <v>0</v>
      </c>
    </row>
    <row r="27" spans="1:11" x14ac:dyDescent="0.25">
      <c r="B27" t="s">
        <v>42</v>
      </c>
      <c r="C27">
        <f>Kalkulation!O110</f>
        <v>2701.5679999999998</v>
      </c>
      <c r="D27" s="53">
        <f>C27/C22</f>
        <v>0.48126872889584782</v>
      </c>
    </row>
    <row r="28" spans="1:11" x14ac:dyDescent="0.25">
      <c r="B28" t="s">
        <v>269</v>
      </c>
      <c r="C28">
        <f>Kalkulation!O113</f>
        <v>0</v>
      </c>
      <c r="D28" s="53">
        <f>C28/C22</f>
        <v>0</v>
      </c>
    </row>
    <row r="29" spans="1:11" x14ac:dyDescent="0.25">
      <c r="B29" t="s">
        <v>1066</v>
      </c>
      <c r="C29">
        <f>Kalkulation!O117</f>
        <v>0</v>
      </c>
      <c r="D29" s="53">
        <f>C29/C22</f>
        <v>0</v>
      </c>
    </row>
    <row r="30" spans="1:11" x14ac:dyDescent="0.25">
      <c r="B30" t="s">
        <v>1061</v>
      </c>
      <c r="C30">
        <f>SUBTOTAL(109,Tabelle4[kg CO2eq])</f>
        <v>5613.4293333333335</v>
      </c>
      <c r="D30" s="53"/>
    </row>
    <row r="39" spans="2:7" ht="15.75" x14ac:dyDescent="0.25">
      <c r="B39" s="69" t="s">
        <v>88</v>
      </c>
      <c r="C39">
        <f>C41+C42</f>
        <v>1043331972.1615211</v>
      </c>
    </row>
    <row r="40" spans="2:7" x14ac:dyDescent="0.25">
      <c r="B40" t="s">
        <v>1068</v>
      </c>
      <c r="C40" t="s">
        <v>1069</v>
      </c>
      <c r="D40" t="s">
        <v>161</v>
      </c>
    </row>
    <row r="41" spans="2:7" x14ac:dyDescent="0.25">
      <c r="B41" t="s">
        <v>514</v>
      </c>
      <c r="C41">
        <f>Kalkulation!K125</f>
        <v>1043328103.2103955</v>
      </c>
      <c r="D41" s="53">
        <f>C41/C39</f>
        <v>0.99999629173529725</v>
      </c>
    </row>
    <row r="42" spans="2:7" x14ac:dyDescent="0.25">
      <c r="B42" t="s">
        <v>100</v>
      </c>
      <c r="C42">
        <f>Kalkulation!M138</f>
        <v>3868.9511256000001</v>
      </c>
      <c r="D42" s="53">
        <f>C42/C39</f>
        <v>3.7082647027335968E-6</v>
      </c>
    </row>
    <row r="43" spans="2:7" x14ac:dyDescent="0.25">
      <c r="B43" t="s">
        <v>1061</v>
      </c>
      <c r="C43">
        <f>SUBTOTAL(109,Tabelle5[kg CO2 eq])</f>
        <v>1043331972.1615211</v>
      </c>
      <c r="D43" s="53"/>
    </row>
    <row r="46" spans="2:7" ht="15.75" x14ac:dyDescent="0.25">
      <c r="E46" s="69" t="s">
        <v>514</v>
      </c>
    </row>
    <row r="47" spans="2:7" x14ac:dyDescent="0.25">
      <c r="E47" t="s">
        <v>1068</v>
      </c>
      <c r="F47" t="s">
        <v>1069</v>
      </c>
      <c r="G47" t="s">
        <v>161</v>
      </c>
    </row>
    <row r="48" spans="2:7" x14ac:dyDescent="0.25">
      <c r="E48" s="35" t="s">
        <v>89</v>
      </c>
      <c r="F48" s="67">
        <f>Kalkulation!K126</f>
        <v>2.3258785942492013</v>
      </c>
      <c r="G48" s="53">
        <f>F48/C41</f>
        <v>2.2292877830974799E-9</v>
      </c>
    </row>
    <row r="49" spans="5:9" x14ac:dyDescent="0.25">
      <c r="E49" s="35" t="s">
        <v>93</v>
      </c>
      <c r="F49" s="67">
        <f>Kalkulation!K127</f>
        <v>1.3569999999999998</v>
      </c>
      <c r="G49" s="53">
        <f>F49/C41</f>
        <v>1.3006454976381959E-9</v>
      </c>
    </row>
    <row r="50" spans="5:9" x14ac:dyDescent="0.25">
      <c r="E50" s="35" t="s">
        <v>90</v>
      </c>
      <c r="F50" s="67">
        <f>Kalkulation!K128</f>
        <v>3523.016005284524</v>
      </c>
      <c r="G50" s="53">
        <f>F50/C41</f>
        <v>3.3767095839208692E-6</v>
      </c>
    </row>
    <row r="51" spans="5:9" x14ac:dyDescent="0.25">
      <c r="E51" s="35" t="s">
        <v>91</v>
      </c>
      <c r="F51" s="67">
        <f>Kalkulation!K129</f>
        <v>689.13</v>
      </c>
      <c r="G51" s="53">
        <f>F51/C41</f>
        <v>6.6051129829580696E-7</v>
      </c>
    </row>
    <row r="52" spans="5:9" x14ac:dyDescent="0.25">
      <c r="E52" s="35" t="s">
        <v>94</v>
      </c>
      <c r="F52" s="67">
        <f>Kalkulation!K130</f>
        <v>60.715200000000003</v>
      </c>
      <c r="G52" s="53">
        <f>F52/C41</f>
        <v>5.819377414753324E-8</v>
      </c>
    </row>
    <row r="53" spans="5:9" x14ac:dyDescent="0.25">
      <c r="E53" s="35" t="s">
        <v>92</v>
      </c>
      <c r="F53" s="67">
        <f>Kalkulation!K131</f>
        <v>7</v>
      </c>
      <c r="G53" s="53">
        <f>F53/C41</f>
        <v>6.7092988087453E-9</v>
      </c>
    </row>
    <row r="54" spans="5:9" x14ac:dyDescent="0.25">
      <c r="E54" s="35" t="s">
        <v>868</v>
      </c>
      <c r="F54" s="67">
        <f>Kalkulation!K132</f>
        <v>0</v>
      </c>
      <c r="G54" s="53">
        <f>F54/C41</f>
        <v>0</v>
      </c>
    </row>
    <row r="55" spans="5:9" x14ac:dyDescent="0.25">
      <c r="E55" s="35" t="s">
        <v>532</v>
      </c>
      <c r="F55" s="67">
        <f>Kalkulation!K133</f>
        <v>0</v>
      </c>
      <c r="G55" s="53">
        <f>F55/C41</f>
        <v>0</v>
      </c>
    </row>
    <row r="56" spans="5:9" x14ac:dyDescent="0.25">
      <c r="E56" s="35" t="s">
        <v>874</v>
      </c>
      <c r="F56" s="67">
        <f>Kalkulation!K134</f>
        <v>884549520.7667731</v>
      </c>
      <c r="G56" s="53">
        <f>F56/C41</f>
        <v>0.84781529227953389</v>
      </c>
    </row>
    <row r="57" spans="5:9" x14ac:dyDescent="0.25">
      <c r="E57" s="35" t="s">
        <v>869</v>
      </c>
      <c r="F57" s="67">
        <f>Kalkulation!K135</f>
        <v>158774298.89953852</v>
      </c>
      <c r="G57" s="53">
        <f>F57/C41</f>
        <v>0.15218060206657771</v>
      </c>
    </row>
    <row r="58" spans="5:9" x14ac:dyDescent="0.25">
      <c r="E58" s="35" t="s">
        <v>1061</v>
      </c>
      <c r="F58" s="67">
        <f>SUBTOTAL(109,Tabelle6[kg CO2 eq])</f>
        <v>1043328103.2103955</v>
      </c>
      <c r="G58" s="53"/>
    </row>
    <row r="62" spans="5:9" ht="15.75" x14ac:dyDescent="0.25">
      <c r="E62" s="69" t="s">
        <v>100</v>
      </c>
    </row>
    <row r="63" spans="5:9" x14ac:dyDescent="0.25">
      <c r="E63" t="s">
        <v>1068</v>
      </c>
      <c r="F63" t="s">
        <v>1069</v>
      </c>
      <c r="G63" t="s">
        <v>1070</v>
      </c>
      <c r="H63" t="s">
        <v>1071</v>
      </c>
      <c r="I63" t="s">
        <v>1074</v>
      </c>
    </row>
    <row r="64" spans="5:9" x14ac:dyDescent="0.25">
      <c r="E64" s="15" t="s">
        <v>526</v>
      </c>
      <c r="F64">
        <f>Kalkulation!M139</f>
        <v>3409.4581052631579</v>
      </c>
      <c r="G64" s="53">
        <f>F64/C42</f>
        <v>0.88123576508979973</v>
      </c>
      <c r="H64" s="53">
        <f>Kalkulation!I139</f>
        <v>0.35087719298245618</v>
      </c>
      <c r="I64">
        <f>F64/Kalkulation!H139</f>
        <v>0.48499999999999999</v>
      </c>
    </row>
    <row r="65" spans="2:9" x14ac:dyDescent="0.25">
      <c r="E65" s="15" t="s">
        <v>527</v>
      </c>
      <c r="F65">
        <f>Kalkulation!M140</f>
        <v>204.93303646315795</v>
      </c>
      <c r="G65" s="53">
        <f>F65/C42</f>
        <v>5.2968628915253294E-2</v>
      </c>
      <c r="H65" s="53">
        <f>Kalkulation!I140</f>
        <v>0.4210526315789474</v>
      </c>
      <c r="I65">
        <f>F65/Kalkulation!H139</f>
        <v>2.9152000000000008E-2</v>
      </c>
    </row>
    <row r="66" spans="2:9" x14ac:dyDescent="0.25">
      <c r="E66" s="15" t="s">
        <v>528</v>
      </c>
      <c r="F66">
        <f>Kalkulation!M141</f>
        <v>254.55998387368425</v>
      </c>
      <c r="G66" s="53">
        <f>F66/C42</f>
        <v>6.5795605994946979E-2</v>
      </c>
      <c r="H66" s="53">
        <f>Kalkulation!I141</f>
        <v>0.22807017543859651</v>
      </c>
      <c r="I66">
        <f>F66/Kalkulation!H139</f>
        <v>3.6211500000000008E-2</v>
      </c>
    </row>
    <row r="67" spans="2:9" x14ac:dyDescent="0.25">
      <c r="E67" s="15" t="s">
        <v>529</v>
      </c>
      <c r="F67">
        <f>Kalkulation!M142</f>
        <v>0</v>
      </c>
      <c r="G67" s="53">
        <f>F67/C42</f>
        <v>0</v>
      </c>
      <c r="H67" s="53">
        <f>Kalkulation!I142</f>
        <v>0</v>
      </c>
      <c r="I67">
        <f>F67/Kalkulation!H139</f>
        <v>0</v>
      </c>
    </row>
    <row r="68" spans="2:9" x14ac:dyDescent="0.25">
      <c r="E68" s="15" t="s">
        <v>530</v>
      </c>
      <c r="F68">
        <f>Kalkulation!M143</f>
        <v>0</v>
      </c>
      <c r="G68" s="53">
        <f>F68/C42</f>
        <v>0</v>
      </c>
      <c r="H68" s="53">
        <f>Kalkulation!I143</f>
        <v>0</v>
      </c>
      <c r="I68">
        <f>F68/Kalkulation!H139</f>
        <v>0</v>
      </c>
    </row>
    <row r="69" spans="2:9" x14ac:dyDescent="0.25">
      <c r="E69" s="15" t="s">
        <v>531</v>
      </c>
      <c r="F69">
        <f>Kalkulation!M144</f>
        <v>0</v>
      </c>
      <c r="G69" s="53">
        <f>F69/C42</f>
        <v>0</v>
      </c>
      <c r="H69" s="53">
        <f>Kalkulation!I144</f>
        <v>0</v>
      </c>
      <c r="I69">
        <f>F69/Kalkulation!H139</f>
        <v>0</v>
      </c>
    </row>
    <row r="70" spans="2:9" x14ac:dyDescent="0.25">
      <c r="E70" s="15" t="s">
        <v>532</v>
      </c>
      <c r="F70">
        <f>Kalkulation!M145</f>
        <v>0</v>
      </c>
      <c r="G70" s="53">
        <f>F70/C42</f>
        <v>0</v>
      </c>
      <c r="H70" s="53">
        <f>Kalkulation!I145</f>
        <v>0</v>
      </c>
      <c r="I70">
        <f>F70/Kalkulation!H139</f>
        <v>0</v>
      </c>
    </row>
    <row r="71" spans="2:9" x14ac:dyDescent="0.25">
      <c r="E71" s="15" t="s">
        <v>883</v>
      </c>
      <c r="F71">
        <f>Kalkulation!M146</f>
        <v>0</v>
      </c>
      <c r="G71" s="53">
        <f>F71/C42</f>
        <v>0</v>
      </c>
      <c r="H71" s="53">
        <f>Kalkulation!I146</f>
        <v>0</v>
      </c>
      <c r="I71">
        <f>F71/Kalkulation!H139</f>
        <v>0</v>
      </c>
    </row>
    <row r="72" spans="2:9" x14ac:dyDescent="0.25">
      <c r="E72" s="15" t="s">
        <v>884</v>
      </c>
      <c r="F72">
        <f>Kalkulation!M147</f>
        <v>0</v>
      </c>
      <c r="G72" s="53">
        <f>F72/C42</f>
        <v>0</v>
      </c>
      <c r="H72" s="53">
        <f>Kalkulation!I147</f>
        <v>0</v>
      </c>
      <c r="I72">
        <f>F72/Kalkulation!H139</f>
        <v>0</v>
      </c>
    </row>
    <row r="73" spans="2:9" x14ac:dyDescent="0.25">
      <c r="E73" s="15" t="s">
        <v>624</v>
      </c>
      <c r="F73">
        <f>Kalkulation!M148</f>
        <v>0</v>
      </c>
      <c r="G73" s="53">
        <f>F73/C42</f>
        <v>0</v>
      </c>
      <c r="H73" s="53">
        <f>Kalkulation!I148</f>
        <v>0</v>
      </c>
      <c r="I73">
        <f>F73/Kalkulation!H139</f>
        <v>0</v>
      </c>
    </row>
    <row r="74" spans="2:9" x14ac:dyDescent="0.25">
      <c r="E74" s="15" t="s">
        <v>1061</v>
      </c>
      <c r="F74">
        <f>SUBTOTAL(109,Tabelle7[kg CO2 eq])</f>
        <v>3868.9511256000001</v>
      </c>
    </row>
    <row r="79" spans="2:9" ht="15.75" x14ac:dyDescent="0.25">
      <c r="B79" s="69" t="s">
        <v>116</v>
      </c>
    </row>
    <row r="80" spans="2:9" x14ac:dyDescent="0.25">
      <c r="B80" t="s">
        <v>1068</v>
      </c>
      <c r="C80" t="s">
        <v>1069</v>
      </c>
      <c r="D80" t="s">
        <v>161</v>
      </c>
    </row>
    <row r="81" spans="2:4" x14ac:dyDescent="0.25">
      <c r="B81" t="s">
        <v>115</v>
      </c>
      <c r="C81">
        <f>Kalkulation!J157</f>
        <v>83.495999999999995</v>
      </c>
      <c r="D81" s="53">
        <f>C81/C7</f>
        <v>1.9446669855607498E-3</v>
      </c>
    </row>
    <row r="82" spans="2:4" x14ac:dyDescent="0.25">
      <c r="B82" t="s">
        <v>548</v>
      </c>
      <c r="C82">
        <f>Kalkulation!I162</f>
        <v>27735.39</v>
      </c>
      <c r="D82" s="53">
        <f>C82/C7</f>
        <v>0.64597222938406351</v>
      </c>
    </row>
    <row r="83" spans="2:4" x14ac:dyDescent="0.25">
      <c r="B83" t="s">
        <v>702</v>
      </c>
      <c r="C83">
        <f>Kalkulation!I208</f>
        <v>14377</v>
      </c>
      <c r="D83" s="53">
        <f>C83/C7</f>
        <v>0.33484810351881411</v>
      </c>
    </row>
    <row r="84" spans="2:4" x14ac:dyDescent="0.25">
      <c r="B84" t="s">
        <v>220</v>
      </c>
      <c r="C84">
        <f>Kalkulation!I213</f>
        <v>740</v>
      </c>
      <c r="D84" s="53">
        <f>C84/C7</f>
        <v>1.7235000111561691E-2</v>
      </c>
    </row>
    <row r="85" spans="2:4" x14ac:dyDescent="0.25">
      <c r="B85" t="s">
        <v>1061</v>
      </c>
      <c r="C85">
        <f>SUBTOTAL(109,Tabelle8[kg CO2 eq])</f>
        <v>42935.885999999999</v>
      </c>
      <c r="D85" s="53"/>
    </row>
    <row r="92" spans="2:4" x14ac:dyDescent="0.25">
      <c r="B92" t="s">
        <v>146</v>
      </c>
    </row>
    <row r="93" spans="2:4" x14ac:dyDescent="0.25">
      <c r="B93" t="s">
        <v>1068</v>
      </c>
      <c r="C93" t="s">
        <v>1069</v>
      </c>
      <c r="D93" t="s">
        <v>161</v>
      </c>
    </row>
    <row r="94" spans="2:4" x14ac:dyDescent="0.25">
      <c r="B94" t="s">
        <v>905</v>
      </c>
    </row>
    <row r="95" spans="2:4" x14ac:dyDescent="0.25">
      <c r="B95" t="s">
        <v>163</v>
      </c>
    </row>
    <row r="96" spans="2:4" x14ac:dyDescent="0.25">
      <c r="B96" t="s">
        <v>968</v>
      </c>
    </row>
    <row r="97" spans="2:2" x14ac:dyDescent="0.25">
      <c r="B97" t="s">
        <v>1075</v>
      </c>
    </row>
    <row r="98" spans="2:2" x14ac:dyDescent="0.25">
      <c r="B98" t="s">
        <v>165</v>
      </c>
    </row>
    <row r="99" spans="2:2" x14ac:dyDescent="0.25">
      <c r="B99" t="s">
        <v>574</v>
      </c>
    </row>
    <row r="100" spans="2:2" x14ac:dyDescent="0.25">
      <c r="B100" t="s">
        <v>1076</v>
      </c>
    </row>
    <row r="101" spans="2:2" x14ac:dyDescent="0.25">
      <c r="B101" t="s">
        <v>1077</v>
      </c>
    </row>
    <row r="102" spans="2:2" x14ac:dyDescent="0.25">
      <c r="B102" t="s">
        <v>610</v>
      </c>
    </row>
    <row r="103" spans="2:2" x14ac:dyDescent="0.25">
      <c r="B103" t="s">
        <v>192</v>
      </c>
    </row>
    <row r="104" spans="2:2" x14ac:dyDescent="0.25">
      <c r="B104" t="s">
        <v>1039</v>
      </c>
    </row>
    <row r="105" spans="2:2" x14ac:dyDescent="0.25">
      <c r="B105" t="s">
        <v>1078</v>
      </c>
    </row>
    <row r="106" spans="2:2" x14ac:dyDescent="0.25">
      <c r="B106" t="s">
        <v>1003</v>
      </c>
    </row>
  </sheetData>
  <pageMargins left="0.7" right="0.7" top="0.78740157499999996" bottom="0.78740157499999996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9" t="s">
        <v>1086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topLeftCell="A124" workbookViewId="0">
      <selection activeCell="B137" sqref="B137"/>
    </sheetView>
  </sheetViews>
  <sheetFormatPr baseColWidth="10" defaultRowHeight="15" x14ac:dyDescent="0.25"/>
  <cols>
    <col min="1" max="1" width="30.42578125" customWidth="1"/>
  </cols>
  <sheetData>
    <row r="1" spans="1:8" x14ac:dyDescent="0.25">
      <c r="A1" t="s">
        <v>0</v>
      </c>
      <c r="B1" t="s">
        <v>356</v>
      </c>
    </row>
    <row r="2" spans="1:8" x14ac:dyDescent="0.25">
      <c r="A2" s="50" t="s">
        <v>857</v>
      </c>
      <c r="B2" s="49"/>
      <c r="C2" s="49"/>
      <c r="D2" s="49"/>
      <c r="E2" s="49"/>
      <c r="F2" s="49"/>
      <c r="G2" s="49"/>
      <c r="H2" s="49"/>
    </row>
    <row r="3" spans="1:8" x14ac:dyDescent="0.25">
      <c r="A3" t="s">
        <v>346</v>
      </c>
      <c r="B3">
        <v>0.17069999999999999</v>
      </c>
    </row>
    <row r="4" spans="1:8" x14ac:dyDescent="0.25">
      <c r="A4" t="s">
        <v>364</v>
      </c>
      <c r="B4">
        <v>1.5641297000000001</v>
      </c>
    </row>
    <row r="5" spans="1:8" x14ac:dyDescent="0.25">
      <c r="A5" t="s">
        <v>354</v>
      </c>
      <c r="B5">
        <v>14.365981</v>
      </c>
    </row>
    <row r="6" spans="1:8" x14ac:dyDescent="0.25">
      <c r="A6" s="15" t="s">
        <v>394</v>
      </c>
      <c r="B6" s="26">
        <v>1.1000000000000001</v>
      </c>
    </row>
    <row r="7" spans="1:8" x14ac:dyDescent="0.25">
      <c r="A7" s="15" t="s">
        <v>395</v>
      </c>
      <c r="B7" s="26">
        <v>1.1000000000000001</v>
      </c>
    </row>
    <row r="8" spans="1:8" x14ac:dyDescent="0.25">
      <c r="A8" s="15" t="s">
        <v>396</v>
      </c>
      <c r="B8" s="26">
        <v>1</v>
      </c>
    </row>
    <row r="9" spans="1:8" x14ac:dyDescent="0.25">
      <c r="A9" s="15" t="s">
        <v>397</v>
      </c>
      <c r="B9" s="26">
        <v>1</v>
      </c>
    </row>
    <row r="10" spans="1:8" x14ac:dyDescent="0.25">
      <c r="A10" s="15" t="s">
        <v>398</v>
      </c>
      <c r="B10" s="21">
        <v>2.7889699999999999</v>
      </c>
    </row>
    <row r="11" spans="1:8" x14ac:dyDescent="0.25">
      <c r="A11" s="15" t="s">
        <v>399</v>
      </c>
      <c r="B11" s="21">
        <v>2.7889699999999999</v>
      </c>
    </row>
    <row r="12" spans="1:8" x14ac:dyDescent="0.25">
      <c r="A12" s="15" t="s">
        <v>400</v>
      </c>
      <c r="B12" s="26">
        <v>1.1000000000000001</v>
      </c>
    </row>
    <row r="13" spans="1:8" x14ac:dyDescent="0.25">
      <c r="A13" s="15" t="s">
        <v>401</v>
      </c>
      <c r="B13" s="26">
        <v>1.1000000000000001</v>
      </c>
    </row>
    <row r="14" spans="1:8" x14ac:dyDescent="0.25">
      <c r="A14" s="15" t="s">
        <v>402</v>
      </c>
      <c r="B14" s="26">
        <v>1</v>
      </c>
    </row>
    <row r="15" spans="1:8" x14ac:dyDescent="0.25">
      <c r="A15" s="15" t="s">
        <v>403</v>
      </c>
      <c r="B15" s="26">
        <v>1</v>
      </c>
    </row>
    <row r="16" spans="1:8" x14ac:dyDescent="0.25">
      <c r="A16" s="15" t="s">
        <v>404</v>
      </c>
      <c r="B16" s="21">
        <v>2.7889699999999999</v>
      </c>
    </row>
    <row r="17" spans="1:10" x14ac:dyDescent="0.25">
      <c r="A17" s="15" t="s">
        <v>405</v>
      </c>
      <c r="B17" s="21">
        <v>2.7889699999999999</v>
      </c>
    </row>
    <row r="18" spans="1:10" x14ac:dyDescent="0.25">
      <c r="A18" t="s">
        <v>844</v>
      </c>
      <c r="B18" s="21">
        <v>2.7889699999999999</v>
      </c>
      <c r="C18" t="s">
        <v>855</v>
      </c>
      <c r="D18" s="47" t="s">
        <v>846</v>
      </c>
    </row>
    <row r="19" spans="1:10" x14ac:dyDescent="0.25">
      <c r="A19" s="15" t="s">
        <v>31</v>
      </c>
      <c r="B19">
        <v>2.67</v>
      </c>
    </row>
    <row r="20" spans="1:10" x14ac:dyDescent="0.25">
      <c r="A20" s="15" t="s">
        <v>429</v>
      </c>
      <c r="B20">
        <f>11.904*0.2+2.67*0.8</f>
        <v>4.5167999999999999</v>
      </c>
    </row>
    <row r="21" spans="1:10" x14ac:dyDescent="0.25">
      <c r="A21" s="15" t="s">
        <v>449</v>
      </c>
      <c r="B21" s="51">
        <v>1.73</v>
      </c>
    </row>
    <row r="22" spans="1:10" x14ac:dyDescent="0.25">
      <c r="A22" s="15" t="s">
        <v>866</v>
      </c>
      <c r="C22" t="s">
        <v>858</v>
      </c>
    </row>
    <row r="23" spans="1:10" x14ac:dyDescent="0.25">
      <c r="A23" s="15" t="s">
        <v>867</v>
      </c>
    </row>
    <row r="24" spans="1:10" x14ac:dyDescent="0.25">
      <c r="A24" s="15"/>
    </row>
    <row r="25" spans="1:10" x14ac:dyDescent="0.25">
      <c r="A25" s="15"/>
    </row>
    <row r="32" spans="1:10" x14ac:dyDescent="0.25">
      <c r="A32" t="s">
        <v>624</v>
      </c>
      <c r="B32">
        <f>I32/E32</f>
        <v>0.47653412399999989</v>
      </c>
      <c r="C32" t="s">
        <v>856</v>
      </c>
      <c r="D32" t="s">
        <v>828</v>
      </c>
      <c r="E32">
        <f>G32/3.6*1000000/9.79</f>
        <v>28373.623879241863</v>
      </c>
      <c r="F32" t="s">
        <v>829</v>
      </c>
      <c r="G32">
        <v>1</v>
      </c>
      <c r="H32" t="s">
        <v>830</v>
      </c>
      <c r="I32">
        <v>13521</v>
      </c>
      <c r="J32" t="s">
        <v>831</v>
      </c>
    </row>
    <row r="33" spans="1:4" x14ac:dyDescent="0.25">
      <c r="A33" t="s">
        <v>624</v>
      </c>
      <c r="B33" s="26">
        <f>I32/277778</f>
        <v>4.8675561059551155E-2</v>
      </c>
      <c r="C33" t="s">
        <v>852</v>
      </c>
    </row>
    <row r="35" spans="1:4" x14ac:dyDescent="0.25">
      <c r="A35" t="s">
        <v>845</v>
      </c>
      <c r="B35">
        <v>0.252</v>
      </c>
      <c r="C35" t="s">
        <v>852</v>
      </c>
      <c r="D35" s="47" t="s">
        <v>847</v>
      </c>
    </row>
    <row r="36" spans="1:4" x14ac:dyDescent="0.25">
      <c r="A36" t="s">
        <v>90</v>
      </c>
      <c r="B36">
        <v>0.371</v>
      </c>
      <c r="C36" t="s">
        <v>853</v>
      </c>
      <c r="D36" s="46" t="s">
        <v>847</v>
      </c>
    </row>
    <row r="37" spans="1:4" x14ac:dyDescent="0.25">
      <c r="A37" t="s">
        <v>92</v>
      </c>
      <c r="B37">
        <v>2.5000000000000001E-2</v>
      </c>
      <c r="C37" t="s">
        <v>853</v>
      </c>
      <c r="D37" s="46" t="s">
        <v>847</v>
      </c>
    </row>
    <row r="38" spans="1:4" x14ac:dyDescent="0.25">
      <c r="A38" t="s">
        <v>93</v>
      </c>
      <c r="B38">
        <v>7.0000000000000007E-2</v>
      </c>
      <c r="C38" t="s">
        <v>853</v>
      </c>
      <c r="D38" s="46" t="s">
        <v>847</v>
      </c>
    </row>
    <row r="39" spans="1:4" x14ac:dyDescent="0.25">
      <c r="A39" t="s">
        <v>95</v>
      </c>
      <c r="B39">
        <v>3.4799999999999998E-2</v>
      </c>
      <c r="C39" t="s">
        <v>853</v>
      </c>
      <c r="D39" s="48" t="s">
        <v>848</v>
      </c>
    </row>
    <row r="40" spans="1:4" x14ac:dyDescent="0.25">
      <c r="A40" t="s">
        <v>91</v>
      </c>
      <c r="B40">
        <v>0.28499999999999998</v>
      </c>
      <c r="C40" t="s">
        <v>854</v>
      </c>
      <c r="D40" s="46" t="s">
        <v>847</v>
      </c>
    </row>
    <row r="41" spans="1:4" x14ac:dyDescent="0.25">
      <c r="A41" s="15" t="s">
        <v>532</v>
      </c>
      <c r="B41" s="27">
        <v>6.3299999999999997E-3</v>
      </c>
      <c r="C41" t="s">
        <v>534</v>
      </c>
      <c r="D41" s="46" t="s">
        <v>850</v>
      </c>
    </row>
    <row r="42" spans="1:4" x14ac:dyDescent="0.25">
      <c r="A42" s="15" t="s">
        <v>533</v>
      </c>
      <c r="B42" s="27">
        <v>6.7849999999999994E-2</v>
      </c>
      <c r="C42" t="s">
        <v>534</v>
      </c>
      <c r="D42" s="46" t="s">
        <v>850</v>
      </c>
    </row>
    <row r="43" spans="1:4" x14ac:dyDescent="0.25">
      <c r="A43" s="15" t="s">
        <v>94</v>
      </c>
      <c r="B43" s="27">
        <v>0.36399999999999999</v>
      </c>
      <c r="C43" t="s">
        <v>534</v>
      </c>
      <c r="D43" s="47" t="s">
        <v>851</v>
      </c>
    </row>
    <row r="51" spans="1:9" x14ac:dyDescent="0.25">
      <c r="A51" t="s">
        <v>112</v>
      </c>
      <c r="B51">
        <v>0.48499999999999999</v>
      </c>
      <c r="C51" t="s">
        <v>853</v>
      </c>
      <c r="D51" s="46" t="s">
        <v>849</v>
      </c>
    </row>
    <row r="52" spans="1:9" x14ac:dyDescent="0.25">
      <c r="A52" t="s">
        <v>527</v>
      </c>
      <c r="B52" s="28">
        <f>AVERAGE(Kalkulation!E141,Kalkulation!E142,Kalkulation!E143,Kalkulation!E144,Kalkulation!E145,Kalkulation!E146)</f>
        <v>2.4293333333333333E-2</v>
      </c>
      <c r="C52" t="s">
        <v>852</v>
      </c>
      <c r="D52" s="46"/>
    </row>
    <row r="53" spans="1:9" x14ac:dyDescent="0.25">
      <c r="A53" t="s">
        <v>528</v>
      </c>
      <c r="B53" s="27">
        <v>5.5710000000000003E-2</v>
      </c>
      <c r="C53" t="s">
        <v>534</v>
      </c>
      <c r="D53" s="46" t="s">
        <v>850</v>
      </c>
    </row>
    <row r="54" spans="1:9" x14ac:dyDescent="0.25">
      <c r="A54" s="15" t="s">
        <v>529</v>
      </c>
      <c r="B54" s="27">
        <v>8.8000000000000005E-3</v>
      </c>
      <c r="C54" t="s">
        <v>534</v>
      </c>
      <c r="D54" s="46" t="s">
        <v>850</v>
      </c>
    </row>
    <row r="55" spans="1:9" x14ac:dyDescent="0.25">
      <c r="A55" s="15" t="s">
        <v>530</v>
      </c>
      <c r="B55" s="27">
        <v>4.3699999999999998E-3</v>
      </c>
      <c r="C55" t="s">
        <v>534</v>
      </c>
      <c r="D55" s="46" t="s">
        <v>850</v>
      </c>
    </row>
    <row r="56" spans="1:9" x14ac:dyDescent="0.25">
      <c r="A56" s="15" t="s">
        <v>531</v>
      </c>
      <c r="B56" s="27">
        <v>2.7000000000000001E-3</v>
      </c>
      <c r="C56" t="s">
        <v>534</v>
      </c>
      <c r="D56" s="46" t="s">
        <v>850</v>
      </c>
    </row>
    <row r="57" spans="1:9" x14ac:dyDescent="0.25">
      <c r="A57" s="15" t="s">
        <v>532</v>
      </c>
      <c r="B57" s="27">
        <v>6.3299999999999997E-3</v>
      </c>
      <c r="C57" t="s">
        <v>534</v>
      </c>
    </row>
    <row r="58" spans="1:9" x14ac:dyDescent="0.25">
      <c r="A58" s="15" t="s">
        <v>533</v>
      </c>
      <c r="B58" s="27">
        <v>6.7849999999999994E-2</v>
      </c>
      <c r="C58" t="s">
        <v>534</v>
      </c>
    </row>
    <row r="59" spans="1:9" x14ac:dyDescent="0.25">
      <c r="A59" s="15" t="s">
        <v>114</v>
      </c>
      <c r="B59" s="27">
        <v>0.252</v>
      </c>
      <c r="C59" t="s">
        <v>534</v>
      </c>
    </row>
    <row r="60" spans="1:9" x14ac:dyDescent="0.25">
      <c r="A60" s="15"/>
    </row>
    <row r="61" spans="1:9" x14ac:dyDescent="0.25">
      <c r="A61" s="49" t="s">
        <v>115</v>
      </c>
      <c r="B61" s="49"/>
      <c r="C61" s="49"/>
      <c r="D61" s="49"/>
      <c r="E61" s="49"/>
      <c r="F61" s="49"/>
      <c r="G61" s="49"/>
      <c r="H61" s="49"/>
      <c r="I61" s="49"/>
    </row>
    <row r="62" spans="1:9" x14ac:dyDescent="0.25">
      <c r="A62" s="15" t="s">
        <v>542</v>
      </c>
      <c r="B62" s="27">
        <v>0.5</v>
      </c>
      <c r="C62" t="s">
        <v>618</v>
      </c>
    </row>
    <row r="63" spans="1:9" x14ac:dyDescent="0.25">
      <c r="A63" s="15" t="s">
        <v>543</v>
      </c>
    </row>
    <row r="64" spans="1:9" x14ac:dyDescent="0.25">
      <c r="A64" s="15" t="s">
        <v>616</v>
      </c>
      <c r="B64" s="27">
        <v>0.252</v>
      </c>
      <c r="C64" t="s">
        <v>889</v>
      </c>
    </row>
    <row r="65" spans="1:9" x14ac:dyDescent="0.25">
      <c r="A65" s="15"/>
    </row>
    <row r="67" spans="1:9" x14ac:dyDescent="0.25">
      <c r="A67" s="49" t="s">
        <v>548</v>
      </c>
      <c r="B67" s="49"/>
      <c r="C67" s="49"/>
      <c r="D67" s="49"/>
      <c r="E67" s="49"/>
      <c r="F67" s="49"/>
      <c r="G67" s="49"/>
      <c r="H67" s="49"/>
      <c r="I67" s="49"/>
    </row>
    <row r="68" spans="1:9" x14ac:dyDescent="0.25">
      <c r="A68" s="15" t="s">
        <v>126</v>
      </c>
      <c r="B68" s="26">
        <v>1</v>
      </c>
    </row>
    <row r="69" spans="1:9" x14ac:dyDescent="0.25">
      <c r="A69" s="15" t="s">
        <v>125</v>
      </c>
      <c r="B69" s="26">
        <v>2</v>
      </c>
    </row>
    <row r="70" spans="1:9" x14ac:dyDescent="0.25">
      <c r="A70" s="15" t="s">
        <v>335</v>
      </c>
      <c r="B70" s="26">
        <v>3</v>
      </c>
    </row>
    <row r="71" spans="1:9" x14ac:dyDescent="0.25">
      <c r="A71" s="15" t="s">
        <v>158</v>
      </c>
      <c r="B71" s="26">
        <v>4</v>
      </c>
    </row>
    <row r="72" spans="1:9" x14ac:dyDescent="0.25">
      <c r="A72" s="15" t="s">
        <v>339</v>
      </c>
      <c r="B72" s="26">
        <v>5</v>
      </c>
    </row>
    <row r="73" spans="1:9" x14ac:dyDescent="0.25">
      <c r="A73" s="15" t="s">
        <v>336</v>
      </c>
      <c r="B73" s="26">
        <v>6</v>
      </c>
    </row>
    <row r="74" spans="1:9" x14ac:dyDescent="0.25">
      <c r="A74" s="15" t="s">
        <v>337</v>
      </c>
      <c r="B74" s="26">
        <v>7</v>
      </c>
    </row>
    <row r="75" spans="1:9" x14ac:dyDescent="0.25">
      <c r="A75" s="15" t="s">
        <v>338</v>
      </c>
      <c r="B75" s="26">
        <v>8</v>
      </c>
    </row>
    <row r="76" spans="1:9" x14ac:dyDescent="0.25">
      <c r="A76" s="15" t="s">
        <v>340</v>
      </c>
      <c r="B76" s="26">
        <v>9</v>
      </c>
    </row>
    <row r="77" spans="1:9" x14ac:dyDescent="0.25">
      <c r="A77" s="15" t="s">
        <v>341</v>
      </c>
      <c r="B77" s="26">
        <v>10</v>
      </c>
    </row>
    <row r="78" spans="1:9" x14ac:dyDescent="0.25">
      <c r="A78" s="15" t="s">
        <v>342</v>
      </c>
      <c r="B78" s="26">
        <v>11</v>
      </c>
    </row>
    <row r="82" spans="1:3" x14ac:dyDescent="0.25">
      <c r="A82" s="15" t="s">
        <v>127</v>
      </c>
      <c r="B82">
        <v>1.94</v>
      </c>
      <c r="C82" t="s">
        <v>617</v>
      </c>
    </row>
    <row r="83" spans="1:3" x14ac:dyDescent="0.25">
      <c r="A83" s="15" t="s">
        <v>128</v>
      </c>
      <c r="B83">
        <v>0.67700000000000005</v>
      </c>
    </row>
    <row r="84" spans="1:3" x14ac:dyDescent="0.25">
      <c r="A84" s="15" t="s">
        <v>129</v>
      </c>
      <c r="B84">
        <v>4.43</v>
      </c>
    </row>
    <row r="85" spans="1:3" x14ac:dyDescent="0.25">
      <c r="A85" s="15" t="s">
        <v>130</v>
      </c>
      <c r="B85">
        <v>4.43</v>
      </c>
    </row>
    <row r="86" spans="1:3" x14ac:dyDescent="0.25">
      <c r="A86" s="15" t="s">
        <v>131</v>
      </c>
      <c r="B86">
        <v>0.377</v>
      </c>
    </row>
    <row r="87" spans="1:3" x14ac:dyDescent="0.25">
      <c r="A87" s="15" t="s">
        <v>132</v>
      </c>
      <c r="B87">
        <v>1.1299999999999999</v>
      </c>
    </row>
    <row r="88" spans="1:3" x14ac:dyDescent="0.25">
      <c r="A88" s="15" t="s">
        <v>325</v>
      </c>
      <c r="B88">
        <v>0.72899999999999998</v>
      </c>
    </row>
    <row r="89" spans="1:3" x14ac:dyDescent="0.25">
      <c r="A89" s="15" t="s">
        <v>133</v>
      </c>
      <c r="B89">
        <v>1.62</v>
      </c>
    </row>
    <row r="90" spans="1:3" x14ac:dyDescent="0.25">
      <c r="A90" s="15" t="s">
        <v>334</v>
      </c>
      <c r="B90" s="26">
        <v>1</v>
      </c>
    </row>
    <row r="91" spans="1:3" x14ac:dyDescent="0.25">
      <c r="A91" s="15" t="s">
        <v>134</v>
      </c>
      <c r="B91" s="26">
        <v>2</v>
      </c>
    </row>
    <row r="92" spans="1:3" x14ac:dyDescent="0.25">
      <c r="A92" s="15" t="s">
        <v>135</v>
      </c>
      <c r="B92" s="26">
        <v>3</v>
      </c>
    </row>
    <row r="93" spans="1:3" x14ac:dyDescent="0.25">
      <c r="A93" s="15" t="s">
        <v>136</v>
      </c>
      <c r="B93" s="26">
        <v>4</v>
      </c>
    </row>
    <row r="94" spans="1:3" x14ac:dyDescent="0.25">
      <c r="A94" s="15" t="s">
        <v>137</v>
      </c>
      <c r="B94" s="26">
        <v>5</v>
      </c>
    </row>
    <row r="95" spans="1:3" x14ac:dyDescent="0.25">
      <c r="A95" s="15" t="s">
        <v>138</v>
      </c>
      <c r="B95" s="26">
        <v>6</v>
      </c>
    </row>
    <row r="96" spans="1:3" x14ac:dyDescent="0.25">
      <c r="A96" s="15" t="s">
        <v>139</v>
      </c>
      <c r="B96" s="26">
        <v>7</v>
      </c>
    </row>
    <row r="97" spans="1:9" x14ac:dyDescent="0.25">
      <c r="A97" s="15" t="s">
        <v>140</v>
      </c>
      <c r="B97" s="26">
        <v>8</v>
      </c>
    </row>
    <row r="98" spans="1:9" x14ac:dyDescent="0.25">
      <c r="A98" s="15" t="s">
        <v>322</v>
      </c>
      <c r="B98" s="26">
        <v>9</v>
      </c>
    </row>
    <row r="99" spans="1:9" x14ac:dyDescent="0.25">
      <c r="A99" s="15" t="s">
        <v>323</v>
      </c>
      <c r="B99" s="26">
        <v>10</v>
      </c>
    </row>
    <row r="100" spans="1:9" x14ac:dyDescent="0.25">
      <c r="A100" s="15" t="s">
        <v>324</v>
      </c>
      <c r="B100" s="26">
        <v>11</v>
      </c>
    </row>
    <row r="101" spans="1:9" x14ac:dyDescent="0.25">
      <c r="A101" s="15" t="s">
        <v>326</v>
      </c>
      <c r="B101" s="26">
        <v>12</v>
      </c>
    </row>
    <row r="102" spans="1:9" x14ac:dyDescent="0.25">
      <c r="A102" s="15" t="s">
        <v>327</v>
      </c>
      <c r="B102" s="26">
        <v>13</v>
      </c>
    </row>
    <row r="103" spans="1:9" x14ac:dyDescent="0.25">
      <c r="A103" s="15" t="s">
        <v>328</v>
      </c>
      <c r="B103" s="26">
        <v>14</v>
      </c>
    </row>
    <row r="104" spans="1:9" x14ac:dyDescent="0.25">
      <c r="A104" s="15" t="s">
        <v>329</v>
      </c>
      <c r="B104" s="26">
        <v>15</v>
      </c>
    </row>
    <row r="105" spans="1:9" x14ac:dyDescent="0.25">
      <c r="A105" s="15" t="s">
        <v>331</v>
      </c>
      <c r="B105" s="26">
        <v>16</v>
      </c>
    </row>
    <row r="106" spans="1:9" x14ac:dyDescent="0.25">
      <c r="A106" s="15" t="s">
        <v>332</v>
      </c>
      <c r="B106" s="26">
        <v>17</v>
      </c>
    </row>
    <row r="107" spans="1:9" x14ac:dyDescent="0.25">
      <c r="A107" s="15" t="s">
        <v>333</v>
      </c>
      <c r="B107" s="26">
        <v>18</v>
      </c>
    </row>
    <row r="112" spans="1:9" x14ac:dyDescent="0.25">
      <c r="A112" s="49" t="s">
        <v>702</v>
      </c>
      <c r="B112" s="49"/>
      <c r="C112" s="49"/>
      <c r="D112" s="49"/>
      <c r="E112" s="49"/>
      <c r="F112" s="49"/>
      <c r="G112" s="49"/>
      <c r="H112" s="49"/>
      <c r="I112" s="49"/>
    </row>
    <row r="113" spans="1:4" x14ac:dyDescent="0.25">
      <c r="A113" s="15" t="s">
        <v>142</v>
      </c>
      <c r="B113">
        <v>11</v>
      </c>
      <c r="C113" t="s">
        <v>618</v>
      </c>
    </row>
    <row r="114" spans="1:4" x14ac:dyDescent="0.25">
      <c r="A114" s="15" t="s">
        <v>144</v>
      </c>
      <c r="B114">
        <v>11</v>
      </c>
      <c r="C114" t="s">
        <v>618</v>
      </c>
    </row>
    <row r="116" spans="1:4" x14ac:dyDescent="0.25">
      <c r="A116" s="15" t="s">
        <v>229</v>
      </c>
      <c r="B116" s="26">
        <v>1</v>
      </c>
      <c r="C116" t="s">
        <v>900</v>
      </c>
    </row>
    <row r="117" spans="1:4" x14ac:dyDescent="0.25">
      <c r="A117" s="15" t="s">
        <v>226</v>
      </c>
      <c r="B117" s="26">
        <v>2</v>
      </c>
      <c r="C117" t="s">
        <v>901</v>
      </c>
    </row>
    <row r="118" spans="1:4" x14ac:dyDescent="0.25">
      <c r="A118" s="15" t="s">
        <v>222</v>
      </c>
      <c r="B118" s="26">
        <v>3</v>
      </c>
      <c r="C118" t="s">
        <v>901</v>
      </c>
    </row>
    <row r="119" spans="1:4" x14ac:dyDescent="0.25">
      <c r="A119" s="15" t="s">
        <v>223</v>
      </c>
      <c r="B119" s="26">
        <v>4</v>
      </c>
      <c r="C119" t="s">
        <v>901</v>
      </c>
    </row>
    <row r="120" spans="1:4" x14ac:dyDescent="0.25">
      <c r="A120" s="15" t="s">
        <v>221</v>
      </c>
      <c r="B120" s="26">
        <v>5</v>
      </c>
      <c r="C120" t="s">
        <v>901</v>
      </c>
    </row>
    <row r="121" spans="1:4" x14ac:dyDescent="0.25">
      <c r="A121" s="15" t="s">
        <v>224</v>
      </c>
      <c r="B121" s="26">
        <v>6</v>
      </c>
      <c r="C121" t="s">
        <v>901</v>
      </c>
    </row>
    <row r="122" spans="1:4" x14ac:dyDescent="0.25">
      <c r="A122" s="15" t="s">
        <v>225</v>
      </c>
      <c r="B122" s="26">
        <v>7</v>
      </c>
      <c r="C122" t="s">
        <v>901</v>
      </c>
    </row>
    <row r="123" spans="1:4" x14ac:dyDescent="0.25">
      <c r="A123" s="15" t="s">
        <v>227</v>
      </c>
      <c r="B123" s="26">
        <v>8</v>
      </c>
      <c r="C123" t="s">
        <v>901</v>
      </c>
    </row>
    <row r="127" spans="1:4" x14ac:dyDescent="0.25">
      <c r="A127" t="s">
        <v>923</v>
      </c>
      <c r="B127">
        <v>2.88</v>
      </c>
      <c r="C127" t="s">
        <v>925</v>
      </c>
      <c r="D127" t="s">
        <v>924</v>
      </c>
    </row>
    <row r="130" spans="1:4" x14ac:dyDescent="0.25">
      <c r="A130" s="15" t="s">
        <v>156</v>
      </c>
      <c r="B130" s="26">
        <v>100</v>
      </c>
      <c r="C130" t="s">
        <v>962</v>
      </c>
    </row>
    <row r="131" spans="1:4" x14ac:dyDescent="0.25">
      <c r="A131" s="15" t="s">
        <v>157</v>
      </c>
      <c r="B131">
        <v>33.29</v>
      </c>
      <c r="C131" t="s">
        <v>962</v>
      </c>
    </row>
    <row r="132" spans="1:4" x14ac:dyDescent="0.25">
      <c r="A132" s="15" t="s">
        <v>159</v>
      </c>
      <c r="B132">
        <v>93.01</v>
      </c>
      <c r="C132" t="s">
        <v>962</v>
      </c>
    </row>
    <row r="133" spans="1:4" x14ac:dyDescent="0.25">
      <c r="A133" s="15" t="s">
        <v>160</v>
      </c>
      <c r="B133">
        <v>93.37</v>
      </c>
      <c r="C133" t="s">
        <v>962</v>
      </c>
    </row>
    <row r="134" spans="1:4" x14ac:dyDescent="0.25">
      <c r="A134" s="15" t="s">
        <v>963</v>
      </c>
      <c r="B134">
        <v>16.010000000000002</v>
      </c>
      <c r="C134" t="s">
        <v>962</v>
      </c>
      <c r="D134" s="59" t="s">
        <v>964</v>
      </c>
    </row>
    <row r="136" spans="1:4" x14ac:dyDescent="0.25">
      <c r="A136" t="s">
        <v>974</v>
      </c>
      <c r="B136">
        <v>112</v>
      </c>
      <c r="C136" t="s">
        <v>975</v>
      </c>
    </row>
    <row r="137" spans="1:4" x14ac:dyDescent="0.25">
      <c r="B137">
        <f>B136/1000</f>
        <v>0.112</v>
      </c>
      <c r="C137" t="s">
        <v>1045</v>
      </c>
    </row>
    <row r="139" spans="1:4" x14ac:dyDescent="0.25">
      <c r="A139" s="9" t="s">
        <v>989</v>
      </c>
    </row>
    <row r="140" spans="1:4" x14ac:dyDescent="0.25">
      <c r="A140" s="15" t="s">
        <v>984</v>
      </c>
      <c r="B140">
        <v>1.73</v>
      </c>
      <c r="C140" t="s">
        <v>925</v>
      </c>
    </row>
    <row r="141" spans="1:4" x14ac:dyDescent="0.25">
      <c r="A141" s="15" t="s">
        <v>985</v>
      </c>
      <c r="B141">
        <v>0.4</v>
      </c>
      <c r="C141" t="s">
        <v>925</v>
      </c>
    </row>
    <row r="142" spans="1:4" x14ac:dyDescent="0.25">
      <c r="A142" s="15" t="s">
        <v>986</v>
      </c>
      <c r="B142">
        <v>0.4</v>
      </c>
      <c r="C142" t="s">
        <v>925</v>
      </c>
    </row>
    <row r="143" spans="1:4" x14ac:dyDescent="0.25">
      <c r="A143" s="15" t="s">
        <v>987</v>
      </c>
      <c r="B143">
        <v>0.4</v>
      </c>
      <c r="C143" t="s">
        <v>925</v>
      </c>
    </row>
    <row r="144" spans="1:4" x14ac:dyDescent="0.25">
      <c r="A144" s="15" t="s">
        <v>988</v>
      </c>
      <c r="B144">
        <v>0.4</v>
      </c>
      <c r="C144" t="s">
        <v>925</v>
      </c>
    </row>
    <row r="145" spans="1:3" x14ac:dyDescent="0.25">
      <c r="A145" s="15" t="s">
        <v>171</v>
      </c>
      <c r="B145">
        <v>1.2</v>
      </c>
      <c r="C145" t="s">
        <v>925</v>
      </c>
    </row>
    <row r="147" spans="1:3" x14ac:dyDescent="0.25">
      <c r="A147" s="9" t="s">
        <v>995</v>
      </c>
    </row>
    <row r="148" spans="1:3" x14ac:dyDescent="0.25">
      <c r="A148" s="15" t="s">
        <v>997</v>
      </c>
      <c r="B148">
        <v>1.73</v>
      </c>
      <c r="C148" t="s">
        <v>925</v>
      </c>
    </row>
    <row r="149" spans="1:3" x14ac:dyDescent="0.25">
      <c r="A149" s="15" t="s">
        <v>178</v>
      </c>
      <c r="B149">
        <v>1.73</v>
      </c>
      <c r="C149" t="s">
        <v>925</v>
      </c>
    </row>
    <row r="150" spans="1:3" x14ac:dyDescent="0.25">
      <c r="A150" s="15" t="s">
        <v>996</v>
      </c>
      <c r="B150">
        <v>0.4</v>
      </c>
      <c r="C150" t="s">
        <v>925</v>
      </c>
    </row>
    <row r="152" spans="1:3" x14ac:dyDescent="0.25">
      <c r="A152" s="9" t="s">
        <v>1004</v>
      </c>
    </row>
    <row r="153" spans="1:3" x14ac:dyDescent="0.25">
      <c r="A153" t="s">
        <v>1005</v>
      </c>
      <c r="B153">
        <v>2.67</v>
      </c>
      <c r="C153" t="s">
        <v>925</v>
      </c>
    </row>
    <row r="154" spans="1:3" x14ac:dyDescent="0.25">
      <c r="A154" t="s">
        <v>218</v>
      </c>
      <c r="B154">
        <v>2.67</v>
      </c>
      <c r="C154" t="s">
        <v>925</v>
      </c>
    </row>
    <row r="155" spans="1:3" x14ac:dyDescent="0.25">
      <c r="A155" t="s">
        <v>219</v>
      </c>
      <c r="B155">
        <v>2.67</v>
      </c>
      <c r="C155" t="s">
        <v>925</v>
      </c>
    </row>
    <row r="157" spans="1:3" x14ac:dyDescent="0.25">
      <c r="A157" s="9" t="s">
        <v>1021</v>
      </c>
    </row>
    <row r="158" spans="1:3" x14ac:dyDescent="0.25">
      <c r="A158" s="15" t="s">
        <v>600</v>
      </c>
      <c r="B158">
        <v>2.67</v>
      </c>
      <c r="C158" t="s">
        <v>925</v>
      </c>
    </row>
    <row r="159" spans="1:3" x14ac:dyDescent="0.25">
      <c r="A159" s="15" t="s">
        <v>1020</v>
      </c>
      <c r="B159" s="26">
        <v>2.67</v>
      </c>
      <c r="C159" t="s">
        <v>925</v>
      </c>
    </row>
    <row r="160" spans="1:3" x14ac:dyDescent="0.25">
      <c r="A160" s="15" t="s">
        <v>346</v>
      </c>
      <c r="B160">
        <v>0.17069999999999999</v>
      </c>
      <c r="C160" t="s">
        <v>925</v>
      </c>
    </row>
    <row r="162" spans="1:4" x14ac:dyDescent="0.25">
      <c r="A162" s="9" t="s">
        <v>1025</v>
      </c>
    </row>
    <row r="163" spans="1:4" x14ac:dyDescent="0.25">
      <c r="A163" s="15" t="s">
        <v>611</v>
      </c>
      <c r="B163">
        <v>1.73</v>
      </c>
      <c r="C163" t="s">
        <v>925</v>
      </c>
    </row>
    <row r="164" spans="1:4" x14ac:dyDescent="0.25">
      <c r="A164" s="15" t="s">
        <v>613</v>
      </c>
      <c r="B164">
        <v>0.748</v>
      </c>
      <c r="C164" t="s">
        <v>925</v>
      </c>
    </row>
    <row r="165" spans="1:4" x14ac:dyDescent="0.25">
      <c r="A165" t="s">
        <v>1035</v>
      </c>
      <c r="B165">
        <f>'Andere Berechnungen'!C81</f>
        <v>3.6620000000000003E-3</v>
      </c>
      <c r="C165" t="s">
        <v>1028</v>
      </c>
      <c r="D165" t="s">
        <v>1033</v>
      </c>
    </row>
    <row r="167" spans="1:4" x14ac:dyDescent="0.25">
      <c r="A167" s="9" t="s">
        <v>196</v>
      </c>
    </row>
    <row r="168" spans="1:4" x14ac:dyDescent="0.25">
      <c r="A168" s="15" t="s">
        <v>603</v>
      </c>
      <c r="B168">
        <v>2.67</v>
      </c>
      <c r="C168" t="s">
        <v>925</v>
      </c>
    </row>
    <row r="169" spans="1:4" x14ac:dyDescent="0.25">
      <c r="A169" s="15" t="s">
        <v>604</v>
      </c>
      <c r="B169">
        <v>1.5641297000000001</v>
      </c>
      <c r="C169" t="s">
        <v>925</v>
      </c>
    </row>
    <row r="170" spans="1:4" x14ac:dyDescent="0.25">
      <c r="A170" s="15" t="s">
        <v>605</v>
      </c>
      <c r="B170">
        <v>14.6</v>
      </c>
      <c r="C170" t="s">
        <v>925</v>
      </c>
    </row>
    <row r="171" spans="1:4" x14ac:dyDescent="0.25">
      <c r="A171" s="15" t="s">
        <v>606</v>
      </c>
      <c r="B171">
        <v>1.73</v>
      </c>
      <c r="C171" t="s">
        <v>925</v>
      </c>
    </row>
    <row r="172" spans="1:4" x14ac:dyDescent="0.25">
      <c r="A172" s="15" t="s">
        <v>607</v>
      </c>
      <c r="B172">
        <v>4.4000000000000003E-3</v>
      </c>
      <c r="C172" t="s">
        <v>925</v>
      </c>
    </row>
    <row r="173" spans="1:4" x14ac:dyDescent="0.25">
      <c r="A173" s="15" t="s">
        <v>622</v>
      </c>
      <c r="B173">
        <v>0.748</v>
      </c>
      <c r="C173" t="s">
        <v>925</v>
      </c>
    </row>
    <row r="174" spans="1:4" x14ac:dyDescent="0.25">
      <c r="A174" s="15"/>
    </row>
    <row r="175" spans="1:4" x14ac:dyDescent="0.25">
      <c r="A175" s="55" t="s">
        <v>1054</v>
      </c>
    </row>
    <row r="176" spans="1:4" x14ac:dyDescent="0.25">
      <c r="A176" s="15" t="s">
        <v>1050</v>
      </c>
      <c r="B176">
        <v>1</v>
      </c>
      <c r="C176" t="s">
        <v>1055</v>
      </c>
    </row>
    <row r="177" spans="1:3" x14ac:dyDescent="0.25">
      <c r="A177" s="15" t="s">
        <v>1051</v>
      </c>
      <c r="B177">
        <v>1</v>
      </c>
      <c r="C177" t="s">
        <v>1056</v>
      </c>
    </row>
    <row r="178" spans="1:3" x14ac:dyDescent="0.25">
      <c r="A178" s="15" t="s">
        <v>1052</v>
      </c>
      <c r="B178">
        <v>1</v>
      </c>
      <c r="C178" t="s">
        <v>1057</v>
      </c>
    </row>
    <row r="179" spans="1:3" x14ac:dyDescent="0.25">
      <c r="A179" s="15" t="s">
        <v>1053</v>
      </c>
      <c r="B179">
        <v>1</v>
      </c>
      <c r="C179" t="s">
        <v>1058</v>
      </c>
    </row>
  </sheetData>
  <hyperlinks>
    <hyperlink ref="D134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Basis</vt:lpstr>
      <vt:lpstr>Themen</vt:lpstr>
      <vt:lpstr>Dropdown</vt:lpstr>
      <vt:lpstr>Betriebsdaten</vt:lpstr>
      <vt:lpstr>Ertrag</vt:lpstr>
      <vt:lpstr>Kalkulation</vt:lpstr>
      <vt:lpstr>Aufbereitung</vt:lpstr>
      <vt:lpstr>tbd</vt:lpstr>
      <vt:lpstr>Äquivalente</vt:lpstr>
      <vt:lpstr>Andere Berechnungen</vt:lpstr>
    </vt:vector>
  </TitlesOfParts>
  <Company>HSWT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${UNAME}</dc:creator>
  <cp:lastModifiedBy>${UNAME}</cp:lastModifiedBy>
  <dcterms:created xsi:type="dcterms:W3CDTF">2022-05-31T13:49:19Z</dcterms:created>
  <dcterms:modified xsi:type="dcterms:W3CDTF">2022-09-03T07:45:37Z</dcterms:modified>
</cp:coreProperties>
</file>