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lawre\Desktop\Analysis\"/>
    </mc:Choice>
  </mc:AlternateContent>
  <xr:revisionPtr revIDLastSave="0" documentId="13_ncr:1_{954AAF05-91B2-4139-A36D-07EEB11BCE3E}" xr6:coauthVersionLast="47" xr6:coauthVersionMax="47" xr10:uidLastSave="{00000000-0000-0000-0000-000000000000}"/>
  <bookViews>
    <workbookView xWindow="9510" yWindow="0" windowWidth="9780" windowHeight="10170" xr2:uid="{00000000-000D-0000-FFFF-FFFF00000000}"/>
  </bookViews>
  <sheets>
    <sheet name="Main" sheetId="1" r:id="rId1"/>
    <sheet name="WACC" sheetId="4" r:id="rId2"/>
    <sheet name="Q423" sheetId="2" r:id="rId3"/>
    <sheet name="Drugs" sheetId="3" r:id="rId4"/>
  </sheets>
  <definedNames>
    <definedName name="tgr">Main!$E$24</definedName>
    <definedName name="wacc">Main!$E$23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4" l="1"/>
  <c r="F143" i="1"/>
  <c r="G143" i="1" s="1"/>
  <c r="H143" i="1" s="1"/>
  <c r="I143" i="1" s="1"/>
  <c r="J143" i="1" s="1"/>
  <c r="K143" i="1" s="1"/>
  <c r="L143" i="1" s="1"/>
  <c r="M143" i="1" s="1"/>
  <c r="N143" i="1" s="1"/>
  <c r="O143" i="1" s="1"/>
  <c r="D145" i="1"/>
  <c r="D146" i="1" s="1"/>
  <c r="K107" i="1"/>
  <c r="D107" i="1"/>
  <c r="G5" i="1" a="1"/>
  <c r="G5" i="1" s="1"/>
  <c r="D147" i="1" l="1"/>
  <c r="D148" i="1" s="1"/>
  <c r="D149" i="1" s="1"/>
  <c r="D150" i="1" s="1"/>
  <c r="D151" i="1" s="1"/>
  <c r="D152" i="1" s="1"/>
  <c r="D153" i="1" s="1"/>
  <c r="D154" i="1" s="1"/>
  <c r="U135" i="1"/>
  <c r="C11" i="4" s="1"/>
  <c r="C16" i="4" s="1"/>
  <c r="C5" i="4" s="1"/>
  <c r="E24" i="1"/>
  <c r="G21" i="1"/>
  <c r="K21" i="1"/>
  <c r="U134" i="1"/>
  <c r="F4" i="2"/>
  <c r="M114" i="1"/>
  <c r="N114" i="1" s="1"/>
  <c r="O114" i="1" s="1"/>
  <c r="P114" i="1" s="1"/>
  <c r="Q114" i="1" s="1"/>
  <c r="R114" i="1" s="1"/>
  <c r="S114" i="1" s="1"/>
  <c r="T114" i="1" s="1"/>
  <c r="D124" i="1"/>
  <c r="E124" i="1"/>
  <c r="F124" i="1"/>
  <c r="G124" i="1"/>
  <c r="H124" i="1"/>
  <c r="I124" i="1"/>
  <c r="J124" i="1"/>
  <c r="K124" i="1"/>
  <c r="C124" i="1"/>
  <c r="D121" i="1"/>
  <c r="E121" i="1"/>
  <c r="F121" i="1"/>
  <c r="G121" i="1"/>
  <c r="H121" i="1"/>
  <c r="I121" i="1"/>
  <c r="J121" i="1"/>
  <c r="K121" i="1"/>
  <c r="C121" i="1"/>
  <c r="D118" i="1"/>
  <c r="E118" i="1"/>
  <c r="F118" i="1"/>
  <c r="G118" i="1"/>
  <c r="H118" i="1"/>
  <c r="I118" i="1"/>
  <c r="J118" i="1"/>
  <c r="K118" i="1"/>
  <c r="C118" i="1"/>
  <c r="D113" i="1"/>
  <c r="E113" i="1"/>
  <c r="F113" i="1"/>
  <c r="G113" i="1"/>
  <c r="H113" i="1"/>
  <c r="I113" i="1"/>
  <c r="J113" i="1"/>
  <c r="K113" i="1"/>
  <c r="C113" i="1"/>
  <c r="U111" i="1"/>
  <c r="U109" i="1"/>
  <c r="U110" i="1"/>
  <c r="U108" i="1" s="1"/>
  <c r="E107" i="1"/>
  <c r="F107" i="1"/>
  <c r="G107" i="1"/>
  <c r="H107" i="1"/>
  <c r="I107" i="1"/>
  <c r="J107" i="1"/>
  <c r="C107" i="1"/>
  <c r="M102" i="1"/>
  <c r="N102" i="1" s="1"/>
  <c r="O102" i="1" s="1"/>
  <c r="P102" i="1" s="1"/>
  <c r="Q102" i="1" s="1"/>
  <c r="R102" i="1" s="1"/>
  <c r="S102" i="1" s="1"/>
  <c r="T102" i="1" s="1"/>
  <c r="U102" i="1" s="1"/>
  <c r="D103" i="1"/>
  <c r="E103" i="1" s="1"/>
  <c r="F103" i="1" s="1"/>
  <c r="G103" i="1" s="1"/>
  <c r="H103" i="1" s="1"/>
  <c r="I103" i="1" s="1"/>
  <c r="J103" i="1" s="1"/>
  <c r="K103" i="1" s="1"/>
  <c r="L103" i="1" s="1"/>
  <c r="M103" i="1" s="1"/>
  <c r="N103" i="1" s="1"/>
  <c r="O103" i="1" s="1"/>
  <c r="P103" i="1" s="1"/>
  <c r="Q103" i="1" s="1"/>
  <c r="R103" i="1" s="1"/>
  <c r="S103" i="1" s="1"/>
  <c r="T103" i="1" s="1"/>
  <c r="U103" i="1" s="1"/>
  <c r="K72" i="1"/>
  <c r="K76" i="1" s="1"/>
  <c r="K86" i="1" s="1"/>
  <c r="D91" i="1"/>
  <c r="E91" i="1" s="1"/>
  <c r="F91" i="1" s="1"/>
  <c r="G91" i="1" s="1"/>
  <c r="H91" i="1" s="1"/>
  <c r="I91" i="1" s="1"/>
  <c r="J91" i="1" s="1"/>
  <c r="K91" i="1" s="1"/>
  <c r="D94" i="1"/>
  <c r="E94" i="1"/>
  <c r="F94" i="1"/>
  <c r="G94" i="1"/>
  <c r="H94" i="1"/>
  <c r="I94" i="1"/>
  <c r="J94" i="1"/>
  <c r="K94" i="1"/>
  <c r="C94" i="1"/>
  <c r="D89" i="1"/>
  <c r="F89" i="1"/>
  <c r="G89" i="1"/>
  <c r="H89" i="1"/>
  <c r="I89" i="1"/>
  <c r="J89" i="1"/>
  <c r="K89" i="1"/>
  <c r="C89" i="1"/>
  <c r="D75" i="1"/>
  <c r="E75" i="1" s="1"/>
  <c r="F75" i="1" s="1"/>
  <c r="G75" i="1" s="1"/>
  <c r="H75" i="1" s="1"/>
  <c r="I75" i="1" s="1"/>
  <c r="J75" i="1" s="1"/>
  <c r="K75" i="1" s="1"/>
  <c r="M63" i="1"/>
  <c r="O68" i="1"/>
  <c r="M68" i="1"/>
  <c r="U71" i="1"/>
  <c r="U70" i="1"/>
  <c r="U69" i="1"/>
  <c r="U66" i="1"/>
  <c r="U65" i="1"/>
  <c r="U64" i="1"/>
  <c r="U61" i="1"/>
  <c r="U60" i="1"/>
  <c r="U58" i="1" s="1"/>
  <c r="U59" i="1"/>
  <c r="U56" i="1"/>
  <c r="U55" i="1"/>
  <c r="U53" i="1" s="1"/>
  <c r="U54" i="1"/>
  <c r="U46" i="1"/>
  <c r="U45" i="1"/>
  <c r="U43" i="1" s="1"/>
  <c r="U44" i="1"/>
  <c r="U41" i="1"/>
  <c r="U39" i="1"/>
  <c r="U40" i="1"/>
  <c r="U38" i="1" s="1"/>
  <c r="U36" i="1"/>
  <c r="U34" i="1"/>
  <c r="U35" i="1"/>
  <c r="U33" i="1" s="1"/>
  <c r="U31" i="1"/>
  <c r="U29" i="1"/>
  <c r="U30" i="1"/>
  <c r="U28" i="1" s="1"/>
  <c r="C4" i="1" a="1"/>
  <c r="C4" i="1" s="1"/>
  <c r="L67" i="1"/>
  <c r="L65" i="1"/>
  <c r="L60" i="1"/>
  <c r="L58" i="1" s="1"/>
  <c r="L57" i="1" s="1"/>
  <c r="L55" i="1"/>
  <c r="L54" i="1" s="1"/>
  <c r="L7" i="2"/>
  <c r="L40" i="1" s="1"/>
  <c r="L41" i="1" s="1"/>
  <c r="K19" i="2"/>
  <c r="G19" i="2" s="1"/>
  <c r="K17" i="2"/>
  <c r="G17" i="2" s="1"/>
  <c r="G18" i="2" s="1"/>
  <c r="K15" i="2"/>
  <c r="G15" i="2" s="1"/>
  <c r="G16" i="2" s="1"/>
  <c r="K13" i="2"/>
  <c r="G13" i="2" s="1"/>
  <c r="G14" i="2" s="1"/>
  <c r="K9" i="2"/>
  <c r="G9" i="2" s="1"/>
  <c r="G10" i="2" s="1"/>
  <c r="K7" i="2"/>
  <c r="K5" i="2"/>
  <c r="G5" i="2" s="1"/>
  <c r="G6" i="2" s="1"/>
  <c r="K3" i="2"/>
  <c r="G3" i="2" s="1"/>
  <c r="G4" i="2" s="1"/>
  <c r="J8" i="2"/>
  <c r="I8" i="2"/>
  <c r="J4" i="2"/>
  <c r="J6" i="2"/>
  <c r="J10" i="2"/>
  <c r="J14" i="2"/>
  <c r="D21" i="2"/>
  <c r="E21" i="2"/>
  <c r="F21" i="2"/>
  <c r="H21" i="2"/>
  <c r="I21" i="2"/>
  <c r="J21" i="2"/>
  <c r="C21" i="2"/>
  <c r="E8" i="2"/>
  <c r="F8" i="2"/>
  <c r="D8" i="2"/>
  <c r="D16" i="2"/>
  <c r="D14" i="2"/>
  <c r="D12" i="2"/>
  <c r="D10" i="2"/>
  <c r="D6" i="2"/>
  <c r="D4" i="2"/>
  <c r="I72" i="1"/>
  <c r="I76" i="1" s="1"/>
  <c r="I93" i="1" s="1"/>
  <c r="H72" i="1"/>
  <c r="H76" i="1" s="1"/>
  <c r="H93" i="1" s="1"/>
  <c r="J72" i="1"/>
  <c r="J76" i="1" s="1"/>
  <c r="J97" i="1" s="1"/>
  <c r="C72" i="1"/>
  <c r="C76" i="1" s="1"/>
  <c r="C97" i="1" s="1"/>
  <c r="D72" i="1"/>
  <c r="D76" i="1" s="1"/>
  <c r="D101" i="1" s="1"/>
  <c r="E72" i="1"/>
  <c r="E76" i="1" s="1"/>
  <c r="E97" i="1" s="1"/>
  <c r="F72" i="1"/>
  <c r="F76" i="1" s="1"/>
  <c r="F97" i="1" s="1"/>
  <c r="G72" i="1"/>
  <c r="G76" i="1" s="1"/>
  <c r="G97" i="1" s="1"/>
  <c r="K38" i="1"/>
  <c r="J38" i="1"/>
  <c r="I38" i="1"/>
  <c r="H38" i="1"/>
  <c r="G38" i="1"/>
  <c r="F38" i="1"/>
  <c r="E38" i="1"/>
  <c r="D38" i="1"/>
  <c r="I114" i="1" l="1"/>
  <c r="C114" i="1"/>
  <c r="K114" i="1"/>
  <c r="D114" i="1"/>
  <c r="J114" i="1"/>
  <c r="E114" i="1"/>
  <c r="H114" i="1"/>
  <c r="G114" i="1"/>
  <c r="F114" i="1"/>
  <c r="G80" i="1"/>
  <c r="I100" i="1"/>
  <c r="G83" i="1"/>
  <c r="I101" i="1"/>
  <c r="G86" i="1"/>
  <c r="G93" i="1"/>
  <c r="J101" i="1"/>
  <c r="F104" i="1"/>
  <c r="F125" i="1" s="1"/>
  <c r="F80" i="1"/>
  <c r="F83" i="1"/>
  <c r="F86" i="1"/>
  <c r="F93" i="1"/>
  <c r="I97" i="1"/>
  <c r="H100" i="1"/>
  <c r="H101" i="1"/>
  <c r="E104" i="1"/>
  <c r="E122" i="1" s="1"/>
  <c r="E80" i="1"/>
  <c r="E83" i="1"/>
  <c r="D86" i="1"/>
  <c r="E93" i="1"/>
  <c r="H97" i="1"/>
  <c r="G100" i="1"/>
  <c r="G101" i="1"/>
  <c r="C104" i="1"/>
  <c r="C125" i="1" s="1"/>
  <c r="D104" i="1"/>
  <c r="D80" i="1"/>
  <c r="D83" i="1"/>
  <c r="C93" i="1"/>
  <c r="D93" i="1"/>
  <c r="F100" i="1"/>
  <c r="F101" i="1"/>
  <c r="K104" i="1"/>
  <c r="C80" i="1"/>
  <c r="C83" i="1"/>
  <c r="C86" i="1"/>
  <c r="E100" i="1"/>
  <c r="E101" i="1"/>
  <c r="J104" i="1"/>
  <c r="J119" i="1" s="1"/>
  <c r="J80" i="1"/>
  <c r="J83" i="1"/>
  <c r="J86" i="1"/>
  <c r="J93" i="1"/>
  <c r="D100" i="1"/>
  <c r="I104" i="1"/>
  <c r="I122" i="1" s="1"/>
  <c r="I80" i="1"/>
  <c r="I83" i="1"/>
  <c r="I86" i="1"/>
  <c r="D97" i="1"/>
  <c r="C100" i="1"/>
  <c r="H104" i="1"/>
  <c r="H122" i="1" s="1"/>
  <c r="H80" i="1"/>
  <c r="H83" i="1"/>
  <c r="H86" i="1"/>
  <c r="J100" i="1"/>
  <c r="G104" i="1"/>
  <c r="G122" i="1" s="1"/>
  <c r="K101" i="1"/>
  <c r="K80" i="1"/>
  <c r="K93" i="1"/>
  <c r="K83" i="1"/>
  <c r="K97" i="1"/>
  <c r="K100" i="1"/>
  <c r="E77" i="1"/>
  <c r="L56" i="1"/>
  <c r="I77" i="1"/>
  <c r="G77" i="1"/>
  <c r="J77" i="1"/>
  <c r="L66" i="1"/>
  <c r="L63" i="1" s="1"/>
  <c r="L62" i="1" s="1"/>
  <c r="M62" i="1" s="1"/>
  <c r="M67" i="1"/>
  <c r="F77" i="1"/>
  <c r="H77" i="1"/>
  <c r="K77" i="1"/>
  <c r="D77" i="1"/>
  <c r="L38" i="1"/>
  <c r="L37" i="1" s="1"/>
  <c r="L61" i="1"/>
  <c r="L64" i="1"/>
  <c r="L39" i="1"/>
  <c r="L53" i="1"/>
  <c r="L52" i="1" s="1"/>
  <c r="L59" i="1"/>
  <c r="U63" i="1"/>
  <c r="N68" i="1"/>
  <c r="U68" i="1"/>
  <c r="L17" i="2"/>
  <c r="L15" i="2"/>
  <c r="G7" i="2"/>
  <c r="G8" i="2" s="1"/>
  <c r="L19" i="2"/>
  <c r="L13" i="2"/>
  <c r="L9" i="2"/>
  <c r="L45" i="1" s="1"/>
  <c r="L5" i="2"/>
  <c r="F22" i="2"/>
  <c r="E22" i="2"/>
  <c r="J22" i="2"/>
  <c r="D22" i="2"/>
  <c r="I22" i="2"/>
  <c r="I6" i="2"/>
  <c r="I10" i="2"/>
  <c r="I14" i="2"/>
  <c r="I16" i="2"/>
  <c r="J16" i="2"/>
  <c r="I18" i="2"/>
  <c r="J18" i="2"/>
  <c r="F6" i="2"/>
  <c r="I4" i="2"/>
  <c r="F18" i="2"/>
  <c r="F16" i="2"/>
  <c r="E16" i="2"/>
  <c r="F14" i="2"/>
  <c r="E14" i="2"/>
  <c r="F10" i="2"/>
  <c r="E10" i="2"/>
  <c r="E6" i="2"/>
  <c r="E4" i="2"/>
  <c r="B5" i="2"/>
  <c r="B9" i="2"/>
  <c r="B11" i="2"/>
  <c r="B13" i="2"/>
  <c r="B15" i="2"/>
  <c r="B17" i="2"/>
  <c r="B19" i="2"/>
  <c r="B3" i="2"/>
  <c r="M25" i="1"/>
  <c r="N25" i="1" s="1"/>
  <c r="O25" i="1" s="1"/>
  <c r="P25" i="1" s="1"/>
  <c r="Q25" i="1" s="1"/>
  <c r="R25" i="1" s="1"/>
  <c r="S25" i="1" s="1"/>
  <c r="T25" i="1" s="1"/>
  <c r="U25" i="1" s="1"/>
  <c r="M56" i="1" s="1"/>
  <c r="N56" i="1" s="1"/>
  <c r="O56" i="1" s="1"/>
  <c r="P56" i="1" s="1"/>
  <c r="Q56" i="1" s="1"/>
  <c r="R56" i="1" s="1"/>
  <c r="S56" i="1" s="1"/>
  <c r="T56" i="1" s="1"/>
  <c r="E73" i="1"/>
  <c r="F73" i="1"/>
  <c r="G73" i="1"/>
  <c r="H73" i="1"/>
  <c r="I73" i="1"/>
  <c r="J73" i="1"/>
  <c r="K73" i="1"/>
  <c r="D73" i="1"/>
  <c r="K63" i="1"/>
  <c r="H58" i="1"/>
  <c r="E48" i="1"/>
  <c r="F48" i="1"/>
  <c r="G48" i="1"/>
  <c r="H48" i="1"/>
  <c r="I48" i="1"/>
  <c r="J48" i="1"/>
  <c r="D48" i="1"/>
  <c r="E43" i="1"/>
  <c r="F43" i="1"/>
  <c r="G43" i="1"/>
  <c r="H43" i="1"/>
  <c r="I43" i="1"/>
  <c r="J43" i="1"/>
  <c r="K43" i="1"/>
  <c r="D43" i="1"/>
  <c r="E33" i="1"/>
  <c r="F33" i="1"/>
  <c r="G33" i="1"/>
  <c r="H33" i="1"/>
  <c r="I33" i="1"/>
  <c r="J33" i="1"/>
  <c r="K33" i="1"/>
  <c r="D33" i="1"/>
  <c r="K58" i="1"/>
  <c r="J58" i="1"/>
  <c r="I58" i="1"/>
  <c r="K53" i="1"/>
  <c r="J53" i="1"/>
  <c r="I53" i="1"/>
  <c r="H53" i="1"/>
  <c r="G53" i="1"/>
  <c r="E28" i="1"/>
  <c r="F28" i="1"/>
  <c r="G28" i="1"/>
  <c r="H28" i="1"/>
  <c r="I28" i="1"/>
  <c r="J28" i="1"/>
  <c r="K28" i="1"/>
  <c r="D28" i="1"/>
  <c r="D26" i="1"/>
  <c r="E26" i="1" s="1"/>
  <c r="F26" i="1" s="1"/>
  <c r="G26" i="1" s="1"/>
  <c r="H26" i="1" s="1"/>
  <c r="I26" i="1" s="1"/>
  <c r="J26" i="1" s="1"/>
  <c r="K26" i="1" s="1"/>
  <c r="L26" i="1" s="1"/>
  <c r="M26" i="1" s="1"/>
  <c r="N26" i="1" s="1"/>
  <c r="O26" i="1" s="1"/>
  <c r="P26" i="1" s="1"/>
  <c r="Q26" i="1" s="1"/>
  <c r="R26" i="1" s="1"/>
  <c r="S26" i="1" s="1"/>
  <c r="T26" i="1" s="1"/>
  <c r="U26" i="1" s="1"/>
  <c r="J125" i="1" l="1"/>
  <c r="J122" i="1"/>
  <c r="D105" i="1"/>
  <c r="F122" i="1"/>
  <c r="C12" i="4"/>
  <c r="E125" i="1"/>
  <c r="I119" i="1"/>
  <c r="H119" i="1"/>
  <c r="C119" i="1"/>
  <c r="D122" i="1"/>
  <c r="K125" i="1"/>
  <c r="K119" i="1"/>
  <c r="K122" i="1"/>
  <c r="E119" i="1"/>
  <c r="C122" i="1"/>
  <c r="G105" i="1"/>
  <c r="G119" i="1"/>
  <c r="C108" i="1"/>
  <c r="D119" i="1"/>
  <c r="F119" i="1"/>
  <c r="G125" i="1"/>
  <c r="L125" i="1" s="1"/>
  <c r="E108" i="1"/>
  <c r="H125" i="1"/>
  <c r="D125" i="1"/>
  <c r="I125" i="1"/>
  <c r="F108" i="1"/>
  <c r="D108" i="1"/>
  <c r="J105" i="1"/>
  <c r="M39" i="1"/>
  <c r="N39" i="1" s="1"/>
  <c r="O39" i="1" s="1"/>
  <c r="P39" i="1" s="1"/>
  <c r="Q39" i="1" s="1"/>
  <c r="R39" i="1" s="1"/>
  <c r="S39" i="1" s="1"/>
  <c r="T39" i="1" s="1"/>
  <c r="I105" i="1"/>
  <c r="G108" i="1"/>
  <c r="H105" i="1"/>
  <c r="H108" i="1"/>
  <c r="I108" i="1"/>
  <c r="K105" i="1"/>
  <c r="K108" i="1"/>
  <c r="E105" i="1"/>
  <c r="F105" i="1"/>
  <c r="J108" i="1"/>
  <c r="G21" i="2"/>
  <c r="G22" i="2" s="1"/>
  <c r="N67" i="1"/>
  <c r="O67" i="1" s="1"/>
  <c r="M40" i="1"/>
  <c r="M38" i="1" s="1"/>
  <c r="M37" i="1" s="1"/>
  <c r="M61" i="1"/>
  <c r="N61" i="1" s="1"/>
  <c r="O61" i="1" s="1"/>
  <c r="P61" i="1" s="1"/>
  <c r="Q61" i="1" s="1"/>
  <c r="R61" i="1" s="1"/>
  <c r="S61" i="1" s="1"/>
  <c r="T61" i="1" s="1"/>
  <c r="M45" i="1"/>
  <c r="L43" i="1"/>
  <c r="L42" i="1" s="1"/>
  <c r="N64" i="1"/>
  <c r="O64" i="1" s="1"/>
  <c r="P64" i="1" s="1"/>
  <c r="Q64" i="1" s="1"/>
  <c r="R64" i="1" s="1"/>
  <c r="S64" i="1" s="1"/>
  <c r="T64" i="1" s="1"/>
  <c r="N66" i="1"/>
  <c r="O66" i="1" s="1"/>
  <c r="P66" i="1" s="1"/>
  <c r="Q66" i="1" s="1"/>
  <c r="R66" i="1" s="1"/>
  <c r="S66" i="1" s="1"/>
  <c r="T66" i="1" s="1"/>
  <c r="M41" i="1"/>
  <c r="N41" i="1" s="1"/>
  <c r="O41" i="1" s="1"/>
  <c r="P41" i="1" s="1"/>
  <c r="Q41" i="1" s="1"/>
  <c r="R41" i="1" s="1"/>
  <c r="S41" i="1" s="1"/>
  <c r="T41" i="1" s="1"/>
  <c r="N65" i="1"/>
  <c r="O65" i="1" s="1"/>
  <c r="P65" i="1" s="1"/>
  <c r="Q65" i="1" s="1"/>
  <c r="R65" i="1" s="1"/>
  <c r="S65" i="1" s="1"/>
  <c r="T65" i="1" s="1"/>
  <c r="P69" i="1"/>
  <c r="Q69" i="1" s="1"/>
  <c r="R69" i="1" s="1"/>
  <c r="S69" i="1" s="1"/>
  <c r="T69" i="1" s="1"/>
  <c r="M59" i="1"/>
  <c r="N59" i="1" s="1"/>
  <c r="O59" i="1" s="1"/>
  <c r="P59" i="1" s="1"/>
  <c r="Q59" i="1" s="1"/>
  <c r="R59" i="1" s="1"/>
  <c r="S59" i="1" s="1"/>
  <c r="T59" i="1" s="1"/>
  <c r="M54" i="1"/>
  <c r="N54" i="1" s="1"/>
  <c r="O54" i="1" s="1"/>
  <c r="P54" i="1" s="1"/>
  <c r="Q54" i="1" s="1"/>
  <c r="R54" i="1" s="1"/>
  <c r="S54" i="1" s="1"/>
  <c r="T54" i="1" s="1"/>
  <c r="P71" i="1"/>
  <c r="Q71" i="1" s="1"/>
  <c r="R71" i="1" s="1"/>
  <c r="S71" i="1" s="1"/>
  <c r="T71" i="1" s="1"/>
  <c r="M55" i="1"/>
  <c r="M60" i="1"/>
  <c r="P70" i="1"/>
  <c r="Q70" i="1" s="1"/>
  <c r="R70" i="1" s="1"/>
  <c r="S70" i="1" s="1"/>
  <c r="T70" i="1" s="1"/>
  <c r="L44" i="1"/>
  <c r="M44" i="1" s="1"/>
  <c r="N44" i="1" s="1"/>
  <c r="O44" i="1" s="1"/>
  <c r="P44" i="1" s="1"/>
  <c r="Q44" i="1" s="1"/>
  <c r="R44" i="1" s="1"/>
  <c r="S44" i="1" s="1"/>
  <c r="T44" i="1" s="1"/>
  <c r="L46" i="1"/>
  <c r="M46" i="1" s="1"/>
  <c r="N46" i="1" s="1"/>
  <c r="O46" i="1" s="1"/>
  <c r="P46" i="1" s="1"/>
  <c r="Q46" i="1" s="1"/>
  <c r="R46" i="1" s="1"/>
  <c r="S46" i="1" s="1"/>
  <c r="T46" i="1" s="1"/>
  <c r="L35" i="1"/>
  <c r="C18" i="4" l="1"/>
  <c r="I20" i="1" s="1"/>
  <c r="M125" i="1"/>
  <c r="N63" i="1"/>
  <c r="N62" i="1" s="1"/>
  <c r="L111" i="1"/>
  <c r="M111" i="1" s="1"/>
  <c r="N111" i="1" s="1"/>
  <c r="O111" i="1" s="1"/>
  <c r="P111" i="1" s="1"/>
  <c r="Q111" i="1" s="1"/>
  <c r="R111" i="1" s="1"/>
  <c r="S111" i="1" s="1"/>
  <c r="T111" i="1" s="1"/>
  <c r="L110" i="1"/>
  <c r="L109" i="1"/>
  <c r="M109" i="1" s="1"/>
  <c r="N109" i="1" s="1"/>
  <c r="O109" i="1" s="1"/>
  <c r="P109" i="1" s="1"/>
  <c r="Q109" i="1" s="1"/>
  <c r="R109" i="1" s="1"/>
  <c r="S109" i="1" s="1"/>
  <c r="T109" i="1" s="1"/>
  <c r="N40" i="1"/>
  <c r="O40" i="1" s="1"/>
  <c r="N60" i="1"/>
  <c r="M58" i="1"/>
  <c r="M57" i="1" s="1"/>
  <c r="L33" i="1"/>
  <c r="L32" i="1" s="1"/>
  <c r="L34" i="1"/>
  <c r="M34" i="1" s="1"/>
  <c r="N34" i="1" s="1"/>
  <c r="O34" i="1" s="1"/>
  <c r="P34" i="1" s="1"/>
  <c r="Q34" i="1" s="1"/>
  <c r="R34" i="1" s="1"/>
  <c r="S34" i="1" s="1"/>
  <c r="T34" i="1" s="1"/>
  <c r="L36" i="1"/>
  <c r="M36" i="1" s="1"/>
  <c r="N36" i="1" s="1"/>
  <c r="O36" i="1" s="1"/>
  <c r="P36" i="1" s="1"/>
  <c r="Q36" i="1" s="1"/>
  <c r="R36" i="1" s="1"/>
  <c r="S36" i="1" s="1"/>
  <c r="T36" i="1" s="1"/>
  <c r="M35" i="1"/>
  <c r="N55" i="1"/>
  <c r="M53" i="1"/>
  <c r="M52" i="1" s="1"/>
  <c r="M43" i="1"/>
  <c r="M42" i="1" s="1"/>
  <c r="N45" i="1"/>
  <c r="O63" i="1"/>
  <c r="L3" i="2"/>
  <c r="N3" i="2" s="1"/>
  <c r="G20" i="1" l="1"/>
  <c r="E23" i="1"/>
  <c r="K20" i="1"/>
  <c r="O62" i="1"/>
  <c r="N125" i="1"/>
  <c r="M110" i="1"/>
  <c r="M108" i="1" s="1"/>
  <c r="L108" i="1"/>
  <c r="N38" i="1"/>
  <c r="N37" i="1" s="1"/>
  <c r="P40" i="1"/>
  <c r="O38" i="1"/>
  <c r="O45" i="1"/>
  <c r="N43" i="1"/>
  <c r="N42" i="1" s="1"/>
  <c r="M33" i="1"/>
  <c r="M32" i="1" s="1"/>
  <c r="N35" i="1"/>
  <c r="O55" i="1"/>
  <c r="N53" i="1"/>
  <c r="N52" i="1" s="1"/>
  <c r="O60" i="1"/>
  <c r="N58" i="1"/>
  <c r="N57" i="1" s="1"/>
  <c r="P63" i="1"/>
  <c r="L30" i="1"/>
  <c r="L21" i="2"/>
  <c r="K21" i="2"/>
  <c r="K22" i="2" s="1"/>
  <c r="P62" i="1" l="1"/>
  <c r="O125" i="1"/>
  <c r="N110" i="1"/>
  <c r="O37" i="1"/>
  <c r="N33" i="1"/>
  <c r="N32" i="1" s="1"/>
  <c r="O35" i="1"/>
  <c r="P60" i="1"/>
  <c r="O58" i="1"/>
  <c r="O57" i="1" s="1"/>
  <c r="P45" i="1"/>
  <c r="O43" i="1"/>
  <c r="O42" i="1" s="1"/>
  <c r="M30" i="1"/>
  <c r="L29" i="1"/>
  <c r="M29" i="1" s="1"/>
  <c r="N29" i="1" s="1"/>
  <c r="O29" i="1" s="1"/>
  <c r="P29" i="1" s="1"/>
  <c r="Q29" i="1" s="1"/>
  <c r="R29" i="1" s="1"/>
  <c r="S29" i="1" s="1"/>
  <c r="T29" i="1" s="1"/>
  <c r="L28" i="1"/>
  <c r="L27" i="1" s="1"/>
  <c r="L72" i="1" s="1"/>
  <c r="L104" i="1" s="1"/>
  <c r="L107" i="1" s="1"/>
  <c r="L31" i="1"/>
  <c r="M31" i="1" s="1"/>
  <c r="N31" i="1" s="1"/>
  <c r="O31" i="1" s="1"/>
  <c r="P31" i="1" s="1"/>
  <c r="Q31" i="1" s="1"/>
  <c r="P55" i="1"/>
  <c r="O53" i="1"/>
  <c r="O52" i="1" s="1"/>
  <c r="Q40" i="1"/>
  <c r="P38" i="1"/>
  <c r="Q63" i="1"/>
  <c r="Q62" i="1" l="1"/>
  <c r="P125" i="1"/>
  <c r="L113" i="1"/>
  <c r="L116" i="1" s="1"/>
  <c r="O110" i="1"/>
  <c r="N108" i="1"/>
  <c r="L121" i="1"/>
  <c r="L124" i="1"/>
  <c r="L105" i="1"/>
  <c r="L118" i="1"/>
  <c r="P37" i="1"/>
  <c r="R31" i="1"/>
  <c r="S31" i="1" s="1"/>
  <c r="T31" i="1" s="1"/>
  <c r="Q60" i="1"/>
  <c r="P58" i="1"/>
  <c r="P57" i="1" s="1"/>
  <c r="N30" i="1"/>
  <c r="M28" i="1"/>
  <c r="M27" i="1" s="1"/>
  <c r="M72" i="1" s="1"/>
  <c r="M104" i="1" s="1"/>
  <c r="M107" i="1" s="1"/>
  <c r="Q55" i="1"/>
  <c r="P53" i="1"/>
  <c r="P52" i="1" s="1"/>
  <c r="P35" i="1"/>
  <c r="O33" i="1"/>
  <c r="O32" i="1" s="1"/>
  <c r="R40" i="1"/>
  <c r="Q38" i="1"/>
  <c r="Q45" i="1"/>
  <c r="P43" i="1"/>
  <c r="P42" i="1" s="1"/>
  <c r="R63" i="1"/>
  <c r="R62" i="1" l="1"/>
  <c r="Q125" i="1"/>
  <c r="M113" i="1"/>
  <c r="M116" i="1" s="1"/>
  <c r="P110" i="1"/>
  <c r="O108" i="1"/>
  <c r="L127" i="1"/>
  <c r="L128" i="1" s="1"/>
  <c r="M121" i="1"/>
  <c r="M124" i="1"/>
  <c r="M105" i="1"/>
  <c r="M118" i="1"/>
  <c r="Q37" i="1"/>
  <c r="O30" i="1"/>
  <c r="N28" i="1"/>
  <c r="N27" i="1" s="1"/>
  <c r="N72" i="1" s="1"/>
  <c r="N104" i="1" s="1"/>
  <c r="N107" i="1" s="1"/>
  <c r="L73" i="1"/>
  <c r="R60" i="1"/>
  <c r="Q58" i="1"/>
  <c r="Q57" i="1" s="1"/>
  <c r="Q35" i="1"/>
  <c r="P33" i="1"/>
  <c r="P32" i="1" s="1"/>
  <c r="R45" i="1"/>
  <c r="Q43" i="1"/>
  <c r="Q42" i="1" s="1"/>
  <c r="R55" i="1"/>
  <c r="Q53" i="1"/>
  <c r="Q52" i="1" s="1"/>
  <c r="S40" i="1"/>
  <c r="R38" i="1"/>
  <c r="T63" i="1"/>
  <c r="S63" i="1"/>
  <c r="S62" i="1" l="1"/>
  <c r="R125" i="1"/>
  <c r="S125" i="1" s="1"/>
  <c r="T125" i="1" s="1"/>
  <c r="U125" i="1" s="1"/>
  <c r="N113" i="1"/>
  <c r="N116" i="1" s="1"/>
  <c r="Q110" i="1"/>
  <c r="P108" i="1"/>
  <c r="M127" i="1"/>
  <c r="M128" i="1" s="1"/>
  <c r="N121" i="1"/>
  <c r="N124" i="1"/>
  <c r="N105" i="1"/>
  <c r="N118" i="1"/>
  <c r="R37" i="1"/>
  <c r="S45" i="1"/>
  <c r="R43" i="1"/>
  <c r="R42" i="1" s="1"/>
  <c r="R35" i="1"/>
  <c r="Q33" i="1"/>
  <c r="Q32" i="1" s="1"/>
  <c r="T40" i="1"/>
  <c r="T38" i="1" s="1"/>
  <c r="S38" i="1"/>
  <c r="M73" i="1"/>
  <c r="P30" i="1"/>
  <c r="O28" i="1"/>
  <c r="O27" i="1" s="1"/>
  <c r="O72" i="1" s="1"/>
  <c r="O104" i="1" s="1"/>
  <c r="O107" i="1" s="1"/>
  <c r="S55" i="1"/>
  <c r="R53" i="1"/>
  <c r="R52" i="1" s="1"/>
  <c r="S60" i="1"/>
  <c r="R58" i="1"/>
  <c r="R57" i="1" s="1"/>
  <c r="T62" i="1"/>
  <c r="U62" i="1" s="1"/>
  <c r="O113" i="1" l="1"/>
  <c r="O116" i="1" s="1"/>
  <c r="R110" i="1"/>
  <c r="Q108" i="1"/>
  <c r="N127" i="1"/>
  <c r="N128" i="1" s="1"/>
  <c r="O121" i="1"/>
  <c r="O124" i="1"/>
  <c r="O105" i="1"/>
  <c r="O118" i="1"/>
  <c r="S37" i="1"/>
  <c r="T37" i="1" s="1"/>
  <c r="U37" i="1" s="1"/>
  <c r="N73" i="1"/>
  <c r="Q30" i="1"/>
  <c r="P28" i="1"/>
  <c r="P27" i="1" s="1"/>
  <c r="T55" i="1"/>
  <c r="T53" i="1" s="1"/>
  <c r="S53" i="1"/>
  <c r="S52" i="1" s="1"/>
  <c r="S35" i="1"/>
  <c r="R33" i="1"/>
  <c r="R32" i="1" s="1"/>
  <c r="T45" i="1"/>
  <c r="T43" i="1" s="1"/>
  <c r="S43" i="1"/>
  <c r="S42" i="1" s="1"/>
  <c r="T60" i="1"/>
  <c r="T58" i="1" s="1"/>
  <c r="S58" i="1"/>
  <c r="S57" i="1" s="1"/>
  <c r="P68" i="1"/>
  <c r="P67" i="1" s="1"/>
  <c r="Q68" i="1"/>
  <c r="R68" i="1"/>
  <c r="S110" i="1" l="1"/>
  <c r="R108" i="1"/>
  <c r="O127" i="1"/>
  <c r="O128" i="1" s="1"/>
  <c r="P72" i="1"/>
  <c r="P104" i="1" s="1"/>
  <c r="P107" i="1" s="1"/>
  <c r="T52" i="1"/>
  <c r="U52" i="1" s="1"/>
  <c r="T57" i="1"/>
  <c r="U57" i="1" s="1"/>
  <c r="T42" i="1"/>
  <c r="U42" i="1" s="1"/>
  <c r="T35" i="1"/>
  <c r="T33" i="1" s="1"/>
  <c r="S33" i="1"/>
  <c r="S32" i="1" s="1"/>
  <c r="O73" i="1"/>
  <c r="R30" i="1"/>
  <c r="Q28" i="1"/>
  <c r="Q27" i="1" s="1"/>
  <c r="Q67" i="1"/>
  <c r="P113" i="1" l="1"/>
  <c r="P116" i="1" s="1"/>
  <c r="T110" i="1"/>
  <c r="T108" i="1" s="1"/>
  <c r="S108" i="1"/>
  <c r="P121" i="1"/>
  <c r="P124" i="1"/>
  <c r="P105" i="1"/>
  <c r="P118" i="1"/>
  <c r="Q72" i="1"/>
  <c r="Q104" i="1" s="1"/>
  <c r="Q107" i="1" s="1"/>
  <c r="T32" i="1"/>
  <c r="U32" i="1" s="1"/>
  <c r="S30" i="1"/>
  <c r="R28" i="1"/>
  <c r="R27" i="1" s="1"/>
  <c r="P73" i="1"/>
  <c r="R67" i="1"/>
  <c r="T68" i="1"/>
  <c r="S68" i="1"/>
  <c r="Q113" i="1" l="1"/>
  <c r="Q116" i="1" s="1"/>
  <c r="P127" i="1"/>
  <c r="P128" i="1" s="1"/>
  <c r="Q121" i="1"/>
  <c r="Q124" i="1"/>
  <c r="Q105" i="1"/>
  <c r="Q118" i="1"/>
  <c r="R72" i="1"/>
  <c r="R104" i="1" s="1"/>
  <c r="R107" i="1" s="1"/>
  <c r="T30" i="1"/>
  <c r="T28" i="1" s="1"/>
  <c r="S28" i="1"/>
  <c r="S27" i="1" s="1"/>
  <c r="Q73" i="1"/>
  <c r="S67" i="1"/>
  <c r="R113" i="1" l="1"/>
  <c r="R116" i="1" s="1"/>
  <c r="Q127" i="1"/>
  <c r="Q128" i="1" s="1"/>
  <c r="R121" i="1"/>
  <c r="R124" i="1"/>
  <c r="R105" i="1"/>
  <c r="R118" i="1"/>
  <c r="S72" i="1"/>
  <c r="S104" i="1" s="1"/>
  <c r="S107" i="1" s="1"/>
  <c r="T27" i="1"/>
  <c r="R73" i="1"/>
  <c r="T67" i="1"/>
  <c r="S113" i="1" l="1"/>
  <c r="S116" i="1" s="1"/>
  <c r="R127" i="1"/>
  <c r="R128" i="1" s="1"/>
  <c r="S121" i="1"/>
  <c r="S124" i="1"/>
  <c r="S105" i="1"/>
  <c r="S118" i="1"/>
  <c r="U27" i="1"/>
  <c r="T72" i="1"/>
  <c r="T104" i="1" s="1"/>
  <c r="T107" i="1" s="1"/>
  <c r="S73" i="1"/>
  <c r="U67" i="1"/>
  <c r="T113" i="1" l="1"/>
  <c r="T116" i="1" s="1"/>
  <c r="S127" i="1"/>
  <c r="S128" i="1" s="1"/>
  <c r="T121" i="1"/>
  <c r="T124" i="1"/>
  <c r="T105" i="1"/>
  <c r="T118" i="1"/>
  <c r="U72" i="1"/>
  <c r="U104" i="1" s="1"/>
  <c r="T73" i="1"/>
  <c r="U107" i="1" l="1"/>
  <c r="U113" i="1" s="1"/>
  <c r="U116" i="1" s="1"/>
  <c r="T127" i="1"/>
  <c r="T128" i="1" s="1"/>
  <c r="U121" i="1"/>
  <c r="U124" i="1"/>
  <c r="U105" i="1"/>
  <c r="U118" i="1"/>
  <c r="U73" i="1"/>
  <c r="U127" i="1" l="1"/>
  <c r="U130" i="1" s="1"/>
  <c r="U128" i="1" l="1"/>
  <c r="U131" i="1"/>
  <c r="E86" i="1"/>
  <c r="E89" i="1"/>
  <c r="U133" i="1" l="1"/>
  <c r="U136" i="1" s="1"/>
  <c r="U138" i="1" s="1"/>
  <c r="D143" i="1" l="1"/>
  <c r="G4" i="1" l="1"/>
  <c r="K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<sst xmlns="http://schemas.openxmlformats.org/spreadsheetml/2006/main" count="283" uniqueCount="145">
  <si>
    <t xml:space="preserve"> </t>
  </si>
  <si>
    <t xml:space="preserve">Ticker </t>
  </si>
  <si>
    <t xml:space="preserve">Date </t>
  </si>
  <si>
    <t>x</t>
  </si>
  <si>
    <t>Revenue build</t>
  </si>
  <si>
    <t>Income statement</t>
  </si>
  <si>
    <t>Cash flow items</t>
  </si>
  <si>
    <t>DCF</t>
  </si>
  <si>
    <t>Naglazyme</t>
  </si>
  <si>
    <t>Kuvan</t>
  </si>
  <si>
    <t>Aldurazyme</t>
  </si>
  <si>
    <t>Firdapse</t>
  </si>
  <si>
    <t>Total</t>
  </si>
  <si>
    <t>Vimizim</t>
  </si>
  <si>
    <t>Brineura</t>
  </si>
  <si>
    <t>Palynziq</t>
  </si>
  <si>
    <t>Voxzogo</t>
  </si>
  <si>
    <t>% growth</t>
  </si>
  <si>
    <t xml:space="preserve">  Base</t>
  </si>
  <si>
    <t>Roctavian</t>
  </si>
  <si>
    <t>Base</t>
  </si>
  <si>
    <t xml:space="preserve">  Conservative</t>
  </si>
  <si>
    <t xml:space="preserve">  Aggressive</t>
  </si>
  <si>
    <t>Main</t>
  </si>
  <si>
    <t>Product</t>
  </si>
  <si>
    <t>Territory</t>
  </si>
  <si>
    <t>Subject</t>
  </si>
  <si>
    <t>US</t>
  </si>
  <si>
    <t xml:space="preserve">Method of treatment </t>
  </si>
  <si>
    <t>Method of treatment by administration into the cerebrospinal fluid</t>
  </si>
  <si>
    <t>Formulation; kit</t>
  </si>
  <si>
    <t>EU</t>
  </si>
  <si>
    <t>Pharmaceutical composition</t>
  </si>
  <si>
    <t>Formulation</t>
  </si>
  <si>
    <t xml:space="preserve">Use for treating with once daily dosing regimen </t>
  </si>
  <si>
    <t>Use for treating once daily after a meal</t>
  </si>
  <si>
    <t>Use for treating after a meal</t>
  </si>
  <si>
    <t>Antibody assays</t>
  </si>
  <si>
    <t>Compositions; pharmaceutical compositions; use to treat enzyme deficiency</t>
  </si>
  <si>
    <t>Composition</t>
  </si>
  <si>
    <t xml:space="preserve">Method of treating </t>
  </si>
  <si>
    <t>Purification</t>
  </si>
  <si>
    <t>Antibody detection assay</t>
  </si>
  <si>
    <t>Regimen</t>
  </si>
  <si>
    <t>Formulation; purification</t>
  </si>
  <si>
    <t>Clinical methods of treatment</t>
  </si>
  <si>
    <t>Compositions, methods of treatment</t>
  </si>
  <si>
    <t>Formulation, Clinical methods of treatment</t>
  </si>
  <si>
    <t>Compositions; methods of treatment, production</t>
  </si>
  <si>
    <t>Purification; formulation; methods of treatment</t>
  </si>
  <si>
    <t>Composition, use for treating</t>
  </si>
  <si>
    <t>Purification; composition; use fir treating; formulation</t>
  </si>
  <si>
    <t>Q123</t>
  </si>
  <si>
    <t>Q223</t>
  </si>
  <si>
    <t>Q323</t>
  </si>
  <si>
    <t>Q423</t>
  </si>
  <si>
    <t>Q422</t>
  </si>
  <si>
    <t>Q421</t>
  </si>
  <si>
    <t xml:space="preserve">Q420 </t>
  </si>
  <si>
    <t>Patent</t>
  </si>
  <si>
    <t>Exclusivity</t>
  </si>
  <si>
    <t>EU Orphan</t>
  </si>
  <si>
    <t>US Biologic</t>
  </si>
  <si>
    <t>US Orphan</t>
  </si>
  <si>
    <t>Pending</t>
  </si>
  <si>
    <t>Expired</t>
  </si>
  <si>
    <t>N/A</t>
  </si>
  <si>
    <t>Indication</t>
  </si>
  <si>
    <t>CLN2</t>
  </si>
  <si>
    <t>Children with CLN2 produce deficient levels of the enzyme TPP1. Without enough of this enzyme, children are unable to dispose of all the wastes normally metabolized in their cell’s lysosomes. The wastes accumulate in organs, particularly the brain and retina, contributing to the loss of cognitive, motor and visual functions.</t>
  </si>
  <si>
    <t>PKU</t>
  </si>
  <si>
    <t>MPS VI</t>
  </si>
  <si>
    <t>Disease</t>
  </si>
  <si>
    <t>Hemophilia A</t>
  </si>
  <si>
    <t>MOA</t>
  </si>
  <si>
    <t>MPS IVA</t>
  </si>
  <si>
    <t>Achondroplasia</t>
  </si>
  <si>
    <t>MPS I</t>
  </si>
  <si>
    <t>PKU is a disorder caused by a deficiency of the enzyme PAH. This enzyme is required for the breakdown of Phe, an amino acid found in food. When PAH is deficient or defective, Phe accumulates to abnormally high levels in the blood.</t>
  </si>
  <si>
    <t>MPS VI is an inherited lysosomal storage disorder caused by the deficiency of arylsulfatase B, an enzyme normally required for the breakdown of certain complex carbohydrates (GAGs). If the enzyme is not present in sufficient quantities, the normal breakdown of GAGs is incomplete or blocked. The cell is unable to excrete the GAG residues, which then accumulate in the lysosomes of the cell. This accumulation disrupts the cell’s normal functioning and gives rise to the physical manifestations of the disease.</t>
  </si>
  <si>
    <t>Hemophilia A is a rare bleeding disorder caused by a mutation in the gene F8 that provides instructions to make the protein factor VIII, which is essential for blood to clot normally. Mutations in the F8 gene lead to reduced or absent levels of FVIII in the blood, making it hard for the body to form blood clots. People with moderate to severe hemophilia are at risk for spontaneous bleeding, as well as excessive bleeding from minor cuts, falls or normal activities of daily life that would not affect people without hemophilia.</t>
  </si>
  <si>
    <t>MPS IVA, Morquio A, is a rare inherited disease that affects major organ systems in the body. People born with Morquio A can’t break down GAGs molecules because their bodies don’t make enough of an enzyme, or protein, called GALNS. This enzyme breaks down or recycles materials the body can’t use. When the body doesn’t produce enough of the enzyme, GAGs build up in tissues, bones, and major organs. GAGs cause serious problems, including heart disease, skeletal abnormalities, vision and hearing loss, difficulty breathing, and early death.</t>
  </si>
  <si>
    <t>Achondroplasia is a rare genetic bone growth disorder and the most common form of disproportionate short stature. Achondroplasia is caused by a change in the fibroblast growth factor receptor 3 (FGFR3) gene, which impairs the growth of bone in the cartilage of the growth plate. While the most visible effects are in the arms, legs, and face, nearly all of the bones in the body are affected. Achondroplasia is characterized by distinctive features including disproportionate short stature, curvature of the spine and an enlarged head (macrocephaly). Adults may develop bowed legs and lower back problems that can lead to difficulty walking.</t>
  </si>
  <si>
    <t>MPS I is an inherited lysosomal storage disorder caused by a deficiency of alpha-L-iduronidase, a lysosomal enzyme normally required for the breakdown of GAGs. If the enzyme is not present in sufficient quantities, the normal breakdown of GAGs is incomplete or blocked. The cell is then unable to excrete the carbohydrate residues and they accumulate in the lysosomes of the cell. This accumulation disrupts the cell’s normal functioning and gives rise to the clinical manifestations of the disease.</t>
  </si>
  <si>
    <t>Administration</t>
  </si>
  <si>
    <t>Administered to the cerebrospinal fluid via intracerebroventricular infusion</t>
  </si>
  <si>
    <t>Enzyme replacement therapy</t>
  </si>
  <si>
    <t>Oral (tablets/powder)</t>
  </si>
  <si>
    <t>Infusion</t>
  </si>
  <si>
    <t>Injection</t>
  </si>
  <si>
    <t>Enzyme substitution therapy</t>
  </si>
  <si>
    <t>Enzyme addition therapy</t>
  </si>
  <si>
    <t>Gene therapy</t>
  </si>
  <si>
    <t>Increased CNP signaling</t>
  </si>
  <si>
    <t>Q419</t>
  </si>
  <si>
    <t xml:space="preserve">   </t>
  </si>
  <si>
    <t>Enzyme products</t>
  </si>
  <si>
    <t>Switches</t>
  </si>
  <si>
    <t>Conservative</t>
  </si>
  <si>
    <t>Total revenue</t>
  </si>
  <si>
    <t>Revenue</t>
  </si>
  <si>
    <t>EBIT</t>
  </si>
  <si>
    <t>% of sales</t>
  </si>
  <si>
    <t>R&amp;D</t>
  </si>
  <si>
    <t>Taxes</t>
  </si>
  <si>
    <t>% of EBIT</t>
  </si>
  <si>
    <t>D&amp;A</t>
  </si>
  <si>
    <t>% of CapEx</t>
  </si>
  <si>
    <t>CapEx</t>
  </si>
  <si>
    <t>Change in NWC</t>
  </si>
  <si>
    <t>% of change in sales</t>
  </si>
  <si>
    <t>COGS</t>
  </si>
  <si>
    <t>EBIAT</t>
  </si>
  <si>
    <t>FCF</t>
  </si>
  <si>
    <t>Enterprise value</t>
  </si>
  <si>
    <t>Cash</t>
  </si>
  <si>
    <t>Debt</t>
  </si>
  <si>
    <t>Equity value</t>
  </si>
  <si>
    <t>Shares</t>
  </si>
  <si>
    <t>Implied share price</t>
  </si>
  <si>
    <t>EBIT 2032</t>
  </si>
  <si>
    <t>Optimisitc</t>
  </si>
  <si>
    <t xml:space="preserve">  Optimistic</t>
  </si>
  <si>
    <t>WACC</t>
  </si>
  <si>
    <t>Tax rate</t>
  </si>
  <si>
    <t>Cost of equity</t>
  </si>
  <si>
    <t>Risk free rate</t>
  </si>
  <si>
    <t>Beta</t>
  </si>
  <si>
    <t>Cost of debt</t>
  </si>
  <si>
    <t>Market cap</t>
  </si>
  <si>
    <t>Market risk premium</t>
  </si>
  <si>
    <t>% of equity</t>
  </si>
  <si>
    <t>% of debt</t>
  </si>
  <si>
    <t>Cost of equity = Risk free rate + Beta * Market risk premium</t>
  </si>
  <si>
    <t>Wacc = % of equity * Cost of equity + % of debt * Cost of debt * (1 - Tax rate)</t>
  </si>
  <si>
    <t>TGR</t>
  </si>
  <si>
    <t>Step</t>
  </si>
  <si>
    <t>FCF PV</t>
  </si>
  <si>
    <t>Terminal value</t>
  </si>
  <si>
    <t>Terminal value PV</t>
  </si>
  <si>
    <t>Current share price</t>
  </si>
  <si>
    <t>Upside (Downside)</t>
  </si>
  <si>
    <t>Sensitivity analysis</t>
  </si>
  <si>
    <t>Terminal growth rate</t>
  </si>
  <si>
    <t>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</si>
</sst>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Red]\-&quot;£&quot;#,##0.00"/>
    <numFmt numFmtId="165" formatCode="#,##0.0"/>
    <numFmt numFmtId="166" formatCode="0.0"/>
    <numFmt numFmtId="167" formatCode="\X\X\X;\x\x\x;&quot;--&quot;"/>
    <numFmt numFmtId="168" formatCode="dd/mm/yy;@"/>
    <numFmt numFmtId="169" formatCode="0.0%"/>
    <numFmt numFmtId="170" formatCode="#,##0.0_);\(#,##0.0\)"/>
    <numFmt numFmtId="171" formatCode="_([$$-409]* #,##0.00_);_([$$-409]* \(#,##0.00\);_([$$-409]* &quot;-&quot;??_);_(@_)"/>
  </numFmts>
  <fonts count="7" x14ac:knownFonts="1">
    <font>
      <sz val="11"/>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i/>
      <sz val="11"/>
      <color theme="1"/>
      <name val="Calibri"/>
      <family val="2"/>
      <scheme val="minor"/>
    </font>
    <font>
      <sz val="11"/>
      <color theme="0"/>
      <name val="Calibri"/>
      <family val="2"/>
      <scheme val="minor"/>
    </font>
  </fonts>
  <fills count="2">
    <fill>
      <patternFill patternType="none"/>
    </fill>
    <fill>
      <patternFill patternType="gray125"/>
    </fill>
  </fills>
  <borders count="12">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23">
    <xf numFmtId="0" fontId="0" fillId="0" borderId="0" xfId="0"/>
    <xf numFmtId="0" fontId="0" fillId="0" borderId="1" xfId="0" applyBorder="1"/>
    <xf numFmtId="0" fontId="1" fillId="0" borderId="1" xfId="0" applyFont="1" applyBorder="1"/>
    <xf numFmtId="0" fontId="2" fillId="0" borderId="0" xfId="0" applyFont="1"/>
    <xf numFmtId="0" fontId="2" fillId="0" borderId="0" xfId="0" applyFont="1" applyAlignment="1">
      <alignment horizontal="right"/>
    </xf>
    <xf numFmtId="165" fontId="0" fillId="0" borderId="0" xfId="0" applyNumberFormat="1"/>
    <xf numFmtId="0" fontId="3" fillId="0" borderId="0" xfId="1"/>
    <xf numFmtId="166" fontId="0" fillId="0" borderId="0" xfId="0" applyNumberFormat="1"/>
    <xf numFmtId="167" fontId="0" fillId="0" borderId="0" xfId="0" applyNumberFormat="1"/>
    <xf numFmtId="0" fontId="4" fillId="0" borderId="0" xfId="0" applyFont="1"/>
    <xf numFmtId="0" fontId="0" fillId="0" borderId="2" xfId="0" applyBorder="1"/>
    <xf numFmtId="168" fontId="0" fillId="0" borderId="0" xfId="0" applyNumberFormat="1"/>
    <xf numFmtId="0" fontId="0" fillId="0" borderId="8" xfId="0" applyBorder="1"/>
    <xf numFmtId="168" fontId="0" fillId="0" borderId="7" xfId="0" applyNumberFormat="1" applyBorder="1" applyAlignment="1">
      <alignment horizontal="left"/>
    </xf>
    <xf numFmtId="168" fontId="0" fillId="0" borderId="9" xfId="0" applyNumberFormat="1" applyBorder="1" applyAlignment="1">
      <alignment horizontal="left"/>
    </xf>
    <xf numFmtId="168" fontId="0" fillId="0" borderId="11" xfId="0" applyNumberFormat="1" applyBorder="1" applyAlignment="1">
      <alignment horizontal="left"/>
    </xf>
    <xf numFmtId="168" fontId="0" fillId="0" borderId="0" xfId="0" applyNumberFormat="1" applyAlignment="1">
      <alignment horizontal="left"/>
    </xf>
    <xf numFmtId="0" fontId="5" fillId="0" borderId="0" xfId="0" applyFont="1"/>
    <xf numFmtId="168" fontId="2" fillId="0" borderId="6" xfId="0" applyNumberFormat="1" applyFont="1" applyBorder="1" applyAlignment="1">
      <alignment horizontal="left"/>
    </xf>
    <xf numFmtId="168" fontId="2" fillId="0" borderId="2" xfId="0" applyNumberFormat="1" applyFont="1" applyBorder="1" applyAlignment="1">
      <alignment horizontal="left"/>
    </xf>
    <xf numFmtId="168" fontId="2" fillId="0" borderId="7" xfId="0" applyNumberFormat="1" applyFont="1" applyBorder="1"/>
    <xf numFmtId="0" fontId="2" fillId="0" borderId="2" xfId="0" applyFont="1" applyBorder="1"/>
    <xf numFmtId="0" fontId="5" fillId="0" borderId="8" xfId="0" applyFont="1" applyBorder="1"/>
    <xf numFmtId="168" fontId="0" fillId="0" borderId="11" xfId="0" applyNumberFormat="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4" xfId="0" applyBorder="1" applyAlignment="1">
      <alignment horizontal="center" vertical="center"/>
    </xf>
    <xf numFmtId="168" fontId="0" fillId="0" borderId="5" xfId="0" applyNumberFormat="1" applyBorder="1" applyAlignment="1">
      <alignment horizontal="center" vertical="center"/>
    </xf>
    <xf numFmtId="0" fontId="0" fillId="0" borderId="5" xfId="0" applyBorder="1" applyAlignment="1">
      <alignment horizontal="left" vertical="top" wrapText="1"/>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9" fontId="5" fillId="0" borderId="0" xfId="0" applyNumberFormat="1" applyFont="1"/>
    <xf numFmtId="167" fontId="5" fillId="0" borderId="0" xfId="0" applyNumberFormat="1" applyFont="1"/>
    <xf numFmtId="166" fontId="5" fillId="0" borderId="0" xfId="0" applyNumberFormat="1" applyFont="1"/>
    <xf numFmtId="0" fontId="0" fillId="0" borderId="2" xfId="0" applyBorder="1" applyAlignment="1">
      <alignment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4" xfId="0" applyBorder="1" applyAlignment="1">
      <alignment horizontal="left" vertical="top" wrapText="1"/>
    </xf>
    <xf numFmtId="0" fontId="2" fillId="0" borderId="1" xfId="0" applyFont="1" applyBorder="1"/>
    <xf numFmtId="0" fontId="2" fillId="0" borderId="8" xfId="0" applyFont="1" applyBorder="1" applyAlignment="1">
      <alignment horizontal="right"/>
    </xf>
    <xf numFmtId="9" fontId="5" fillId="0" borderId="8" xfId="0" applyNumberFormat="1" applyFont="1" applyBorder="1"/>
    <xf numFmtId="169" fontId="5" fillId="0" borderId="0" xfId="0" applyNumberFormat="1" applyFont="1"/>
    <xf numFmtId="166" fontId="0" fillId="0" borderId="8" xfId="0" applyNumberFormat="1" applyBorder="1"/>
    <xf numFmtId="169" fontId="5" fillId="0" borderId="8" xfId="0" applyNumberFormat="1" applyFont="1" applyBorder="1"/>
    <xf numFmtId="0" fontId="2" fillId="0" borderId="6" xfId="0" applyFont="1" applyBorder="1"/>
    <xf numFmtId="0" fontId="2" fillId="0" borderId="0" xfId="0" applyFont="1" applyAlignment="1">
      <alignment horizontal="left"/>
    </xf>
    <xf numFmtId="166" fontId="5" fillId="0" borderId="8" xfId="0" applyNumberFormat="1" applyFont="1" applyBorder="1"/>
    <xf numFmtId="166" fontId="2" fillId="0" borderId="0" xfId="0" applyNumberFormat="1" applyFont="1" applyAlignment="1">
      <alignment horizontal="left"/>
    </xf>
    <xf numFmtId="166" fontId="2" fillId="0" borderId="2" xfId="0" applyNumberFormat="1" applyFont="1" applyBorder="1"/>
    <xf numFmtId="166" fontId="2" fillId="0" borderId="6" xfId="0" applyNumberFormat="1" applyFont="1" applyBorder="1"/>
    <xf numFmtId="9" fontId="0" fillId="0" borderId="0" xfId="0" applyNumberFormat="1"/>
    <xf numFmtId="0" fontId="0" fillId="0" borderId="0" xfId="0" applyAlignment="1">
      <alignment horizontal="left"/>
    </xf>
    <xf numFmtId="9" fontId="0" fillId="0" borderId="0" xfId="0" applyNumberFormat="1" applyAlignment="1">
      <alignment horizontal="left"/>
    </xf>
    <xf numFmtId="167" fontId="0" fillId="0" borderId="0" xfId="0" applyNumberFormat="1" applyAlignment="1">
      <alignment horizontal="left"/>
    </xf>
    <xf numFmtId="0" fontId="2" fillId="0" borderId="0" xfId="0" applyFont="1" applyAlignment="1">
      <alignment horizontal="left" vertical="top"/>
    </xf>
    <xf numFmtId="170" fontId="0" fillId="0" borderId="0" xfId="0" applyNumberFormat="1"/>
    <xf numFmtId="10" fontId="0" fillId="0" borderId="0" xfId="0" applyNumberFormat="1"/>
    <xf numFmtId="169" fontId="0" fillId="0" borderId="0" xfId="0" applyNumberFormat="1" applyAlignment="1">
      <alignment horizontal="left"/>
    </xf>
    <xf numFmtId="171" fontId="0" fillId="0" borderId="0" xfId="0" applyNumberFormat="1"/>
    <xf numFmtId="0" fontId="0" fillId="0" borderId="7" xfId="0" applyBorder="1"/>
    <xf numFmtId="39" fontId="6" fillId="0" borderId="9" xfId="0" applyNumberFormat="1" applyFont="1" applyBorder="1"/>
    <xf numFmtId="9" fontId="0" fillId="0" borderId="9" xfId="0" applyNumberFormat="1" applyBorder="1"/>
    <xf numFmtId="9" fontId="0" fillId="0" borderId="11" xfId="0" applyNumberFormat="1" applyBorder="1"/>
    <xf numFmtId="9" fontId="0" fillId="0" borderId="10" xfId="0" applyNumberFormat="1" applyBorder="1"/>
    <xf numFmtId="169" fontId="0" fillId="0" borderId="1" xfId="0" applyNumberFormat="1" applyBorder="1"/>
    <xf numFmtId="169" fontId="0" fillId="0" borderId="11" xfId="0" applyNumberFormat="1" applyBorder="1"/>
    <xf numFmtId="4" fontId="0" fillId="0" borderId="6" xfId="0" applyNumberFormat="1" applyBorder="1"/>
    <xf numFmtId="4" fontId="0" fillId="0" borderId="2" xfId="0" applyNumberFormat="1" applyBorder="1"/>
    <xf numFmtId="4" fontId="0" fillId="0" borderId="7" xfId="0" applyNumberFormat="1" applyBorder="1"/>
    <xf numFmtId="4" fontId="0" fillId="0" borderId="8" xfId="0" applyNumberFormat="1" applyBorder="1"/>
    <xf numFmtId="4" fontId="0" fillId="0" borderId="0" xfId="0" applyNumberFormat="1"/>
    <xf numFmtId="4" fontId="0" fillId="0" borderId="9" xfId="0" applyNumberFormat="1" applyBorder="1"/>
    <xf numFmtId="4" fontId="0" fillId="0" borderId="10" xfId="0" applyNumberFormat="1" applyBorder="1"/>
    <xf numFmtId="4" fontId="0" fillId="0" borderId="1" xfId="0" applyNumberFormat="1" applyBorder="1"/>
    <xf numFmtId="4" fontId="0" fillId="0" borderId="11" xfId="0" applyNumberFormat="1" applyBorder="1"/>
    <xf numFmtId="166" fontId="0" fillId="0" borderId="1" xfId="0" applyNumberFormat="1" applyBorder="1"/>
    <xf numFmtId="165" fontId="0" fillId="0" borderId="2" xfId="0" applyNumberFormat="1" applyBorder="1"/>
    <xf numFmtId="165" fontId="4" fillId="0" borderId="0" xfId="0" applyNumberFormat="1" applyFont="1"/>
    <xf numFmtId="165" fontId="0" fillId="0" borderId="1" xfId="0" applyNumberFormat="1" applyBorder="1"/>
    <xf numFmtId="0" fontId="0" fillId="0" borderId="6"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2"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top"/>
    </xf>
    <xf numFmtId="0" fontId="0" fillId="0" borderId="8" xfId="0" applyBorder="1" applyAlignment="1">
      <alignment horizontal="center" vertical="top"/>
    </xf>
    <xf numFmtId="0" fontId="0" fillId="0" borderId="10" xfId="0" applyBorder="1" applyAlignment="1">
      <alignment horizontal="center" vertical="top"/>
    </xf>
    <xf numFmtId="0" fontId="0" fillId="0" borderId="6" xfId="0" applyBorder="1" applyAlignment="1">
      <alignment horizontal="left" vertical="top"/>
    </xf>
    <xf numFmtId="0" fontId="0" fillId="0" borderId="8" xfId="0" applyBorder="1" applyAlignment="1">
      <alignment horizontal="left" vertical="top"/>
    </xf>
    <xf numFmtId="0" fontId="0" fillId="0" borderId="10" xfId="0" applyBorder="1" applyAlignment="1">
      <alignment horizontal="left" vertical="top"/>
    </xf>
    <xf numFmtId="0" fontId="0" fillId="0" borderId="2"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2" xfId="0" applyBorder="1" applyAlignment="1">
      <alignment horizontal="center" vertical="top"/>
    </xf>
    <xf numFmtId="0" fontId="0" fillId="0" borderId="0" xfId="0" applyAlignment="1">
      <alignment horizontal="center" vertical="top"/>
    </xf>
    <xf numFmtId="0" fontId="0" fillId="0" borderId="1" xfId="0" applyBorder="1" applyAlignment="1">
      <alignment horizontal="center" vertical="top"/>
    </xf>
    <xf numFmtId="168" fontId="2" fillId="0" borderId="3" xfId="0" applyNumberFormat="1" applyFont="1" applyBorder="1" applyAlignment="1">
      <alignment horizontal="center"/>
    </xf>
    <xf numFmtId="168" fontId="2" fillId="0" borderId="4" xfId="0" applyNumberFormat="1" applyFont="1" applyBorder="1" applyAlignment="1">
      <alignment horizontal="center"/>
    </xf>
    <xf numFmtId="168" fontId="2" fillId="0" borderId="5" xfId="0" applyNumberFormat="1" applyFont="1" applyBorder="1" applyAlignment="1">
      <alignment horizontal="center"/>
    </xf>
    <xf numFmtId="164" fontId="2" fillId="0" borderId="6" xfId="0" applyNumberFormat="1" applyFont="1" applyBorder="1" applyAlignment="1">
      <alignment horizontal="left" vertical="center"/>
    </xf>
    <xf numFmtId="164" fontId="2" fillId="0" borderId="10" xfId="0" applyNumberFormat="1" applyFont="1" applyBorder="1" applyAlignment="1">
      <alignment horizontal="left" vertical="center"/>
    </xf>
    <xf numFmtId="164" fontId="2" fillId="0" borderId="2" xfId="0" applyNumberFormat="1" applyFont="1" applyBorder="1" applyAlignment="1">
      <alignment horizontal="left" vertical="center"/>
    </xf>
    <xf numFmtId="164" fontId="2" fillId="0" borderId="1" xfId="0" applyNumberFormat="1" applyFont="1" applyBorder="1" applyAlignment="1">
      <alignment horizontal="left" vertical="center"/>
    </xf>
    <xf numFmtId="164" fontId="2" fillId="0" borderId="7" xfId="0" applyNumberFormat="1" applyFont="1" applyBorder="1" applyAlignment="1">
      <alignment horizontal="left" vertical="center"/>
    </xf>
    <xf numFmtId="164" fontId="2" fillId="0" borderId="11" xfId="0" applyNumberFormat="1" applyFont="1" applyBorder="1" applyAlignment="1">
      <alignment horizontal="left" vertical="center"/>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center"/>
    </xf>
    <xf numFmtId="0" fontId="0" fillId="0" borderId="11" xfId="0" applyBorder="1" applyAlignment="1">
      <alignment horizontal="center"/>
    </xf>
    <xf numFmtId="0" fontId="0" fillId="0" borderId="9" xfId="0" applyBorder="1" applyAlignment="1">
      <alignment horizontal="left" vertical="top"/>
    </xf>
    <xf numFmtId="0" fontId="0" fillId="0" borderId="11" xfId="0" applyBorder="1" applyAlignment="1">
      <alignment horizontal="left" vertical="top"/>
    </xf>
    <xf numFmtId="0" fontId="0" fillId="0" borderId="9"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https://www.bing.com/financeapi/forcetrigger?t=a1oobh&amp;q=XNAS%3aBMRN&amp;form=skydnc</v>
    <v>Learn more on Bing</v>
  </rv>
  <rv s="1">
    <v>en-GB</v>
    <v>a1oobh</v>
    <v>268435456</v>
    <v>1</v>
    <v>Powered by Refinitiv</v>
    <v>0</v>
    <v>BIOMARIN PHARMACEUTICAL INC. (XNAS:BMRN)</v>
    <v>2</v>
    <v>3</v>
    <v>Finance</v>
    <v>4</v>
    <v>103.58</v>
    <v>76.02</v>
    <v>0.3231</v>
    <v>1.27</v>
    <v>-1.9946999999999999E-2</v>
    <v>1.4116E-2</v>
    <v>-1.82</v>
    <v>USD</v>
    <v>BioMarin Pharmaceutical Inc. (BioMarin) is a biotechnology company that develops and commercializes therapies that address the root cause of genetic conditions. The Company's portfolio consists of seven commercial products and multiple clinical and preclinical product candidates for the treatment of various diseases. BioMarin's commercial products include Vimizim (elosulfase alpha), Naglazyme (galsulfase), Kuvan (sapropterin dihydrochloride), Palynziq (pegvaliase-pqpz), Brineura (cerliponase alfa), Roctavian (valoctocogene roxaparvovec) and Voxzogo (vosoritide). The Roctavian is an adeno associated virus (AAV5) vector drug development candidate designed to restore factor VIII plasma concentrations in patients with severe hemophilia A. The Company’s clinical development programs include BMN 331, an AAV5 mediated gene therapy for people living with Hereditary Angioedema (HAE) and BMN 255 is a small-molecule therapy that is designed to treat hyperoxaluria in chronic liver disease.</v>
    <v>3082</v>
    <v>Nasdaq Stock Market</v>
    <v>XNAS</v>
    <v>XNAS</v>
    <v>105 Digital Dr, NOVATO, CA, 94949 US</v>
    <v>94.15</v>
    <v>Pharmaceuticals</v>
    <v>Stock</v>
    <v>45345.915776770315</v>
    <v>0</v>
    <v>89.48</v>
    <v>17186710000</v>
    <v>BIOMARIN PHARMACEUTICAL INC.</v>
    <v>BIOMARIN PHARMACEUTICAL INC.</v>
    <v>90.94</v>
    <v>102.6973</v>
    <v>89.97</v>
    <v>91.24</v>
    <v>89.42</v>
    <v>188368200</v>
    <v>BMRN</v>
    <v>BIOMARIN PHARMACEUTICAL INC. (XNAS:BMRN)</v>
    <v>3652648</v>
    <v>1363705</v>
    <v>1996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54"/>
  <sheetViews>
    <sheetView showGridLines="0" tabSelected="1" topLeftCell="A110" zoomScale="60" zoomScaleNormal="80" workbookViewId="0">
      <selection activeCell="L129" sqref="L129"/>
    </sheetView>
  </sheetViews>
  <sheetFormatPr defaultRowHeight="14.5" x14ac:dyDescent="0.35"/>
  <cols>
    <col min="1" max="1" width="3.6328125" customWidth="1"/>
    <col min="2" max="2" width="16.26953125" bestFit="1" customWidth="1"/>
    <col min="4" max="4" width="9.90625" bestFit="1" customWidth="1"/>
    <col min="12" max="12" width="8.7265625" customWidth="1"/>
  </cols>
  <sheetData>
    <row r="1" spans="1:11" x14ac:dyDescent="0.35">
      <c r="A1" t="s">
        <v>0</v>
      </c>
    </row>
    <row r="2" spans="1:11" s="1" customFormat="1" ht="15.5" x14ac:dyDescent="0.35">
      <c r="B2" s="2" t="e" vm="1">
        <v>#VALUE!</v>
      </c>
    </row>
    <row r="4" spans="1:11" x14ac:dyDescent="0.35">
      <c r="B4" t="s">
        <v>1</v>
      </c>
      <c r="C4" t="str" cm="1">
        <f t="array" ref="C4">_FV(B2,"Ticker symbol",TRUE)</f>
        <v>BMRN</v>
      </c>
      <c r="E4" t="s">
        <v>119</v>
      </c>
      <c r="G4" s="59">
        <f ca="1">U138</f>
        <v>56.942812382040977</v>
      </c>
    </row>
    <row r="5" spans="1:11" x14ac:dyDescent="0.35">
      <c r="B5" t="s">
        <v>2</v>
      </c>
      <c r="C5" s="16">
        <v>45335</v>
      </c>
      <c r="E5" t="s">
        <v>140</v>
      </c>
      <c r="G5" s="59" cm="1">
        <f t="array" ref="G5">_FV(B2,"Price")</f>
        <v>91.24</v>
      </c>
      <c r="I5" t="s">
        <v>141</v>
      </c>
      <c r="K5" s="51">
        <f ca="1">G4/G5-1</f>
        <v>-0.37590078494036627</v>
      </c>
    </row>
    <row r="7" spans="1:11" s="3" customFormat="1" x14ac:dyDescent="0.35">
      <c r="A7" t="s">
        <v>3</v>
      </c>
      <c r="B7" s="3" t="s">
        <v>144</v>
      </c>
    </row>
    <row r="8" spans="1:11" s="3" customFormat="1" x14ac:dyDescent="0.35">
      <c r="A8"/>
      <c r="C8" s="9"/>
      <c r="E8" s="55" t="s">
        <v>97</v>
      </c>
      <c r="F8" s="55"/>
      <c r="G8" s="55" t="s">
        <v>98</v>
      </c>
      <c r="H8" s="55"/>
      <c r="I8" s="55" t="s">
        <v>20</v>
      </c>
      <c r="J8" s="55"/>
      <c r="K8" s="55" t="s">
        <v>121</v>
      </c>
    </row>
    <row r="9" spans="1:11" s="52" customFormat="1" x14ac:dyDescent="0.35">
      <c r="A9"/>
      <c r="B9" s="3"/>
      <c r="C9" t="s">
        <v>13</v>
      </c>
      <c r="D9" s="9"/>
      <c r="E9" s="52">
        <v>2</v>
      </c>
      <c r="G9" s="53">
        <v>0.01</v>
      </c>
      <c r="H9" s="53"/>
      <c r="I9" s="53">
        <v>0.03</v>
      </c>
      <c r="J9" s="53"/>
      <c r="K9" s="53">
        <v>0.1</v>
      </c>
    </row>
    <row r="10" spans="1:11" s="52" customFormat="1" x14ac:dyDescent="0.35">
      <c r="A10"/>
      <c r="B10" s="3"/>
      <c r="C10" t="s">
        <v>8</v>
      </c>
      <c r="D10" s="9"/>
      <c r="E10" s="52">
        <v>2</v>
      </c>
      <c r="G10" s="53">
        <v>0.02</v>
      </c>
      <c r="H10" s="53"/>
      <c r="I10" s="53">
        <v>0.08</v>
      </c>
      <c r="J10" s="53"/>
      <c r="K10" s="53">
        <v>0.12</v>
      </c>
    </row>
    <row r="11" spans="1:11" s="52" customFormat="1" x14ac:dyDescent="0.35">
      <c r="A11"/>
      <c r="B11" s="3"/>
      <c r="C11" t="s">
        <v>9</v>
      </c>
      <c r="D11" s="9"/>
      <c r="E11" s="52">
        <v>2</v>
      </c>
      <c r="G11" s="53">
        <v>0.01</v>
      </c>
      <c r="H11" s="53"/>
      <c r="I11" s="53">
        <v>0.03</v>
      </c>
      <c r="J11" s="53"/>
      <c r="K11" s="53">
        <v>0.05</v>
      </c>
    </row>
    <row r="12" spans="1:11" s="52" customFormat="1" x14ac:dyDescent="0.35">
      <c r="A12"/>
      <c r="B12" s="3"/>
      <c r="C12" t="s">
        <v>10</v>
      </c>
      <c r="D12" s="9"/>
      <c r="E12" s="52">
        <v>2</v>
      </c>
      <c r="G12" s="53">
        <v>0.03</v>
      </c>
      <c r="H12" s="53"/>
      <c r="I12" s="53">
        <v>7.0000000000000007E-2</v>
      </c>
      <c r="J12" s="53"/>
      <c r="K12" s="53">
        <v>0.12</v>
      </c>
    </row>
    <row r="13" spans="1:11" s="52" customFormat="1" x14ac:dyDescent="0.35">
      <c r="A13"/>
      <c r="B13" s="3"/>
      <c r="C13" t="s">
        <v>11</v>
      </c>
      <c r="D13" s="3"/>
      <c r="E13" s="52">
        <v>2</v>
      </c>
      <c r="G13" s="54">
        <v>0</v>
      </c>
      <c r="H13" s="54"/>
      <c r="I13" s="54">
        <v>0</v>
      </c>
      <c r="J13" s="54"/>
      <c r="K13" s="54">
        <v>0</v>
      </c>
    </row>
    <row r="14" spans="1:11" s="52" customFormat="1" x14ac:dyDescent="0.35">
      <c r="A14"/>
      <c r="B14" s="3"/>
      <c r="C14" t="s">
        <v>14</v>
      </c>
      <c r="D14" s="3"/>
      <c r="E14" s="52">
        <v>2</v>
      </c>
      <c r="G14" s="53">
        <v>0.02</v>
      </c>
      <c r="H14" s="53"/>
      <c r="I14" s="53">
        <v>0.06</v>
      </c>
      <c r="J14" s="53"/>
      <c r="K14" s="53">
        <v>0.16</v>
      </c>
    </row>
    <row r="15" spans="1:11" s="52" customFormat="1" x14ac:dyDescent="0.35">
      <c r="A15"/>
      <c r="B15" s="3"/>
      <c r="C15" t="s">
        <v>15</v>
      </c>
      <c r="D15" s="3"/>
      <c r="E15" s="52">
        <v>2</v>
      </c>
      <c r="G15" s="53">
        <v>0.03</v>
      </c>
      <c r="H15" s="53"/>
      <c r="I15" s="53">
        <v>0.1</v>
      </c>
      <c r="J15" s="53"/>
      <c r="K15" s="53">
        <v>0.15</v>
      </c>
    </row>
    <row r="16" spans="1:11" s="52" customFormat="1" x14ac:dyDescent="0.35">
      <c r="A16"/>
      <c r="B16" s="3"/>
      <c r="C16" t="s">
        <v>16</v>
      </c>
      <c r="D16" s="3"/>
      <c r="E16" s="52">
        <v>3</v>
      </c>
      <c r="G16" s="53">
        <v>0.06</v>
      </c>
      <c r="H16" s="53"/>
      <c r="I16" s="53">
        <v>0.08</v>
      </c>
      <c r="J16" s="53"/>
      <c r="K16" s="53">
        <v>0.13</v>
      </c>
    </row>
    <row r="17" spans="1:30" s="52" customFormat="1" x14ac:dyDescent="0.35">
      <c r="A17"/>
      <c r="B17" s="3"/>
      <c r="C17" t="s">
        <v>19</v>
      </c>
      <c r="D17" s="3"/>
      <c r="E17" s="52">
        <v>3</v>
      </c>
      <c r="G17" s="53">
        <v>0.05</v>
      </c>
      <c r="H17" s="53"/>
      <c r="I17" s="53">
        <v>0.1</v>
      </c>
      <c r="J17" s="53"/>
      <c r="K17" s="53">
        <v>0.2</v>
      </c>
    </row>
    <row r="18" spans="1:30" s="52" customFormat="1" x14ac:dyDescent="0.35">
      <c r="A18"/>
      <c r="B18" s="3"/>
      <c r="C18"/>
      <c r="D18" s="3"/>
      <c r="G18" s="53"/>
      <c r="H18" s="53"/>
      <c r="I18" s="53"/>
      <c r="J18" s="53"/>
      <c r="K18" s="53"/>
    </row>
    <row r="19" spans="1:30" s="52" customFormat="1" x14ac:dyDescent="0.35">
      <c r="A19"/>
      <c r="B19" s="3"/>
      <c r="C19" t="s">
        <v>120</v>
      </c>
      <c r="D19" s="3"/>
      <c r="E19" s="52">
        <v>2</v>
      </c>
      <c r="G19" s="53">
        <v>0.1</v>
      </c>
      <c r="H19" s="53"/>
      <c r="I19" s="53">
        <v>0.15</v>
      </c>
      <c r="J19" s="53"/>
      <c r="K19" s="53">
        <v>0.2</v>
      </c>
      <c r="M19" s="52" t="s">
        <v>136</v>
      </c>
    </row>
    <row r="20" spans="1:30" s="52" customFormat="1" x14ac:dyDescent="0.35">
      <c r="A20"/>
      <c r="B20" s="3"/>
      <c r="C20" t="s">
        <v>123</v>
      </c>
      <c r="E20" s="52">
        <v>2</v>
      </c>
      <c r="G20" s="58">
        <f>I20+M20</f>
        <v>6.1343616264111354E-2</v>
      </c>
      <c r="H20" s="53"/>
      <c r="I20" s="58">
        <f>WACC!C18</f>
        <v>5.6343616264111357E-2</v>
      </c>
      <c r="K20" s="58">
        <f>I20-M20</f>
        <v>5.1343616264111359E-2</v>
      </c>
      <c r="M20" s="58">
        <v>5.0000000000000001E-3</v>
      </c>
    </row>
    <row r="21" spans="1:30" s="52" customFormat="1" x14ac:dyDescent="0.35">
      <c r="A21"/>
      <c r="B21" s="3"/>
      <c r="C21" t="s">
        <v>135</v>
      </c>
      <c r="D21" s="3"/>
      <c r="E21" s="52">
        <v>2</v>
      </c>
      <c r="G21" s="58">
        <f>I21-M21</f>
        <v>0.02</v>
      </c>
      <c r="H21" s="58"/>
      <c r="I21" s="58">
        <v>2.5000000000000001E-2</v>
      </c>
      <c r="J21" s="58"/>
      <c r="K21" s="58">
        <f>I21+M21</f>
        <v>3.0000000000000002E-2</v>
      </c>
      <c r="M21" s="58">
        <v>5.0000000000000001E-3</v>
      </c>
    </row>
    <row r="22" spans="1:30" s="52" customFormat="1" x14ac:dyDescent="0.35">
      <c r="A22"/>
      <c r="B22" s="3"/>
      <c r="C22"/>
      <c r="D22" s="3"/>
      <c r="G22" s="53"/>
      <c r="H22" s="53"/>
      <c r="I22" s="53"/>
      <c r="J22" s="53"/>
      <c r="K22" s="53"/>
      <c r="M22" s="58"/>
    </row>
    <row r="23" spans="1:30" s="52" customFormat="1" x14ac:dyDescent="0.35">
      <c r="A23"/>
      <c r="B23" s="3"/>
      <c r="C23" t="s">
        <v>123</v>
      </c>
      <c r="D23" s="3"/>
      <c r="E23" s="58">
        <f>CHOOSE(E20,G20,I20,K20)</f>
        <v>5.6343616264111357E-2</v>
      </c>
      <c r="G23" s="53"/>
      <c r="H23" s="53"/>
      <c r="I23" s="53"/>
      <c r="J23" s="53"/>
      <c r="K23" s="53"/>
      <c r="M23" s="58"/>
    </row>
    <row r="24" spans="1:30" s="52" customFormat="1" x14ac:dyDescent="0.35">
      <c r="A24"/>
      <c r="B24" s="3"/>
      <c r="C24" t="s">
        <v>135</v>
      </c>
      <c r="D24" s="3"/>
      <c r="E24" s="58">
        <f>CHOOSE(E21,G21,I21,K21)</f>
        <v>2.5000000000000001E-2</v>
      </c>
      <c r="G24" s="53"/>
      <c r="H24" s="53"/>
      <c r="I24" s="53"/>
      <c r="J24" s="53"/>
      <c r="K24" s="53"/>
      <c r="M24" s="58"/>
    </row>
    <row r="25" spans="1:30" x14ac:dyDescent="0.35">
      <c r="E25" s="52"/>
      <c r="L25">
        <v>1</v>
      </c>
      <c r="M25">
        <f>L25+1</f>
        <v>2</v>
      </c>
      <c r="N25">
        <f t="shared" ref="N25:S25" si="0">M25+1</f>
        <v>3</v>
      </c>
      <c r="O25">
        <f t="shared" si="0"/>
        <v>4</v>
      </c>
      <c r="P25">
        <f t="shared" si="0"/>
        <v>5</v>
      </c>
      <c r="Q25">
        <f t="shared" si="0"/>
        <v>6</v>
      </c>
      <c r="R25">
        <f t="shared" si="0"/>
        <v>7</v>
      </c>
      <c r="S25">
        <f t="shared" si="0"/>
        <v>8</v>
      </c>
      <c r="T25">
        <f t="shared" ref="T25:U25" si="1">S25+1</f>
        <v>9</v>
      </c>
      <c r="U25">
        <f t="shared" si="1"/>
        <v>10</v>
      </c>
    </row>
    <row r="26" spans="1:30" s="3" customFormat="1" x14ac:dyDescent="0.35">
      <c r="A26" t="s">
        <v>3</v>
      </c>
      <c r="B26" s="39" t="s">
        <v>4</v>
      </c>
      <c r="C26" s="39">
        <v>2014</v>
      </c>
      <c r="D26" s="39">
        <f t="shared" ref="D26:I26" si="2">C26+1</f>
        <v>2015</v>
      </c>
      <c r="E26" s="39">
        <f t="shared" si="2"/>
        <v>2016</v>
      </c>
      <c r="F26" s="39">
        <f t="shared" si="2"/>
        <v>2017</v>
      </c>
      <c r="G26" s="39">
        <f t="shared" si="2"/>
        <v>2018</v>
      </c>
      <c r="H26" s="39">
        <f t="shared" si="2"/>
        <v>2019</v>
      </c>
      <c r="I26" s="39">
        <f t="shared" si="2"/>
        <v>2020</v>
      </c>
      <c r="J26" s="39">
        <f t="shared" ref="J26:S26" si="3">I26+1</f>
        <v>2021</v>
      </c>
      <c r="K26" s="39">
        <f t="shared" si="3"/>
        <v>2022</v>
      </c>
      <c r="L26" s="39">
        <f t="shared" si="3"/>
        <v>2023</v>
      </c>
      <c r="M26" s="39">
        <f t="shared" si="3"/>
        <v>2024</v>
      </c>
      <c r="N26" s="39">
        <f t="shared" si="3"/>
        <v>2025</v>
      </c>
      <c r="O26" s="39">
        <f t="shared" si="3"/>
        <v>2026</v>
      </c>
      <c r="P26" s="39">
        <f t="shared" si="3"/>
        <v>2027</v>
      </c>
      <c r="Q26" s="39">
        <f t="shared" si="3"/>
        <v>2028</v>
      </c>
      <c r="R26" s="39">
        <f t="shared" si="3"/>
        <v>2029</v>
      </c>
      <c r="S26" s="39">
        <f t="shared" si="3"/>
        <v>2030</v>
      </c>
      <c r="T26" s="39">
        <f t="shared" ref="T26:U26" si="4">S26+1</f>
        <v>2031</v>
      </c>
      <c r="U26" s="39">
        <f t="shared" si="4"/>
        <v>2032</v>
      </c>
      <c r="V26" s="4"/>
      <c r="X26" s="4"/>
      <c r="Z26" s="4"/>
      <c r="AB26" s="4"/>
      <c r="AD26" s="4"/>
    </row>
    <row r="27" spans="1:30" s="5" customFormat="1" x14ac:dyDescent="0.35">
      <c r="B27" s="78" t="s">
        <v>13</v>
      </c>
      <c r="C27" s="5">
        <v>77.3</v>
      </c>
      <c r="D27" s="5">
        <v>228.1</v>
      </c>
      <c r="E27" s="5">
        <v>354.1</v>
      </c>
      <c r="F27" s="5">
        <v>413.3</v>
      </c>
      <c r="G27" s="5">
        <v>482</v>
      </c>
      <c r="H27" s="5">
        <v>544.29999999999995</v>
      </c>
      <c r="I27" s="5">
        <v>544.4</v>
      </c>
      <c r="J27" s="5">
        <v>623.1</v>
      </c>
      <c r="K27" s="5">
        <v>663.8</v>
      </c>
      <c r="L27" s="5">
        <f ca="1">K27*(1+L28)</f>
        <v>708.2349999999999</v>
      </c>
      <c r="M27" s="5">
        <f t="shared" ref="M27:U27" ca="1" si="5">L27*(1+M28)</f>
        <v>752.37418864209837</v>
      </c>
      <c r="N27" s="5">
        <f t="shared" ca="1" si="5"/>
        <v>795.79013501508496</v>
      </c>
      <c r="O27" s="5">
        <f t="shared" ca="1" si="5"/>
        <v>838.03681464242902</v>
      </c>
      <c r="P27" s="5">
        <f t="shared" ca="1" si="5"/>
        <v>878.65660297131251</v>
      </c>
      <c r="Q27" s="5">
        <f t="shared" ca="1" si="5"/>
        <v>917.18800482747099</v>
      </c>
      <c r="R27" s="5">
        <f t="shared" ca="1" si="5"/>
        <v>953.17395495511153</v>
      </c>
      <c r="S27" s="5">
        <f t="shared" ca="1" si="5"/>
        <v>986.17049526493065</v>
      </c>
      <c r="T27" s="5">
        <f t="shared" ca="1" si="5"/>
        <v>1015.7556101228786</v>
      </c>
      <c r="U27" s="5">
        <f t="shared" ca="1" si="5"/>
        <v>1046.2282784265649</v>
      </c>
    </row>
    <row r="28" spans="1:30" s="17" customFormat="1" x14ac:dyDescent="0.35">
      <c r="B28" s="17" t="s">
        <v>17</v>
      </c>
      <c r="D28" s="32">
        <f>D27/C27-1</f>
        <v>1.9508408796895216</v>
      </c>
      <c r="E28" s="32">
        <f t="shared" ref="E28:K28" si="6">E27/D27-1</f>
        <v>0.55238930293730837</v>
      </c>
      <c r="F28" s="32">
        <f t="shared" si="6"/>
        <v>0.16718441118328142</v>
      </c>
      <c r="G28" s="32">
        <f t="shared" si="6"/>
        <v>0.16622308250665374</v>
      </c>
      <c r="H28" s="32">
        <f t="shared" si="6"/>
        <v>0.12925311203319501</v>
      </c>
      <c r="I28" s="32">
        <f t="shared" si="6"/>
        <v>1.8372221201556904E-4</v>
      </c>
      <c r="J28" s="32">
        <f t="shared" si="6"/>
        <v>0.1445628214548127</v>
      </c>
      <c r="K28" s="32">
        <f t="shared" si="6"/>
        <v>6.5318568448082148E-2</v>
      </c>
      <c r="L28" s="32">
        <f ca="1">OFFSET(L28,$E$9,0)</f>
        <v>6.6940343476950881E-2</v>
      </c>
      <c r="M28" s="32">
        <f t="shared" ref="M28:U28" ca="1" si="7">OFFSET(M28,$E$9,0)</f>
        <v>6.2322800542332024E-2</v>
      </c>
      <c r="N28" s="32">
        <f t="shared" ca="1" si="7"/>
        <v>5.7705257607713167E-2</v>
      </c>
      <c r="O28" s="32">
        <f t="shared" ca="1" si="7"/>
        <v>5.3087714673094311E-2</v>
      </c>
      <c r="P28" s="32">
        <f t="shared" ca="1" si="7"/>
        <v>4.8470171738475454E-2</v>
      </c>
      <c r="Q28" s="32">
        <f t="shared" ca="1" si="7"/>
        <v>4.3852628803856597E-2</v>
      </c>
      <c r="R28" s="32">
        <f t="shared" ca="1" si="7"/>
        <v>3.923508586923774E-2</v>
      </c>
      <c r="S28" s="32">
        <f t="shared" ca="1" si="7"/>
        <v>3.4617542934618883E-2</v>
      </c>
      <c r="T28" s="32">
        <f t="shared" ca="1" si="7"/>
        <v>3.0000000000000023E-2</v>
      </c>
      <c r="U28" s="32">
        <f t="shared" ca="1" si="7"/>
        <v>0.03</v>
      </c>
    </row>
    <row r="29" spans="1:30" x14ac:dyDescent="0.35">
      <c r="B29" t="s">
        <v>21</v>
      </c>
      <c r="G29" s="7"/>
      <c r="L29" s="32">
        <f>L30</f>
        <v>6.6940343476950881E-2</v>
      </c>
      <c r="M29" s="32">
        <f>L29-($L$29-$U$29)/($U$25-$M$25)</f>
        <v>5.9822800542332022E-2</v>
      </c>
      <c r="N29" s="32">
        <f t="shared" ref="N29:T29" si="8">M29-($L$29-$U$29)/($U$25-$M$25)</f>
        <v>5.2705257607713163E-2</v>
      </c>
      <c r="O29" s="32">
        <f t="shared" si="8"/>
        <v>4.5587714673094304E-2</v>
      </c>
      <c r="P29" s="32">
        <f t="shared" si="8"/>
        <v>3.8470171738475445E-2</v>
      </c>
      <c r="Q29" s="32">
        <f t="shared" si="8"/>
        <v>3.1352628803856586E-2</v>
      </c>
      <c r="R29" s="32">
        <f t="shared" si="8"/>
        <v>2.4235085869237727E-2</v>
      </c>
      <c r="S29" s="32">
        <f t="shared" si="8"/>
        <v>1.7117542934618868E-2</v>
      </c>
      <c r="T29" s="32">
        <f t="shared" si="8"/>
        <v>1.0000000000000009E-2</v>
      </c>
      <c r="U29" s="32">
        <f>G9</f>
        <v>0.01</v>
      </c>
    </row>
    <row r="30" spans="1:30" x14ac:dyDescent="0.35">
      <c r="B30" t="s">
        <v>18</v>
      </c>
      <c r="G30" s="7"/>
      <c r="L30" s="32">
        <f>'Q423'!L3/Main!K27-1</f>
        <v>6.6940343476950881E-2</v>
      </c>
      <c r="M30" s="32">
        <f>L30-($L$30-$U$30)/($U$25-$M$25)</f>
        <v>6.2322800542332024E-2</v>
      </c>
      <c r="N30" s="32">
        <f t="shared" ref="N30:T30" si="9">M30-($L$30-$U$30)/($U$25-$M$25)</f>
        <v>5.7705257607713167E-2</v>
      </c>
      <c r="O30" s="32">
        <f t="shared" si="9"/>
        <v>5.3087714673094311E-2</v>
      </c>
      <c r="P30" s="32">
        <f t="shared" si="9"/>
        <v>4.8470171738475454E-2</v>
      </c>
      <c r="Q30" s="32">
        <f t="shared" si="9"/>
        <v>4.3852628803856597E-2</v>
      </c>
      <c r="R30" s="32">
        <f t="shared" si="9"/>
        <v>3.923508586923774E-2</v>
      </c>
      <c r="S30" s="32">
        <f t="shared" si="9"/>
        <v>3.4617542934618883E-2</v>
      </c>
      <c r="T30" s="32">
        <f t="shared" si="9"/>
        <v>3.0000000000000023E-2</v>
      </c>
      <c r="U30" s="32">
        <f>I9</f>
        <v>0.03</v>
      </c>
    </row>
    <row r="31" spans="1:30" x14ac:dyDescent="0.35">
      <c r="B31" t="s">
        <v>122</v>
      </c>
      <c r="G31" s="7"/>
      <c r="L31" s="32">
        <f>L30</f>
        <v>6.6940343476950881E-2</v>
      </c>
      <c r="M31" s="32">
        <f>L31-($L$31-$U$31)/($U$25-$M$25)</f>
        <v>7.1072800542332018E-2</v>
      </c>
      <c r="N31" s="32">
        <f t="shared" ref="N31:T31" si="10">M31-($L$31-$U$31)/($U$25-$M$25)</f>
        <v>7.5205257607713155E-2</v>
      </c>
      <c r="O31" s="32">
        <f t="shared" si="10"/>
        <v>7.9337714673094292E-2</v>
      </c>
      <c r="P31" s="32">
        <f t="shared" si="10"/>
        <v>8.3470171738475429E-2</v>
      </c>
      <c r="Q31" s="32">
        <f t="shared" si="10"/>
        <v>8.7602628803856566E-2</v>
      </c>
      <c r="R31" s="32">
        <f>Q31-($L$31-$U$31)/($U$25-$M$25)</f>
        <v>9.1735085869237704E-2</v>
      </c>
      <c r="S31" s="32">
        <f t="shared" si="10"/>
        <v>9.5867542934618841E-2</v>
      </c>
      <c r="T31" s="32">
        <f t="shared" si="10"/>
        <v>9.9999999999999978E-2</v>
      </c>
      <c r="U31" s="32">
        <f>K9</f>
        <v>0.1</v>
      </c>
    </row>
    <row r="32" spans="1:30" s="5" customFormat="1" x14ac:dyDescent="0.35">
      <c r="B32" s="78" t="s">
        <v>8</v>
      </c>
      <c r="C32" s="5">
        <v>334.4</v>
      </c>
      <c r="D32" s="5">
        <v>303.10000000000002</v>
      </c>
      <c r="E32" s="5">
        <v>296.5</v>
      </c>
      <c r="F32" s="5">
        <v>332.2</v>
      </c>
      <c r="G32" s="5">
        <v>345.9</v>
      </c>
      <c r="H32" s="5">
        <v>374.3</v>
      </c>
      <c r="I32" s="5">
        <v>391.3</v>
      </c>
      <c r="J32" s="5">
        <v>380.4</v>
      </c>
      <c r="K32" s="5">
        <v>443.8</v>
      </c>
      <c r="L32" s="5">
        <f ca="1">K32*(1+L33)</f>
        <v>502.774</v>
      </c>
      <c r="M32" s="5">
        <f t="shared" ref="M32:U32" ca="1" si="11">L32*(1+M33)</f>
        <v>566.2611127839117</v>
      </c>
      <c r="N32" s="5">
        <f t="shared" ca="1" si="11"/>
        <v>634.02169364479221</v>
      </c>
      <c r="O32" s="5">
        <f t="shared" ca="1" si="11"/>
        <v>705.69950331089569</v>
      </c>
      <c r="P32" s="5">
        <f t="shared" ca="1" si="11"/>
        <v>780.81563408354862</v>
      </c>
      <c r="Q32" s="5">
        <f t="shared" ca="1" si="11"/>
        <v>858.76568336696482</v>
      </c>
      <c r="R32" s="5">
        <f t="shared" ca="1" si="11"/>
        <v>938.8207182236938</v>
      </c>
      <c r="S32" s="5">
        <f t="shared" ca="1" si="11"/>
        <v>1020.1324714050879</v>
      </c>
      <c r="T32" s="5">
        <f t="shared" ca="1" si="11"/>
        <v>1101.743069117495</v>
      </c>
      <c r="U32" s="5">
        <f t="shared" ca="1" si="11"/>
        <v>1189.8825146468946</v>
      </c>
    </row>
    <row r="33" spans="1:21" s="17" customFormat="1" x14ac:dyDescent="0.35">
      <c r="B33" s="17" t="s">
        <v>17</v>
      </c>
      <c r="D33" s="32">
        <f>D32/C32-1</f>
        <v>-9.3600478468899406E-2</v>
      </c>
      <c r="E33" s="32">
        <f t="shared" ref="E33:K33" si="12">E32/D32-1</f>
        <v>-2.1774991751897121E-2</v>
      </c>
      <c r="F33" s="32">
        <f t="shared" si="12"/>
        <v>0.12040472175379424</v>
      </c>
      <c r="G33" s="32">
        <f t="shared" si="12"/>
        <v>4.1240216736905477E-2</v>
      </c>
      <c r="H33" s="32">
        <f t="shared" si="12"/>
        <v>8.2104654524429055E-2</v>
      </c>
      <c r="I33" s="32">
        <f t="shared" si="12"/>
        <v>4.5418113812449867E-2</v>
      </c>
      <c r="J33" s="32">
        <f t="shared" si="12"/>
        <v>-2.7855865065167462E-2</v>
      </c>
      <c r="K33" s="32">
        <f t="shared" si="12"/>
        <v>0.16666666666666674</v>
      </c>
      <c r="L33" s="32">
        <f ca="1">OFFSET(L33,$E$10,0)</f>
        <v>0.13288418206399277</v>
      </c>
      <c r="M33" s="32">
        <f t="shared" ref="M33:U33" ca="1" si="13">OFFSET(M33,$E$10,0)</f>
        <v>0.12627365930599369</v>
      </c>
      <c r="N33" s="32">
        <f t="shared" ca="1" si="13"/>
        <v>0.11966313654799458</v>
      </c>
      <c r="O33" s="32">
        <f t="shared" ca="1" si="13"/>
        <v>0.11305261378999548</v>
      </c>
      <c r="P33" s="32">
        <f t="shared" ca="1" si="13"/>
        <v>0.10644209103199638</v>
      </c>
      <c r="Q33" s="32">
        <f t="shared" ca="1" si="13"/>
        <v>9.9831568273997279E-2</v>
      </c>
      <c r="R33" s="32">
        <f t="shared" ca="1" si="13"/>
        <v>9.3221045515998177E-2</v>
      </c>
      <c r="S33" s="32">
        <f t="shared" ca="1" si="13"/>
        <v>8.6610522757999076E-2</v>
      </c>
      <c r="T33" s="32">
        <f t="shared" ca="1" si="13"/>
        <v>7.9999999999999974E-2</v>
      </c>
      <c r="U33" s="32">
        <f t="shared" ca="1" si="13"/>
        <v>0.08</v>
      </c>
    </row>
    <row r="34" spans="1:21" x14ac:dyDescent="0.35">
      <c r="B34" t="s">
        <v>21</v>
      </c>
      <c r="G34" s="7"/>
      <c r="L34" s="32">
        <f>L35</f>
        <v>0.13288418206399277</v>
      </c>
      <c r="M34" s="32">
        <f>L34-($L$34-$U$34)/($U$25-$M$25)</f>
        <v>0.11877365930599368</v>
      </c>
      <c r="N34" s="32">
        <f t="shared" ref="N34:T34" si="14">M34-($L$34-$U$34)/($U$25-$M$25)</f>
        <v>0.10466313654799458</v>
      </c>
      <c r="O34" s="32">
        <f t="shared" si="14"/>
        <v>9.055261378999549E-2</v>
      </c>
      <c r="P34" s="32">
        <f t="shared" si="14"/>
        <v>7.6442091031996395E-2</v>
      </c>
      <c r="Q34" s="32">
        <f t="shared" si="14"/>
        <v>6.2331568273997301E-2</v>
      </c>
      <c r="R34" s="32">
        <f t="shared" si="14"/>
        <v>4.8221045515998207E-2</v>
      </c>
      <c r="S34" s="32">
        <f t="shared" si="14"/>
        <v>3.4110522757999112E-2</v>
      </c>
      <c r="T34" s="32">
        <f t="shared" si="14"/>
        <v>2.0000000000000018E-2</v>
      </c>
      <c r="U34" s="32">
        <f>G10</f>
        <v>0.02</v>
      </c>
    </row>
    <row r="35" spans="1:21" x14ac:dyDescent="0.35">
      <c r="B35" t="s">
        <v>18</v>
      </c>
      <c r="G35" s="7"/>
      <c r="L35" s="32">
        <f>'Q423'!L5/Main!K32-1</f>
        <v>0.13288418206399277</v>
      </c>
      <c r="M35" s="32">
        <f>L35-($L$35-$U$35)/($U$25-$M$25)</f>
        <v>0.12627365930599369</v>
      </c>
      <c r="N35" s="32">
        <f t="shared" ref="N35:T35" si="15">M35-($L$35-$U$35)/($U$25-$M$25)</f>
        <v>0.11966313654799458</v>
      </c>
      <c r="O35" s="32">
        <f t="shared" si="15"/>
        <v>0.11305261378999548</v>
      </c>
      <c r="P35" s="32">
        <f t="shared" si="15"/>
        <v>0.10644209103199638</v>
      </c>
      <c r="Q35" s="32">
        <f t="shared" si="15"/>
        <v>9.9831568273997279E-2</v>
      </c>
      <c r="R35" s="32">
        <f t="shared" si="15"/>
        <v>9.3221045515998177E-2</v>
      </c>
      <c r="S35" s="32">
        <f t="shared" si="15"/>
        <v>8.6610522757999076E-2</v>
      </c>
      <c r="T35" s="32">
        <f t="shared" si="15"/>
        <v>7.9999999999999974E-2</v>
      </c>
      <c r="U35" s="32">
        <f>I10</f>
        <v>0.08</v>
      </c>
    </row>
    <row r="36" spans="1:21" x14ac:dyDescent="0.35">
      <c r="B36" t="s">
        <v>122</v>
      </c>
      <c r="G36" s="7"/>
      <c r="L36" s="32">
        <f>L35</f>
        <v>0.13288418206399277</v>
      </c>
      <c r="M36" s="32">
        <f>L36-($L$36-$U$36)/($U$25-$M$25)</f>
        <v>0.13127365930599366</v>
      </c>
      <c r="N36" s="32">
        <f t="shared" ref="N36:T36" si="16">M36-($L$36-$U$36)/($U$25-$M$25)</f>
        <v>0.12966313654799455</v>
      </c>
      <c r="O36" s="32">
        <f t="shared" si="16"/>
        <v>0.12805261378999544</v>
      </c>
      <c r="P36" s="32">
        <f t="shared" si="16"/>
        <v>0.12644209103199633</v>
      </c>
      <c r="Q36" s="32">
        <f t="shared" si="16"/>
        <v>0.12483156827399723</v>
      </c>
      <c r="R36" s="32">
        <f t="shared" si="16"/>
        <v>0.12322104551599813</v>
      </c>
      <c r="S36" s="32">
        <f t="shared" si="16"/>
        <v>0.12161052275799904</v>
      </c>
      <c r="T36" s="32">
        <f t="shared" si="16"/>
        <v>0.11999999999999994</v>
      </c>
      <c r="U36" s="32">
        <f>K10</f>
        <v>0.12</v>
      </c>
    </row>
    <row r="37" spans="1:21" x14ac:dyDescent="0.35">
      <c r="B37" s="9" t="s">
        <v>9</v>
      </c>
      <c r="C37">
        <v>203</v>
      </c>
      <c r="D37">
        <v>239.3</v>
      </c>
      <c r="E37" s="7">
        <v>348</v>
      </c>
      <c r="F37">
        <v>407.5</v>
      </c>
      <c r="G37" s="7">
        <v>433.6</v>
      </c>
      <c r="H37">
        <v>463.4</v>
      </c>
      <c r="I37" s="7">
        <v>457.7</v>
      </c>
      <c r="J37">
        <v>285.8</v>
      </c>
      <c r="K37" s="7">
        <v>227.6</v>
      </c>
      <c r="L37" s="7">
        <f ca="1">K37*(1+L38)</f>
        <v>191.19</v>
      </c>
      <c r="M37" s="7">
        <f t="shared" ref="M37:U37" ca="1" si="17">L37*(1+M38)</f>
        <v>165.1447726384007</v>
      </c>
      <c r="N37" s="7">
        <f t="shared" ca="1" si="17"/>
        <v>146.56925088124174</v>
      </c>
      <c r="O37" s="7">
        <f t="shared" ca="1" si="17"/>
        <v>133.56364478069324</v>
      </c>
      <c r="P37" s="7">
        <f t="shared" ca="1" si="17"/>
        <v>124.8837683749321</v>
      </c>
      <c r="Q37" s="7">
        <f t="shared" ca="1" si="17"/>
        <v>119.73354750099007</v>
      </c>
      <c r="R37" s="7">
        <f t="shared" ca="1" si="17"/>
        <v>117.6389995248249</v>
      </c>
      <c r="S37" s="7">
        <f t="shared" ca="1" si="17"/>
        <v>118.37463092233679</v>
      </c>
      <c r="T37" s="7">
        <f t="shared" ca="1" si="17"/>
        <v>121.9258698500069</v>
      </c>
      <c r="U37" s="7">
        <f t="shared" ca="1" si="17"/>
        <v>125.58364594550712</v>
      </c>
    </row>
    <row r="38" spans="1:21" s="32" customFormat="1" x14ac:dyDescent="0.35">
      <c r="A38" s="17"/>
      <c r="B38" s="17" t="s">
        <v>17</v>
      </c>
      <c r="C38" s="17"/>
      <c r="D38" s="32">
        <f>D37/C37-1</f>
        <v>0.17881773399014778</v>
      </c>
      <c r="E38" s="32">
        <f t="shared" ref="E38" si="18">E37/D37-1</f>
        <v>0.45424153781863752</v>
      </c>
      <c r="F38" s="32">
        <f t="shared" ref="F38" si="19">F37/E37-1</f>
        <v>0.17097701149425282</v>
      </c>
      <c r="G38" s="32">
        <f t="shared" ref="G38" si="20">G37/F37-1</f>
        <v>6.404907975460139E-2</v>
      </c>
      <c r="H38" s="32">
        <f t="shared" ref="H38" si="21">H37/G37-1</f>
        <v>6.8726937269372623E-2</v>
      </c>
      <c r="I38" s="32">
        <f t="shared" ref="I38" si="22">I37/H37-1</f>
        <v>-1.2300388433318932E-2</v>
      </c>
      <c r="J38" s="32">
        <f t="shared" ref="J38" si="23">J37/I37-1</f>
        <v>-0.37557351977277686</v>
      </c>
      <c r="K38" s="32">
        <f t="shared" ref="K38" si="24">K37/J37-1</f>
        <v>-0.20363890832750176</v>
      </c>
      <c r="L38" s="32">
        <f ca="1">OFFSET(L38,$E$11,0)</f>
        <v>-0.15997363796133568</v>
      </c>
      <c r="M38" s="32">
        <f t="shared" ref="M38:U38" ca="1" si="25">OFFSET(M38,$E$11,0)</f>
        <v>-0.13622693321616872</v>
      </c>
      <c r="N38" s="32">
        <f t="shared" ca="1" si="25"/>
        <v>-0.11248022847100175</v>
      </c>
      <c r="O38" s="32">
        <f t="shared" ca="1" si="25"/>
        <v>-8.873352372583479E-2</v>
      </c>
      <c r="P38" s="32">
        <f t="shared" ca="1" si="25"/>
        <v>-6.4986818980667826E-2</v>
      </c>
      <c r="Q38" s="32">
        <f t="shared" ca="1" si="25"/>
        <v>-4.1240114235500863E-2</v>
      </c>
      <c r="R38" s="32">
        <f t="shared" ca="1" si="25"/>
        <v>-1.7493409490333903E-2</v>
      </c>
      <c r="S38" s="32">
        <f t="shared" ca="1" si="25"/>
        <v>6.2532952548330564E-3</v>
      </c>
      <c r="T38" s="32">
        <f t="shared" ca="1" si="25"/>
        <v>3.0000000000000016E-2</v>
      </c>
      <c r="U38" s="32">
        <f t="shared" ca="1" si="25"/>
        <v>0.03</v>
      </c>
    </row>
    <row r="39" spans="1:21" s="51" customFormat="1" x14ac:dyDescent="0.35">
      <c r="A39"/>
      <c r="B39" t="s">
        <v>21</v>
      </c>
      <c r="C39"/>
      <c r="D39"/>
      <c r="E39"/>
      <c r="F39"/>
      <c r="G39" s="7"/>
      <c r="H39"/>
      <c r="I39"/>
      <c r="J39"/>
      <c r="K39"/>
      <c r="L39" s="32">
        <f>L40</f>
        <v>-0.15997363796133568</v>
      </c>
      <c r="M39" s="32">
        <f>L39+($L$39-$U$39)/($U$25-$M$25)</f>
        <v>-0.18122034270650264</v>
      </c>
      <c r="N39" s="32">
        <f t="shared" ref="N39:T39" si="26">M39-($L$39-$U$39)/($U$25-$M$25)</f>
        <v>-0.15997363796133568</v>
      </c>
      <c r="O39" s="32">
        <f t="shared" si="26"/>
        <v>-0.13872693321616872</v>
      </c>
      <c r="P39" s="32">
        <f t="shared" si="26"/>
        <v>-0.11748022847100176</v>
      </c>
      <c r="Q39" s="32">
        <f t="shared" si="26"/>
        <v>-9.6233523725834796E-2</v>
      </c>
      <c r="R39" s="32">
        <f t="shared" si="26"/>
        <v>-7.4986818980667835E-2</v>
      </c>
      <c r="S39" s="32">
        <f t="shared" si="26"/>
        <v>-5.3740114235500874E-2</v>
      </c>
      <c r="T39" s="32">
        <f t="shared" si="26"/>
        <v>-3.2493409490333913E-2</v>
      </c>
      <c r="U39" s="32">
        <f>G11</f>
        <v>0.01</v>
      </c>
    </row>
    <row r="40" spans="1:21" s="51" customFormat="1" x14ac:dyDescent="0.35">
      <c r="A40"/>
      <c r="B40" t="s">
        <v>18</v>
      </c>
      <c r="C40"/>
      <c r="D40"/>
      <c r="E40"/>
      <c r="F40"/>
      <c r="G40" s="7"/>
      <c r="H40"/>
      <c r="I40"/>
      <c r="J40"/>
      <c r="K40"/>
      <c r="L40" s="32">
        <f>'Q423'!L7/Main!K37-1</f>
        <v>-0.15997363796133568</v>
      </c>
      <c r="M40" s="32">
        <f>L40-($L$40-$U$40)/($U$25-$M$25)</f>
        <v>-0.13622693321616872</v>
      </c>
      <c r="N40" s="32">
        <f t="shared" ref="N40:T40" si="27">M40-($L$40-$U$40)/($U$25-$M$25)</f>
        <v>-0.11248022847100175</v>
      </c>
      <c r="O40" s="32">
        <f t="shared" si="27"/>
        <v>-8.873352372583479E-2</v>
      </c>
      <c r="P40" s="32">
        <f t="shared" si="27"/>
        <v>-6.4986818980667826E-2</v>
      </c>
      <c r="Q40" s="32">
        <f t="shared" si="27"/>
        <v>-4.1240114235500863E-2</v>
      </c>
      <c r="R40" s="32">
        <f t="shared" si="27"/>
        <v>-1.7493409490333903E-2</v>
      </c>
      <c r="S40" s="32">
        <f t="shared" si="27"/>
        <v>6.2532952548330564E-3</v>
      </c>
      <c r="T40" s="32">
        <f t="shared" si="27"/>
        <v>3.0000000000000016E-2</v>
      </c>
      <c r="U40" s="32">
        <f>I11</f>
        <v>0.03</v>
      </c>
    </row>
    <row r="41" spans="1:21" s="51" customFormat="1" x14ac:dyDescent="0.35">
      <c r="A41"/>
      <c r="B41" t="s">
        <v>122</v>
      </c>
      <c r="C41"/>
      <c r="D41"/>
      <c r="E41"/>
      <c r="F41"/>
      <c r="G41" s="7"/>
      <c r="H41"/>
      <c r="I41"/>
      <c r="J41"/>
      <c r="K41"/>
      <c r="L41" s="32">
        <f>L40</f>
        <v>-0.15997363796133568</v>
      </c>
      <c r="M41" s="32">
        <f>L41-($L$41-$U$41)/($U$25-$M$25)</f>
        <v>-0.13372693321616871</v>
      </c>
      <c r="N41" s="32">
        <f t="shared" ref="N41:T41" si="28">M41-($L$41-$U$41)/($U$25-$M$25)</f>
        <v>-0.10748022847100175</v>
      </c>
      <c r="O41" s="32">
        <f t="shared" si="28"/>
        <v>-8.1233523725834783E-2</v>
      </c>
      <c r="P41" s="32">
        <f t="shared" si="28"/>
        <v>-5.4986818980667825E-2</v>
      </c>
      <c r="Q41" s="32">
        <f t="shared" si="28"/>
        <v>-2.8740114235500866E-2</v>
      </c>
      <c r="R41" s="32">
        <f t="shared" si="28"/>
        <v>-2.4934094903339074E-3</v>
      </c>
      <c r="S41" s="32">
        <f t="shared" si="28"/>
        <v>2.3753295254833051E-2</v>
      </c>
      <c r="T41" s="32">
        <f t="shared" si="28"/>
        <v>5.000000000000001E-2</v>
      </c>
      <c r="U41" s="32">
        <f>K11</f>
        <v>0.05</v>
      </c>
    </row>
    <row r="42" spans="1:21" x14ac:dyDescent="0.35">
      <c r="B42" s="9" t="s">
        <v>10</v>
      </c>
      <c r="C42">
        <v>105.6</v>
      </c>
      <c r="D42" s="5">
        <v>98</v>
      </c>
      <c r="E42">
        <v>93.8</v>
      </c>
      <c r="F42" s="5">
        <v>90</v>
      </c>
      <c r="G42" s="7">
        <v>135.1</v>
      </c>
      <c r="H42" s="5">
        <v>97.8</v>
      </c>
      <c r="I42">
        <v>130.1</v>
      </c>
      <c r="J42" s="5">
        <v>122.8</v>
      </c>
      <c r="K42">
        <v>128.4</v>
      </c>
      <c r="L42" s="7">
        <f ca="1">K42*(1+L43)</f>
        <v>143.69999999999999</v>
      </c>
      <c r="M42" s="7">
        <f t="shared" ref="M42:U42" ca="1" si="29">L42*(1+M43)</f>
        <v>159.94011448598127</v>
      </c>
      <c r="N42" s="7">
        <f t="shared" ca="1" si="29"/>
        <v>177.03277999202979</v>
      </c>
      <c r="O42" s="7">
        <f t="shared" ca="1" si="29"/>
        <v>194.86428266832979</v>
      </c>
      <c r="P42" s="7">
        <f t="shared" ca="1" si="29"/>
        <v>213.29443725340917</v>
      </c>
      <c r="Q42" s="7">
        <f t="shared" ca="1" si="29"/>
        <v>232.15704110864638</v>
      </c>
      <c r="R42" s="7">
        <f t="shared" ca="1" si="29"/>
        <v>251.2611789307177</v>
      </c>
      <c r="S42" s="7">
        <f t="shared" ca="1" si="29"/>
        <v>270.39342617686742</v>
      </c>
      <c r="T42" s="7">
        <f t="shared" ca="1" si="29"/>
        <v>289.32096600924814</v>
      </c>
      <c r="U42" s="7">
        <f t="shared" ca="1" si="29"/>
        <v>309.57343362989553</v>
      </c>
    </row>
    <row r="43" spans="1:21" s="32" customFormat="1" x14ac:dyDescent="0.35">
      <c r="A43" s="17"/>
      <c r="B43" s="17" t="s">
        <v>17</v>
      </c>
      <c r="C43" s="17"/>
      <c r="D43" s="32">
        <f>D42/C42-1</f>
        <v>-7.1969696969696906E-2</v>
      </c>
      <c r="E43" s="32">
        <f t="shared" ref="E43:K43" si="30">E42/D42-1</f>
        <v>-4.2857142857142927E-2</v>
      </c>
      <c r="F43" s="32">
        <f t="shared" si="30"/>
        <v>-4.051172707889128E-2</v>
      </c>
      <c r="G43" s="32">
        <f t="shared" si="30"/>
        <v>0.50111111111111106</v>
      </c>
      <c r="H43" s="32">
        <f t="shared" si="30"/>
        <v>-0.27609178386380462</v>
      </c>
      <c r="I43" s="32">
        <f t="shared" si="30"/>
        <v>0.33026584867075659</v>
      </c>
      <c r="J43" s="32">
        <f t="shared" si="30"/>
        <v>-5.6110684089162199E-2</v>
      </c>
      <c r="K43" s="32">
        <f t="shared" si="30"/>
        <v>4.5602605863192203E-2</v>
      </c>
      <c r="L43" s="32">
        <f ca="1">OFFSET(L43,$E$12,0)</f>
        <v>0.11915887850467266</v>
      </c>
      <c r="M43" s="32">
        <f t="shared" ref="M43:U43" ca="1" si="31">OFFSET(M43,$E$12,0)</f>
        <v>0.11301401869158859</v>
      </c>
      <c r="N43" s="32">
        <f t="shared" ca="1" si="31"/>
        <v>0.10686915887850451</v>
      </c>
      <c r="O43" s="32">
        <f t="shared" ca="1" si="31"/>
        <v>0.10072429906542044</v>
      </c>
      <c r="P43" s="32">
        <f t="shared" ca="1" si="31"/>
        <v>9.4579439252336361E-2</v>
      </c>
      <c r="Q43" s="32">
        <f t="shared" ca="1" si="31"/>
        <v>8.8434579439252287E-2</v>
      </c>
      <c r="R43" s="32">
        <f t="shared" ca="1" si="31"/>
        <v>8.2289719626168212E-2</v>
      </c>
      <c r="S43" s="32">
        <f t="shared" ca="1" si="31"/>
        <v>7.6144859813084137E-2</v>
      </c>
      <c r="T43" s="32">
        <f t="shared" ca="1" si="31"/>
        <v>7.0000000000000062E-2</v>
      </c>
      <c r="U43" s="32">
        <f t="shared" ca="1" si="31"/>
        <v>7.0000000000000007E-2</v>
      </c>
    </row>
    <row r="44" spans="1:21" s="51" customFormat="1" x14ac:dyDescent="0.35">
      <c r="A44"/>
      <c r="B44" t="s">
        <v>21</v>
      </c>
      <c r="C44"/>
      <c r="D44"/>
      <c r="E44"/>
      <c r="F44"/>
      <c r="G44" s="7"/>
      <c r="H44"/>
      <c r="I44"/>
      <c r="J44"/>
      <c r="K44"/>
      <c r="L44" s="32">
        <f>L45</f>
        <v>0.11915887850467266</v>
      </c>
      <c r="M44" s="32">
        <f>L44-($L$44-$U$44)/($U$25-$M$25)</f>
        <v>0.10801401869158858</v>
      </c>
      <c r="N44" s="32">
        <f t="shared" ref="N44:T44" si="32">M44-($L$44-$U$44)/($U$25-$M$25)</f>
        <v>9.6869158878504502E-2</v>
      </c>
      <c r="O44" s="32">
        <f t="shared" si="32"/>
        <v>8.5724299065420423E-2</v>
      </c>
      <c r="P44" s="32">
        <f t="shared" si="32"/>
        <v>7.4579439252336344E-2</v>
      </c>
      <c r="Q44" s="32">
        <f t="shared" si="32"/>
        <v>6.3434579439252264E-2</v>
      </c>
      <c r="R44" s="32">
        <f t="shared" si="32"/>
        <v>5.2289719626168185E-2</v>
      </c>
      <c r="S44" s="32">
        <f t="shared" si="32"/>
        <v>4.1144859813084106E-2</v>
      </c>
      <c r="T44" s="32">
        <f t="shared" si="32"/>
        <v>3.0000000000000023E-2</v>
      </c>
      <c r="U44" s="32">
        <f>G12</f>
        <v>0.03</v>
      </c>
    </row>
    <row r="45" spans="1:21" s="51" customFormat="1" x14ac:dyDescent="0.35">
      <c r="A45"/>
      <c r="B45" t="s">
        <v>18</v>
      </c>
      <c r="C45"/>
      <c r="D45"/>
      <c r="E45"/>
      <c r="F45"/>
      <c r="G45" s="7"/>
      <c r="H45"/>
      <c r="I45"/>
      <c r="J45"/>
      <c r="K45"/>
      <c r="L45" s="32">
        <f>'Q423'!L9/Main!K42-1</f>
        <v>0.11915887850467266</v>
      </c>
      <c r="M45" s="32">
        <f>L45-($L$45-$U$45)/($U$25-$M$25)</f>
        <v>0.11301401869158859</v>
      </c>
      <c r="N45" s="32">
        <f t="shared" ref="N45:T45" si="33">M45-($L$45-$U$45)/($U$25-$M$25)</f>
        <v>0.10686915887850451</v>
      </c>
      <c r="O45" s="32">
        <f t="shared" si="33"/>
        <v>0.10072429906542044</v>
      </c>
      <c r="P45" s="32">
        <f t="shared" si="33"/>
        <v>9.4579439252336361E-2</v>
      </c>
      <c r="Q45" s="32">
        <f t="shared" si="33"/>
        <v>8.8434579439252287E-2</v>
      </c>
      <c r="R45" s="32">
        <f t="shared" si="33"/>
        <v>8.2289719626168212E-2</v>
      </c>
      <c r="S45" s="32">
        <f t="shared" si="33"/>
        <v>7.6144859813084137E-2</v>
      </c>
      <c r="T45" s="32">
        <f t="shared" si="33"/>
        <v>7.0000000000000062E-2</v>
      </c>
      <c r="U45" s="32">
        <f>I12</f>
        <v>7.0000000000000007E-2</v>
      </c>
    </row>
    <row r="46" spans="1:21" s="51" customFormat="1" x14ac:dyDescent="0.35">
      <c r="A46"/>
      <c r="B46" t="s">
        <v>122</v>
      </c>
      <c r="C46"/>
      <c r="D46"/>
      <c r="E46"/>
      <c r="F46"/>
      <c r="G46" s="7"/>
      <c r="H46"/>
      <c r="I46"/>
      <c r="J46"/>
      <c r="K46"/>
      <c r="L46" s="32">
        <f>L45</f>
        <v>0.11915887850467266</v>
      </c>
      <c r="M46" s="32">
        <f>L46-($L$46-$U$46)/($U$25-$M$25)</f>
        <v>0.11926401869158858</v>
      </c>
      <c r="N46" s="32">
        <f t="shared" ref="N46:T46" si="34">M46-($L$46-$U$46)/($U$25-$M$25)</f>
        <v>0.11936915887850449</v>
      </c>
      <c r="O46" s="32">
        <f t="shared" si="34"/>
        <v>0.11947429906542041</v>
      </c>
      <c r="P46" s="32">
        <f t="shared" si="34"/>
        <v>0.11957943925233633</v>
      </c>
      <c r="Q46" s="32">
        <f t="shared" si="34"/>
        <v>0.11968457943925224</v>
      </c>
      <c r="R46" s="32">
        <f t="shared" si="34"/>
        <v>0.11978971962616816</v>
      </c>
      <c r="S46" s="32">
        <f t="shared" si="34"/>
        <v>0.11989485981308408</v>
      </c>
      <c r="T46" s="32">
        <f t="shared" si="34"/>
        <v>0.12</v>
      </c>
      <c r="U46" s="32">
        <f>K12</f>
        <v>0.12</v>
      </c>
    </row>
    <row r="47" spans="1:21" x14ac:dyDescent="0.35">
      <c r="B47" s="9" t="s">
        <v>11</v>
      </c>
      <c r="C47">
        <v>18.100000000000001</v>
      </c>
      <c r="D47">
        <v>16</v>
      </c>
      <c r="E47">
        <v>18</v>
      </c>
      <c r="F47">
        <v>18.8</v>
      </c>
      <c r="G47" s="7">
        <v>21.7</v>
      </c>
      <c r="H47">
        <v>22.3</v>
      </c>
      <c r="I47">
        <v>1.2</v>
      </c>
      <c r="J47" s="8">
        <v>0</v>
      </c>
      <c r="K47" s="8"/>
    </row>
    <row r="48" spans="1:21" s="32" customFormat="1" x14ac:dyDescent="0.35">
      <c r="A48" s="17"/>
      <c r="B48" s="17" t="s">
        <v>17</v>
      </c>
      <c r="C48" s="17"/>
      <c r="D48" s="32">
        <f>D47/C47-1</f>
        <v>-0.11602209944751385</v>
      </c>
      <c r="E48" s="32">
        <f t="shared" ref="E48:J48" si="35">E47/D47-1</f>
        <v>0.125</v>
      </c>
      <c r="F48" s="32">
        <f t="shared" si="35"/>
        <v>4.4444444444444509E-2</v>
      </c>
      <c r="G48" s="32">
        <f t="shared" si="35"/>
        <v>0.1542553191489362</v>
      </c>
      <c r="H48" s="32">
        <f t="shared" si="35"/>
        <v>2.7649769585253559E-2</v>
      </c>
      <c r="I48" s="32">
        <f t="shared" si="35"/>
        <v>-0.94618834080717484</v>
      </c>
      <c r="J48" s="32">
        <f t="shared" si="35"/>
        <v>-1</v>
      </c>
      <c r="K48" s="33"/>
    </row>
    <row r="49" spans="1:21" s="51" customFormat="1" x14ac:dyDescent="0.35">
      <c r="A49"/>
      <c r="B49" t="s">
        <v>21</v>
      </c>
      <c r="C49"/>
      <c r="D49"/>
      <c r="E49"/>
      <c r="F49"/>
      <c r="G49" s="7"/>
      <c r="H49"/>
      <c r="I49"/>
      <c r="J49"/>
      <c r="K49"/>
    </row>
    <row r="50" spans="1:21" s="51" customFormat="1" x14ac:dyDescent="0.35">
      <c r="A50"/>
      <c r="B50" t="s">
        <v>18</v>
      </c>
      <c r="C50"/>
      <c r="D50"/>
      <c r="E50"/>
      <c r="F50"/>
      <c r="G50" s="7"/>
      <c r="H50"/>
      <c r="I50"/>
      <c r="J50"/>
      <c r="K50"/>
    </row>
    <row r="51" spans="1:21" s="51" customFormat="1" x14ac:dyDescent="0.35">
      <c r="A51"/>
      <c r="B51" t="s">
        <v>122</v>
      </c>
      <c r="C51"/>
      <c r="D51"/>
      <c r="E51"/>
      <c r="F51"/>
      <c r="G51" s="7"/>
      <c r="H51"/>
      <c r="I51"/>
      <c r="J51"/>
      <c r="K51"/>
    </row>
    <row r="52" spans="1:21" x14ac:dyDescent="0.35">
      <c r="B52" s="9" t="s">
        <v>14</v>
      </c>
      <c r="F52">
        <v>8.6</v>
      </c>
      <c r="G52" s="7">
        <v>39.9</v>
      </c>
      <c r="H52" s="5">
        <v>72</v>
      </c>
      <c r="I52">
        <v>110.2</v>
      </c>
      <c r="J52" s="7">
        <v>128</v>
      </c>
      <c r="K52">
        <v>154.30000000000001</v>
      </c>
      <c r="L52" s="7">
        <f ca="1">K52*(1+L53)</f>
        <v>173.55</v>
      </c>
      <c r="M52" s="7">
        <f t="shared" ref="M52:U52" ca="1" si="36">L52*(1+M53)</f>
        <v>193.79675016202205</v>
      </c>
      <c r="N52" s="7">
        <f t="shared" ca="1" si="36"/>
        <v>214.83682248032534</v>
      </c>
      <c r="O52" s="7">
        <f t="shared" ca="1" si="36"/>
        <v>236.42214496193571</v>
      </c>
      <c r="P52" s="7">
        <f t="shared" ca="1" si="36"/>
        <v>258.26246417313098</v>
      </c>
      <c r="Q52" s="7">
        <f t="shared" ca="1" si="36"/>
        <v>280.02982221960906</v>
      </c>
      <c r="R52" s="7">
        <f t="shared" ca="1" si="36"/>
        <v>301.36508203823331</v>
      </c>
      <c r="S52" s="7">
        <f t="shared" ca="1" si="36"/>
        <v>321.88642304261253</v>
      </c>
      <c r="T52" s="7">
        <f t="shared" ca="1" si="36"/>
        <v>341.19960842516929</v>
      </c>
      <c r="U52" s="7">
        <f t="shared" ca="1" si="36"/>
        <v>361.67158493067944</v>
      </c>
    </row>
    <row r="53" spans="1:21" s="32" customFormat="1" x14ac:dyDescent="0.35">
      <c r="A53" s="17"/>
      <c r="B53" s="17" t="s">
        <v>17</v>
      </c>
      <c r="C53"/>
      <c r="D53"/>
      <c r="E53"/>
      <c r="F53" s="33"/>
      <c r="G53" s="32">
        <f t="shared" ref="G53" si="37">G52/F52-1</f>
        <v>3.6395348837209305</v>
      </c>
      <c r="H53" s="32">
        <f t="shared" ref="H53" si="38">H52/G52-1</f>
        <v>0.80451127819548884</v>
      </c>
      <c r="I53" s="32">
        <f t="shared" ref="I53" si="39">I52/H52-1</f>
        <v>0.53055555555555567</v>
      </c>
      <c r="J53" s="32">
        <f t="shared" ref="J53" si="40">J52/I52-1</f>
        <v>0.16152450090744108</v>
      </c>
      <c r="K53" s="32">
        <f t="shared" ref="K53" si="41">K52/J52-1</f>
        <v>0.20546875000000009</v>
      </c>
      <c r="L53" s="32">
        <f ca="1">OFFSET(L53,$E$14,0)</f>
        <v>0.12475696694750482</v>
      </c>
      <c r="M53" s="32">
        <f t="shared" ref="M53:U53" ca="1" si="42">OFFSET(M53,$E$14,0)</f>
        <v>0.11666234607906673</v>
      </c>
      <c r="N53" s="32">
        <f t="shared" ca="1" si="42"/>
        <v>0.10856772521062863</v>
      </c>
      <c r="O53" s="32">
        <f t="shared" ca="1" si="42"/>
        <v>0.10047310434219053</v>
      </c>
      <c r="P53" s="32">
        <f t="shared" ca="1" si="42"/>
        <v>9.2378483473752437E-2</v>
      </c>
      <c r="Q53" s="32">
        <f t="shared" ca="1" si="42"/>
        <v>8.4283862605314341E-2</v>
      </c>
      <c r="R53" s="32">
        <f t="shared" ca="1" si="42"/>
        <v>7.6189241736876245E-2</v>
      </c>
      <c r="S53" s="32">
        <f t="shared" ca="1" si="42"/>
        <v>6.8094620868438149E-2</v>
      </c>
      <c r="T53" s="32">
        <f t="shared" ca="1" si="42"/>
        <v>6.0000000000000046E-2</v>
      </c>
      <c r="U53" s="32">
        <f t="shared" ca="1" si="42"/>
        <v>0.06</v>
      </c>
    </row>
    <row r="54" spans="1:21" s="51" customFormat="1" x14ac:dyDescent="0.35">
      <c r="A54"/>
      <c r="B54" t="s">
        <v>21</v>
      </c>
      <c r="C54"/>
      <c r="D54"/>
      <c r="E54"/>
      <c r="F54" s="8"/>
      <c r="G54" s="7"/>
      <c r="H54"/>
      <c r="I54"/>
      <c r="J54"/>
      <c r="K54"/>
      <c r="L54" s="32">
        <f>L55</f>
        <v>0.12475696694750482</v>
      </c>
      <c r="M54" s="32">
        <f>L54-($L$54-$U$54)/($U$25-$M$25)</f>
        <v>0.11166234607906672</v>
      </c>
      <c r="N54" s="32">
        <f t="shared" ref="N54:T54" si="43">M54-($L$54-$U$54)/($U$25-$M$25)</f>
        <v>9.8567725210628621E-2</v>
      </c>
      <c r="O54" s="32">
        <f t="shared" si="43"/>
        <v>8.547310434219052E-2</v>
      </c>
      <c r="P54" s="32">
        <f t="shared" si="43"/>
        <v>7.237848347375242E-2</v>
      </c>
      <c r="Q54" s="32">
        <f t="shared" si="43"/>
        <v>5.9283862605314319E-2</v>
      </c>
      <c r="R54" s="32">
        <f t="shared" si="43"/>
        <v>4.6189241736876219E-2</v>
      </c>
      <c r="S54" s="32">
        <f t="shared" si="43"/>
        <v>3.3094620868438118E-2</v>
      </c>
      <c r="T54" s="32">
        <f t="shared" si="43"/>
        <v>2.0000000000000018E-2</v>
      </c>
      <c r="U54" s="32">
        <f>G14</f>
        <v>0.02</v>
      </c>
    </row>
    <row r="55" spans="1:21" s="51" customFormat="1" x14ac:dyDescent="0.35">
      <c r="A55"/>
      <c r="B55" t="s">
        <v>18</v>
      </c>
      <c r="C55"/>
      <c r="D55"/>
      <c r="E55"/>
      <c r="F55" s="8"/>
      <c r="G55" s="7"/>
      <c r="H55"/>
      <c r="I55"/>
      <c r="J55"/>
      <c r="K55"/>
      <c r="L55" s="32">
        <f>'Q423'!L13/Main!K52-1</f>
        <v>0.12475696694750482</v>
      </c>
      <c r="M55" s="32">
        <f>L55-($L$55-$U$55)/($U$25-$M$25)</f>
        <v>0.11666234607906673</v>
      </c>
      <c r="N55" s="32">
        <f t="shared" ref="N55:T55" si="44">M55-($L$55-$U$55)/($U$25-$M$25)</f>
        <v>0.10856772521062863</v>
      </c>
      <c r="O55" s="32">
        <f t="shared" si="44"/>
        <v>0.10047310434219053</v>
      </c>
      <c r="P55" s="32">
        <f t="shared" si="44"/>
        <v>9.2378483473752437E-2</v>
      </c>
      <c r="Q55" s="32">
        <f t="shared" si="44"/>
        <v>8.4283862605314341E-2</v>
      </c>
      <c r="R55" s="32">
        <f t="shared" si="44"/>
        <v>7.6189241736876245E-2</v>
      </c>
      <c r="S55" s="32">
        <f t="shared" si="44"/>
        <v>6.8094620868438149E-2</v>
      </c>
      <c r="T55" s="32">
        <f t="shared" si="44"/>
        <v>6.0000000000000046E-2</v>
      </c>
      <c r="U55" s="32">
        <f>I14</f>
        <v>0.06</v>
      </c>
    </row>
    <row r="56" spans="1:21" s="51" customFormat="1" x14ac:dyDescent="0.35">
      <c r="A56"/>
      <c r="B56" t="s">
        <v>122</v>
      </c>
      <c r="C56"/>
      <c r="D56"/>
      <c r="E56"/>
      <c r="F56"/>
      <c r="G56" s="7"/>
      <c r="H56"/>
      <c r="I56"/>
      <c r="J56"/>
      <c r="K56"/>
      <c r="L56" s="32">
        <f>L55</f>
        <v>0.12475696694750482</v>
      </c>
      <c r="M56" s="32">
        <f>L56-($L$56-$U$56)/($U$25-$M$25)</f>
        <v>0.12916234607906671</v>
      </c>
      <c r="N56" s="32">
        <f t="shared" ref="N56:T56" si="45">M56-($L$56-$U$56)/($U$25-$M$25)</f>
        <v>0.1335677252106286</v>
      </c>
      <c r="O56" s="32">
        <f t="shared" si="45"/>
        <v>0.13797310434219048</v>
      </c>
      <c r="P56" s="32">
        <f t="shared" si="45"/>
        <v>0.14237848347375237</v>
      </c>
      <c r="Q56" s="32">
        <f t="shared" si="45"/>
        <v>0.14678386260531426</v>
      </c>
      <c r="R56" s="32">
        <f t="shared" si="45"/>
        <v>0.15118924173687615</v>
      </c>
      <c r="S56" s="32">
        <f t="shared" si="45"/>
        <v>0.15559462086843803</v>
      </c>
      <c r="T56" s="32">
        <f t="shared" si="45"/>
        <v>0.15999999999999992</v>
      </c>
      <c r="U56" s="32">
        <f>K14</f>
        <v>0.16</v>
      </c>
    </row>
    <row r="57" spans="1:21" s="5" customFormat="1" x14ac:dyDescent="0.35">
      <c r="A57"/>
      <c r="B57" s="9" t="s">
        <v>15</v>
      </c>
      <c r="C57"/>
      <c r="D57"/>
      <c r="E57"/>
      <c r="F57"/>
      <c r="G57" s="7">
        <v>12.2</v>
      </c>
      <c r="H57" s="5">
        <v>86.9</v>
      </c>
      <c r="I57" s="5">
        <v>171</v>
      </c>
      <c r="J57" s="5">
        <v>237.5</v>
      </c>
      <c r="K57" s="5">
        <v>255</v>
      </c>
      <c r="L57" s="7">
        <f ca="1">K57*(1+L58)</f>
        <v>302.99</v>
      </c>
      <c r="M57" s="7">
        <f t="shared" ref="M57:U57" ca="1" si="46">L57*(1+M58)</f>
        <v>356.67121357843138</v>
      </c>
      <c r="N57" s="7">
        <f t="shared" ca="1" si="46"/>
        <v>415.93108668150666</v>
      </c>
      <c r="O57" s="7">
        <f t="shared" ca="1" si="46"/>
        <v>480.4513770640375</v>
      </c>
      <c r="P57" s="7">
        <f t="shared" ca="1" si="46"/>
        <v>549.68347843744164</v>
      </c>
      <c r="Q57" s="7">
        <f t="shared" ca="1" si="46"/>
        <v>622.83179897244759</v>
      </c>
      <c r="R57" s="7">
        <f t="shared" ca="1" si="46"/>
        <v>698.84780941762415</v>
      </c>
      <c r="S57" s="7">
        <f t="shared" ca="1" si="46"/>
        <v>776.4370448857602</v>
      </c>
      <c r="T57" s="7">
        <f t="shared" ca="1" si="46"/>
        <v>854.08074937433628</v>
      </c>
      <c r="U57" s="7">
        <f t="shared" ca="1" si="46"/>
        <v>939.48882431177003</v>
      </c>
    </row>
    <row r="58" spans="1:21" s="32" customFormat="1" x14ac:dyDescent="0.35">
      <c r="A58" s="17"/>
      <c r="B58" s="17" t="s">
        <v>17</v>
      </c>
      <c r="C58"/>
      <c r="D58"/>
      <c r="E58"/>
      <c r="F58" s="33"/>
      <c r="G58" s="33"/>
      <c r="H58" s="32">
        <f>H57/G57-1</f>
        <v>6.1229508196721323</v>
      </c>
      <c r="I58" s="32">
        <f t="shared" ref="I58" si="47">I57/H57-1</f>
        <v>0.96777905638665129</v>
      </c>
      <c r="J58" s="32">
        <f t="shared" ref="J58" si="48">J57/I57-1</f>
        <v>0.38888888888888884</v>
      </c>
      <c r="K58" s="32">
        <f t="shared" ref="K58" si="49">K57/J57-1</f>
        <v>7.3684210526315796E-2</v>
      </c>
      <c r="L58" s="32">
        <f ca="1">OFFSET(L58,$E$15,0)</f>
        <v>0.18819607843137254</v>
      </c>
      <c r="M58" s="32">
        <f t="shared" ref="M58:U58" ca="1" si="50">OFFSET(M58,$E$15,0)</f>
        <v>0.17717156862745098</v>
      </c>
      <c r="N58" s="32">
        <f t="shared" ca="1" si="50"/>
        <v>0.16614705882352943</v>
      </c>
      <c r="O58" s="32">
        <f t="shared" ca="1" si="50"/>
        <v>0.15512254901960787</v>
      </c>
      <c r="P58" s="32">
        <f t="shared" ca="1" si="50"/>
        <v>0.14409803921568631</v>
      </c>
      <c r="Q58" s="32">
        <f t="shared" ca="1" si="50"/>
        <v>0.13307352941176476</v>
      </c>
      <c r="R58" s="32">
        <f t="shared" ca="1" si="50"/>
        <v>0.12204901960784319</v>
      </c>
      <c r="S58" s="32">
        <f t="shared" ca="1" si="50"/>
        <v>0.11102450980392162</v>
      </c>
      <c r="T58" s="32">
        <f t="shared" ca="1" si="50"/>
        <v>0.10000000000000005</v>
      </c>
      <c r="U58" s="32">
        <f t="shared" ca="1" si="50"/>
        <v>0.1</v>
      </c>
    </row>
    <row r="59" spans="1:21" s="51" customFormat="1" x14ac:dyDescent="0.35">
      <c r="A59"/>
      <c r="B59" t="s">
        <v>21</v>
      </c>
      <c r="C59"/>
      <c r="D59"/>
      <c r="E59"/>
      <c r="F59" s="8"/>
      <c r="G59" s="8"/>
      <c r="H59"/>
      <c r="I59"/>
      <c r="J59"/>
      <c r="K59"/>
      <c r="L59" s="32">
        <f>L60</f>
        <v>0.18819607843137254</v>
      </c>
      <c r="M59" s="32">
        <f>L59-($L$59-$U$59)/($U$25-$M$25)</f>
        <v>0.16842156862745097</v>
      </c>
      <c r="N59" s="32">
        <f t="shared" ref="N59:T59" si="51">M59-($L$59-$U$59)/($U$25-$M$25)</f>
        <v>0.14864705882352941</v>
      </c>
      <c r="O59" s="32">
        <f t="shared" si="51"/>
        <v>0.12887254901960785</v>
      </c>
      <c r="P59" s="32">
        <f t="shared" si="51"/>
        <v>0.10909803921568628</v>
      </c>
      <c r="Q59" s="32">
        <f t="shared" si="51"/>
        <v>8.9323529411764718E-2</v>
      </c>
      <c r="R59" s="32">
        <f t="shared" si="51"/>
        <v>6.9549019607843154E-2</v>
      </c>
      <c r="S59" s="32">
        <f t="shared" si="51"/>
        <v>4.9774509803921591E-2</v>
      </c>
      <c r="T59" s="32">
        <f t="shared" si="51"/>
        <v>3.0000000000000023E-2</v>
      </c>
      <c r="U59" s="32">
        <f>G15</f>
        <v>0.03</v>
      </c>
    </row>
    <row r="60" spans="1:21" s="51" customFormat="1" x14ac:dyDescent="0.35">
      <c r="A60"/>
      <c r="B60" t="s">
        <v>18</v>
      </c>
      <c r="C60"/>
      <c r="D60"/>
      <c r="E60"/>
      <c r="F60"/>
      <c r="G60"/>
      <c r="H60"/>
      <c r="I60"/>
      <c r="J60"/>
      <c r="K60"/>
      <c r="L60" s="32">
        <f>'Q423'!L15/Main!K57-1</f>
        <v>0.18819607843137254</v>
      </c>
      <c r="M60" s="32">
        <f>L60-($L$60-$U$60)/($U$25-$M$25)</f>
        <v>0.17717156862745098</v>
      </c>
      <c r="N60" s="32">
        <f t="shared" ref="N60:T60" si="52">M60-($L$60-$U$60)/($U$25-$M$25)</f>
        <v>0.16614705882352943</v>
      </c>
      <c r="O60" s="32">
        <f t="shared" si="52"/>
        <v>0.15512254901960787</v>
      </c>
      <c r="P60" s="32">
        <f t="shared" si="52"/>
        <v>0.14409803921568631</v>
      </c>
      <c r="Q60" s="32">
        <f t="shared" si="52"/>
        <v>0.13307352941176476</v>
      </c>
      <c r="R60" s="32">
        <f t="shared" si="52"/>
        <v>0.12204901960784319</v>
      </c>
      <c r="S60" s="32">
        <f t="shared" si="52"/>
        <v>0.11102450980392162</v>
      </c>
      <c r="T60" s="32">
        <f t="shared" si="52"/>
        <v>0.10000000000000005</v>
      </c>
      <c r="U60" s="32">
        <f>I15</f>
        <v>0.1</v>
      </c>
    </row>
    <row r="61" spans="1:21" s="51" customFormat="1" x14ac:dyDescent="0.35">
      <c r="A61"/>
      <c r="B61" t="s">
        <v>22</v>
      </c>
      <c r="C61"/>
      <c r="D61"/>
      <c r="E61"/>
      <c r="F61"/>
      <c r="G61"/>
      <c r="H61"/>
      <c r="I61"/>
      <c r="J61"/>
      <c r="K61"/>
      <c r="L61" s="32">
        <f>L60</f>
        <v>0.18819607843137254</v>
      </c>
      <c r="M61" s="32">
        <f>L61-($L$61-$U$61)/($U$25-$M$25)</f>
        <v>0.18342156862745096</v>
      </c>
      <c r="N61" s="32">
        <f t="shared" ref="N61:T61" si="53">M61-($L$61-$U$61)/($U$25-$M$25)</f>
        <v>0.17864705882352938</v>
      </c>
      <c r="O61" s="32">
        <f t="shared" si="53"/>
        <v>0.1738725490196078</v>
      </c>
      <c r="P61" s="32">
        <f t="shared" si="53"/>
        <v>0.16909803921568622</v>
      </c>
      <c r="Q61" s="32">
        <f t="shared" si="53"/>
        <v>0.16432352941176465</v>
      </c>
      <c r="R61" s="32">
        <f t="shared" si="53"/>
        <v>0.15954901960784307</v>
      </c>
      <c r="S61" s="32">
        <f t="shared" si="53"/>
        <v>0.15477450980392149</v>
      </c>
      <c r="T61" s="32">
        <f t="shared" si="53"/>
        <v>0.14999999999999991</v>
      </c>
      <c r="U61" s="32">
        <f>K15</f>
        <v>0.15</v>
      </c>
    </row>
    <row r="62" spans="1:21" s="5" customFormat="1" x14ac:dyDescent="0.35">
      <c r="B62" s="78" t="s">
        <v>16</v>
      </c>
      <c r="J62" s="5">
        <v>5.9</v>
      </c>
      <c r="K62" s="5">
        <v>169.1</v>
      </c>
      <c r="L62" s="5">
        <f ca="1">K62*(1+L63)</f>
        <v>453.45499999999998</v>
      </c>
      <c r="M62" s="5">
        <f t="shared" ref="M62:U62" ca="1" si="54">L62*(1+M63)</f>
        <v>494.26595000000003</v>
      </c>
      <c r="N62" s="5">
        <f t="shared" ca="1" si="54"/>
        <v>541.57426235714286</v>
      </c>
      <c r="O62" s="5">
        <f t="shared" ca="1" si="54"/>
        <v>596.50536611051018</v>
      </c>
      <c r="P62" s="5">
        <f t="shared" ca="1" si="54"/>
        <v>660.41665533663627</v>
      </c>
      <c r="Q62" s="5">
        <f t="shared" ca="1" si="54"/>
        <v>734.94939215319948</v>
      </c>
      <c r="R62" s="5">
        <f t="shared" ca="1" si="54"/>
        <v>822.09339150850735</v>
      </c>
      <c r="S62" s="5">
        <f t="shared" ca="1" si="54"/>
        <v>924.26785588170765</v>
      </c>
      <c r="T62" s="5">
        <f t="shared" ca="1" si="54"/>
        <v>1044.4226771463295</v>
      </c>
      <c r="U62" s="5">
        <f t="shared" ca="1" si="54"/>
        <v>1180.1976251753522</v>
      </c>
    </row>
    <row r="63" spans="1:21" s="32" customFormat="1" x14ac:dyDescent="0.35">
      <c r="A63" s="17"/>
      <c r="B63" s="17" t="s">
        <v>17</v>
      </c>
      <c r="C63"/>
      <c r="D63"/>
      <c r="E63"/>
      <c r="F63"/>
      <c r="G63"/>
      <c r="H63"/>
      <c r="I63"/>
      <c r="J63" s="33"/>
      <c r="K63" s="32">
        <f>K62/J62-1</f>
        <v>27.66101694915254</v>
      </c>
      <c r="L63" s="32">
        <f ca="1">OFFSET(L63,$E$16,0)</f>
        <v>1.6815789473684211</v>
      </c>
      <c r="M63" s="32">
        <f t="shared" ref="M63:U63" ca="1" si="55">OFFSET(M63,$E$16,0)</f>
        <v>0.09</v>
      </c>
      <c r="N63" s="32">
        <f t="shared" ca="1" si="55"/>
        <v>9.571428571428571E-2</v>
      </c>
      <c r="O63" s="32">
        <f t="shared" ca="1" si="55"/>
        <v>0.10142857142857142</v>
      </c>
      <c r="P63" s="32">
        <f t="shared" ca="1" si="55"/>
        <v>0.10714285714285714</v>
      </c>
      <c r="Q63" s="32">
        <f t="shared" ca="1" si="55"/>
        <v>0.11285714285714285</v>
      </c>
      <c r="R63" s="32">
        <f t="shared" ca="1" si="55"/>
        <v>0.11857142857142856</v>
      </c>
      <c r="S63" s="32">
        <f t="shared" ca="1" si="55"/>
        <v>0.12428571428571428</v>
      </c>
      <c r="T63" s="32">
        <f t="shared" ca="1" si="55"/>
        <v>0.13</v>
      </c>
      <c r="U63" s="32">
        <f t="shared" ca="1" si="55"/>
        <v>0.13</v>
      </c>
    </row>
    <row r="64" spans="1:21" s="51" customFormat="1" x14ac:dyDescent="0.35">
      <c r="A64"/>
      <c r="B64" t="s">
        <v>21</v>
      </c>
      <c r="C64"/>
      <c r="D64"/>
      <c r="E64"/>
      <c r="F64"/>
      <c r="G64"/>
      <c r="H64"/>
      <c r="I64"/>
      <c r="J64" s="8"/>
      <c r="K64" s="5"/>
      <c r="L64" s="32">
        <f>L65</f>
        <v>1.6815789473684211</v>
      </c>
      <c r="M64" s="32">
        <v>0.03</v>
      </c>
      <c r="N64" s="32">
        <f>M64-($M$64-$U$64)/($U$25-$N$25)</f>
        <v>3.4285714285714287E-2</v>
      </c>
      <c r="O64" s="32">
        <f t="shared" ref="O64:T64" si="56">N64-($M$64-$U$64)/($U$25-$N$25)</f>
        <v>3.8571428571428576E-2</v>
      </c>
      <c r="P64" s="32">
        <f t="shared" si="56"/>
        <v>4.2857142857142864E-2</v>
      </c>
      <c r="Q64" s="32">
        <f t="shared" si="56"/>
        <v>4.7142857142857153E-2</v>
      </c>
      <c r="R64" s="32">
        <f t="shared" si="56"/>
        <v>5.1428571428571442E-2</v>
      </c>
      <c r="S64" s="32">
        <f t="shared" si="56"/>
        <v>5.571428571428573E-2</v>
      </c>
      <c r="T64" s="32">
        <f t="shared" si="56"/>
        <v>6.0000000000000019E-2</v>
      </c>
      <c r="U64" s="32">
        <f>G16</f>
        <v>0.06</v>
      </c>
    </row>
    <row r="65" spans="1:21" s="51" customFormat="1" x14ac:dyDescent="0.35">
      <c r="A65"/>
      <c r="B65" t="s">
        <v>18</v>
      </c>
      <c r="C65"/>
      <c r="D65"/>
      <c r="E65"/>
      <c r="F65"/>
      <c r="G65"/>
      <c r="H65"/>
      <c r="I65"/>
      <c r="J65" s="8"/>
      <c r="K65" s="5"/>
      <c r="L65" s="32">
        <f>'Q423'!L17/Main!K62-1</f>
        <v>1.6815789473684211</v>
      </c>
      <c r="M65" s="32">
        <v>0.06</v>
      </c>
      <c r="N65" s="32">
        <f>M65-($M$65-$U$65)/($U$25-$N$25)</f>
        <v>6.2857142857142861E-2</v>
      </c>
      <c r="O65" s="32">
        <f t="shared" ref="O65:T65" si="57">N65-($M$65-$U$65)/($U$25-$N$25)</f>
        <v>6.5714285714285725E-2</v>
      </c>
      <c r="P65" s="32">
        <f t="shared" si="57"/>
        <v>6.8571428571428589E-2</v>
      </c>
      <c r="Q65" s="32">
        <f t="shared" si="57"/>
        <v>7.1428571428571452E-2</v>
      </c>
      <c r="R65" s="32">
        <f t="shared" si="57"/>
        <v>7.4285714285714316E-2</v>
      </c>
      <c r="S65" s="32">
        <f t="shared" si="57"/>
        <v>7.714285714285718E-2</v>
      </c>
      <c r="T65" s="32">
        <f t="shared" si="57"/>
        <v>8.0000000000000043E-2</v>
      </c>
      <c r="U65" s="32">
        <f>I16</f>
        <v>0.08</v>
      </c>
    </row>
    <row r="66" spans="1:21" s="51" customFormat="1" x14ac:dyDescent="0.35">
      <c r="A66"/>
      <c r="B66" t="s">
        <v>22</v>
      </c>
      <c r="C66"/>
      <c r="D66"/>
      <c r="E66"/>
      <c r="F66"/>
      <c r="G66"/>
      <c r="H66"/>
      <c r="I66"/>
      <c r="J66" s="8"/>
      <c r="K66" s="5"/>
      <c r="L66" s="32">
        <f>L65</f>
        <v>1.6815789473684211</v>
      </c>
      <c r="M66" s="32">
        <v>0.09</v>
      </c>
      <c r="N66" s="32">
        <f>M66-($M$66-$U$66)/($U$25-$N$25)</f>
        <v>9.571428571428571E-2</v>
      </c>
      <c r="O66" s="32">
        <f t="shared" ref="O66:T66" si="58">N66-($M$66-$U$66)/($U$25-$N$25)</f>
        <v>0.10142857142857142</v>
      </c>
      <c r="P66" s="32">
        <f t="shared" si="58"/>
        <v>0.10714285714285714</v>
      </c>
      <c r="Q66" s="32">
        <f t="shared" si="58"/>
        <v>0.11285714285714285</v>
      </c>
      <c r="R66" s="32">
        <f t="shared" si="58"/>
        <v>0.11857142857142856</v>
      </c>
      <c r="S66" s="32">
        <f t="shared" si="58"/>
        <v>0.12428571428571428</v>
      </c>
      <c r="T66" s="32">
        <f t="shared" si="58"/>
        <v>0.13</v>
      </c>
      <c r="U66" s="32">
        <f>K16</f>
        <v>0.13</v>
      </c>
    </row>
    <row r="67" spans="1:21" s="5" customFormat="1" x14ac:dyDescent="0.35">
      <c r="B67" s="78" t="s">
        <v>19</v>
      </c>
      <c r="L67" s="5">
        <f>'Q423'!L19</f>
        <v>7.2</v>
      </c>
      <c r="M67" s="5">
        <f ca="1">L67*(1+M68)</f>
        <v>151.20000000000002</v>
      </c>
      <c r="N67" s="5">
        <f t="shared" ref="N67:U67" ca="1" si="59">M67*(1+N68)</f>
        <v>604.80000000000007</v>
      </c>
      <c r="O67" s="5">
        <f t="shared" ca="1" si="59"/>
        <v>665.28000000000009</v>
      </c>
      <c r="P67" s="5">
        <f t="shared" ca="1" si="59"/>
        <v>745.11360000000013</v>
      </c>
      <c r="Q67" s="5">
        <f t="shared" ca="1" si="59"/>
        <v>849.42950400000029</v>
      </c>
      <c r="R67" s="5">
        <f t="shared" ca="1" si="59"/>
        <v>985.33822464000025</v>
      </c>
      <c r="S67" s="5">
        <f t="shared" ca="1" si="59"/>
        <v>1162.6991050752001</v>
      </c>
      <c r="T67" s="5">
        <f t="shared" ca="1" si="59"/>
        <v>1395.2389260902401</v>
      </c>
      <c r="U67" s="5">
        <f t="shared" ca="1" si="59"/>
        <v>1674.286711308288</v>
      </c>
    </row>
    <row r="68" spans="1:21" s="32" customFormat="1" x14ac:dyDescent="0.35">
      <c r="A68" s="17"/>
      <c r="B68" s="17" t="s">
        <v>17</v>
      </c>
      <c r="C68"/>
      <c r="D68"/>
      <c r="E68"/>
      <c r="F68"/>
      <c r="G68"/>
      <c r="H68"/>
      <c r="I68"/>
      <c r="J68" s="33"/>
      <c r="K68" s="33"/>
      <c r="M68" s="32">
        <f ca="1">OFFSET(M68,$E$17,0)</f>
        <v>20</v>
      </c>
      <c r="N68" s="32">
        <f t="shared" ref="N68:U68" ca="1" si="60">OFFSET(N68,$E$17,0)</f>
        <v>3</v>
      </c>
      <c r="O68" s="32">
        <f t="shared" ca="1" si="60"/>
        <v>0.1</v>
      </c>
      <c r="P68" s="32">
        <f t="shared" ca="1" si="60"/>
        <v>0.12000000000000001</v>
      </c>
      <c r="Q68" s="32">
        <f t="shared" ca="1" si="60"/>
        <v>0.14000000000000001</v>
      </c>
      <c r="R68" s="32">
        <f t="shared" ca="1" si="60"/>
        <v>0.16</v>
      </c>
      <c r="S68" s="32">
        <f t="shared" ca="1" si="60"/>
        <v>0.18</v>
      </c>
      <c r="T68" s="32">
        <f t="shared" ca="1" si="60"/>
        <v>0.19999999999999998</v>
      </c>
      <c r="U68" s="32">
        <f t="shared" ca="1" si="60"/>
        <v>0.2</v>
      </c>
    </row>
    <row r="69" spans="1:21" s="51" customFormat="1" x14ac:dyDescent="0.35">
      <c r="A69"/>
      <c r="B69" t="s">
        <v>21</v>
      </c>
      <c r="C69"/>
      <c r="D69"/>
      <c r="E69"/>
      <c r="F69"/>
      <c r="G69"/>
      <c r="H69"/>
      <c r="I69"/>
      <c r="J69" s="8"/>
      <c r="K69" s="8"/>
      <c r="M69" s="32">
        <v>5</v>
      </c>
      <c r="N69" s="32">
        <v>1</v>
      </c>
      <c r="O69" s="32">
        <v>0.03</v>
      </c>
      <c r="P69" s="32">
        <f>O69-($O$69-$U$69)/($U$25-$P$25)</f>
        <v>3.4000000000000002E-2</v>
      </c>
      <c r="Q69" s="32">
        <f t="shared" ref="Q69:T69" si="61">P69-($O$69-$U$69)/($U$25-$P$25)</f>
        <v>3.8000000000000006E-2</v>
      </c>
      <c r="R69" s="32">
        <f t="shared" si="61"/>
        <v>4.200000000000001E-2</v>
      </c>
      <c r="S69" s="32">
        <f t="shared" si="61"/>
        <v>4.6000000000000013E-2</v>
      </c>
      <c r="T69" s="32">
        <f t="shared" si="61"/>
        <v>5.0000000000000017E-2</v>
      </c>
      <c r="U69" s="32">
        <f>G17</f>
        <v>0.05</v>
      </c>
    </row>
    <row r="70" spans="1:21" s="51" customFormat="1" x14ac:dyDescent="0.35">
      <c r="A70"/>
      <c r="B70" t="s">
        <v>18</v>
      </c>
      <c r="C70"/>
      <c r="D70"/>
      <c r="E70"/>
      <c r="F70"/>
      <c r="G70"/>
      <c r="H70"/>
      <c r="I70"/>
      <c r="J70" s="8"/>
      <c r="K70" s="8"/>
      <c r="M70" s="32">
        <v>10</v>
      </c>
      <c r="N70" s="32">
        <v>2</v>
      </c>
      <c r="O70" s="32">
        <v>0.05</v>
      </c>
      <c r="P70" s="32">
        <f>O70-($O$70-$U$70)/($U$25-$P$25)</f>
        <v>6.0000000000000005E-2</v>
      </c>
      <c r="Q70" s="32">
        <f t="shared" ref="Q70:T70" si="62">P70-($O$70-$U$70)/($U$25-$P$25)</f>
        <v>7.0000000000000007E-2</v>
      </c>
      <c r="R70" s="32">
        <f t="shared" si="62"/>
        <v>0.08</v>
      </c>
      <c r="S70" s="32">
        <f t="shared" si="62"/>
        <v>0.09</v>
      </c>
      <c r="T70" s="32">
        <f t="shared" si="62"/>
        <v>9.9999999999999992E-2</v>
      </c>
      <c r="U70" s="32">
        <f>I17</f>
        <v>0.1</v>
      </c>
    </row>
    <row r="71" spans="1:21" s="51" customFormat="1" x14ac:dyDescent="0.35">
      <c r="A71"/>
      <c r="B71" t="s">
        <v>122</v>
      </c>
      <c r="C71"/>
      <c r="D71"/>
      <c r="E71"/>
      <c r="F71"/>
      <c r="G71"/>
      <c r="H71"/>
      <c r="I71"/>
      <c r="J71" s="8"/>
      <c r="K71" s="8"/>
      <c r="M71" s="32">
        <v>20</v>
      </c>
      <c r="N71" s="32">
        <v>3</v>
      </c>
      <c r="O71" s="32">
        <v>0.1</v>
      </c>
      <c r="P71" s="32">
        <f>O71-($O$71-$U$71)/($U$25-$P$25)</f>
        <v>0.12000000000000001</v>
      </c>
      <c r="Q71" s="32">
        <f t="shared" ref="Q71:T71" si="63">P71-($O$71-$U$71)/($U$25-$P$25)</f>
        <v>0.14000000000000001</v>
      </c>
      <c r="R71" s="32">
        <f t="shared" si="63"/>
        <v>0.16</v>
      </c>
      <c r="S71" s="32">
        <f t="shared" si="63"/>
        <v>0.18</v>
      </c>
      <c r="T71" s="32">
        <f t="shared" si="63"/>
        <v>0.19999999999999998</v>
      </c>
      <c r="U71" s="32">
        <f>K17</f>
        <v>0.2</v>
      </c>
    </row>
    <row r="72" spans="1:21" s="5" customFormat="1" x14ac:dyDescent="0.35">
      <c r="B72" s="77" t="s">
        <v>99</v>
      </c>
      <c r="C72" s="77">
        <f t="shared" ref="C72:F72" si="64">C27+C32+C37+C42+C47+C52+C57+C62+C67</f>
        <v>738.40000000000009</v>
      </c>
      <c r="D72" s="77">
        <f t="shared" si="64"/>
        <v>884.5</v>
      </c>
      <c r="E72" s="77">
        <f t="shared" si="64"/>
        <v>1110.4000000000001</v>
      </c>
      <c r="F72" s="77">
        <f t="shared" si="64"/>
        <v>1270.3999999999999</v>
      </c>
      <c r="G72" s="77">
        <f>G27+G32+G37+G42+G47+G52+G57+G62+G67</f>
        <v>1470.4</v>
      </c>
      <c r="H72" s="77">
        <f>H27+H32+H37+H42+H47+H52+H57+H62+H67</f>
        <v>1661</v>
      </c>
      <c r="I72" s="77">
        <f>I27+I32+I37+I42+I47+I52+I57+I62+I67</f>
        <v>1805.9</v>
      </c>
      <c r="J72" s="77">
        <f t="shared" ref="J72:U72" si="65">J27+J32+J37+J42+J47+J52+J57+J62+J67</f>
        <v>1783.5</v>
      </c>
      <c r="K72" s="77">
        <f t="shared" si="65"/>
        <v>2041.9999999999998</v>
      </c>
      <c r="L72" s="77">
        <f t="shared" ca="1" si="65"/>
        <v>2483.0940000000001</v>
      </c>
      <c r="M72" s="77">
        <f t="shared" ca="1" si="65"/>
        <v>2839.654102290845</v>
      </c>
      <c r="N72" s="77">
        <f t="shared" ca="1" si="65"/>
        <v>3530.5560310521237</v>
      </c>
      <c r="O72" s="77">
        <f t="shared" ca="1" si="65"/>
        <v>3850.8231335388314</v>
      </c>
      <c r="P72" s="77">
        <f t="shared" ca="1" si="65"/>
        <v>4211.1266406304112</v>
      </c>
      <c r="Q72" s="77">
        <f t="shared" ca="1" si="65"/>
        <v>4615.0847941493284</v>
      </c>
      <c r="R72" s="77">
        <f t="shared" ca="1" si="65"/>
        <v>5068.5393592387127</v>
      </c>
      <c r="S72" s="77">
        <f t="shared" ca="1" si="65"/>
        <v>5580.3614526545034</v>
      </c>
      <c r="T72" s="77">
        <f t="shared" ca="1" si="65"/>
        <v>6163.687476135703</v>
      </c>
      <c r="U72" s="77">
        <f t="shared" ca="1" si="65"/>
        <v>6826.9126183749522</v>
      </c>
    </row>
    <row r="73" spans="1:21" s="17" customFormat="1" x14ac:dyDescent="0.35">
      <c r="B73" s="17" t="s">
        <v>17</v>
      </c>
      <c r="C73" s="34"/>
      <c r="D73" s="32">
        <f>D72/C72-1</f>
        <v>0.19786023835319599</v>
      </c>
      <c r="E73" s="32">
        <f t="shared" ref="E73:K73" si="66">E72/D72-1</f>
        <v>0.25539853024307524</v>
      </c>
      <c r="F73" s="32">
        <f t="shared" si="66"/>
        <v>0.14409221902017277</v>
      </c>
      <c r="G73" s="32">
        <f t="shared" si="66"/>
        <v>0.15743073047858958</v>
      </c>
      <c r="H73" s="32">
        <f t="shared" si="66"/>
        <v>0.12962459194776921</v>
      </c>
      <c r="I73" s="32">
        <f t="shared" si="66"/>
        <v>8.7236604455147582E-2</v>
      </c>
      <c r="J73" s="32">
        <f t="shared" si="66"/>
        <v>-1.2403787585137604E-2</v>
      </c>
      <c r="K73" s="32">
        <f t="shared" si="66"/>
        <v>0.14493972525932142</v>
      </c>
      <c r="L73" s="32">
        <f t="shared" ref="L73" ca="1" si="67">L72/K72-1</f>
        <v>0.21601077375122446</v>
      </c>
      <c r="M73" s="32">
        <f t="shared" ref="M73" ca="1" si="68">M72/L72-1</f>
        <v>0.14359508834174006</v>
      </c>
      <c r="N73" s="32">
        <f t="shared" ref="N73" ca="1" si="69">N72/M72-1</f>
        <v>0.24330496034848204</v>
      </c>
      <c r="O73" s="32">
        <f t="shared" ref="O73" ca="1" si="70">O72/N72-1</f>
        <v>9.071293577268813E-2</v>
      </c>
      <c r="P73" s="32">
        <f t="shared" ref="P73" ca="1" si="71">P72/O72-1</f>
        <v>9.3565322165411358E-2</v>
      </c>
      <c r="Q73" s="32">
        <f t="shared" ref="Q73" ca="1" si="72">Q72/P72-1</f>
        <v>9.5926384550250487E-2</v>
      </c>
      <c r="R73" s="32">
        <f t="shared" ref="R73" ca="1" si="73">R72/Q72-1</f>
        <v>9.825487186372861E-2</v>
      </c>
      <c r="S73" s="32">
        <f t="shared" ref="S73" ca="1" si="74">S72/R72-1</f>
        <v>0.10098019510943801</v>
      </c>
      <c r="T73" s="32">
        <f t="shared" ref="T73" ca="1" si="75">T72/S72-1</f>
        <v>0.10453194267617194</v>
      </c>
      <c r="U73" s="32">
        <f t="shared" ref="U73" ca="1" si="76">U72/T72-1</f>
        <v>0.10760200688420607</v>
      </c>
    </row>
    <row r="74" spans="1:21" x14ac:dyDescent="0.35">
      <c r="C74" s="7"/>
      <c r="D74" s="7"/>
      <c r="E74" s="7"/>
      <c r="F74" s="7"/>
      <c r="G74" s="7"/>
      <c r="H74" s="7"/>
      <c r="I74" s="7"/>
      <c r="J74" s="7"/>
      <c r="K74" s="7"/>
      <c r="L74" s="7"/>
      <c r="M74" s="7"/>
      <c r="N74" s="7"/>
      <c r="O74" s="7"/>
      <c r="P74" s="7"/>
      <c r="Q74" s="7"/>
      <c r="R74" s="7"/>
      <c r="S74" s="7"/>
    </row>
    <row r="75" spans="1:21" s="3" customFormat="1" x14ac:dyDescent="0.35">
      <c r="A75" t="s">
        <v>3</v>
      </c>
      <c r="B75" s="39" t="s">
        <v>5</v>
      </c>
      <c r="C75" s="39">
        <v>2014</v>
      </c>
      <c r="D75" s="39">
        <f>C75+1</f>
        <v>2015</v>
      </c>
      <c r="E75" s="39">
        <f t="shared" ref="E75:K75" si="77">D75+1</f>
        <v>2016</v>
      </c>
      <c r="F75" s="39">
        <f t="shared" si="77"/>
        <v>2017</v>
      </c>
      <c r="G75" s="39">
        <f t="shared" si="77"/>
        <v>2018</v>
      </c>
      <c r="H75" s="39">
        <f t="shared" si="77"/>
        <v>2019</v>
      </c>
      <c r="I75" s="39">
        <f t="shared" si="77"/>
        <v>2020</v>
      </c>
      <c r="J75" s="39">
        <f t="shared" si="77"/>
        <v>2021</v>
      </c>
      <c r="K75" s="39">
        <f t="shared" si="77"/>
        <v>2022</v>
      </c>
    </row>
    <row r="76" spans="1:21" s="5" customFormat="1" x14ac:dyDescent="0.35">
      <c r="B76" s="5" t="s">
        <v>100</v>
      </c>
      <c r="C76" s="5">
        <f>C72</f>
        <v>738.40000000000009</v>
      </c>
      <c r="D76" s="5">
        <f t="shared" ref="D76:K76" si="78">D72</f>
        <v>884.5</v>
      </c>
      <c r="E76" s="5">
        <f t="shared" si="78"/>
        <v>1110.4000000000001</v>
      </c>
      <c r="F76" s="5">
        <f t="shared" si="78"/>
        <v>1270.3999999999999</v>
      </c>
      <c r="G76" s="5">
        <f t="shared" si="78"/>
        <v>1470.4</v>
      </c>
      <c r="H76" s="5">
        <f t="shared" si="78"/>
        <v>1661</v>
      </c>
      <c r="I76" s="5">
        <f t="shared" si="78"/>
        <v>1805.9</v>
      </c>
      <c r="J76" s="5">
        <f t="shared" si="78"/>
        <v>1783.5</v>
      </c>
      <c r="K76" s="5">
        <f t="shared" si="78"/>
        <v>2041.9999999999998</v>
      </c>
    </row>
    <row r="77" spans="1:21" x14ac:dyDescent="0.35">
      <c r="B77" s="17" t="s">
        <v>17</v>
      </c>
      <c r="D77" s="51">
        <f>D76/C76-1</f>
        <v>0.19786023835319599</v>
      </c>
      <c r="E77" s="51">
        <f t="shared" ref="E77:K77" si="79">E76/D76-1</f>
        <v>0.25539853024307524</v>
      </c>
      <c r="F77" s="51">
        <f t="shared" si="79"/>
        <v>0.14409221902017277</v>
      </c>
      <c r="G77" s="51">
        <f t="shared" si="79"/>
        <v>0.15743073047858958</v>
      </c>
      <c r="H77" s="51">
        <f t="shared" si="79"/>
        <v>0.12962459194776921</v>
      </c>
      <c r="I77" s="51">
        <f t="shared" si="79"/>
        <v>8.7236604455147582E-2</v>
      </c>
      <c r="J77" s="51">
        <f t="shared" si="79"/>
        <v>-1.2403787585137604E-2</v>
      </c>
      <c r="K77" s="51">
        <f t="shared" si="79"/>
        <v>0.14493972525932142</v>
      </c>
      <c r="L77" s="51"/>
      <c r="M77" s="51"/>
      <c r="N77" s="51"/>
      <c r="O77" s="51"/>
      <c r="P77" s="51"/>
      <c r="Q77" s="51"/>
      <c r="R77" s="51"/>
      <c r="S77" s="51"/>
      <c r="T77" s="51"/>
      <c r="U77" s="51"/>
    </row>
    <row r="78" spans="1:21" x14ac:dyDescent="0.35">
      <c r="B78" s="17"/>
      <c r="D78" s="51"/>
      <c r="E78" s="51"/>
      <c r="F78" s="51"/>
      <c r="G78" s="51"/>
      <c r="H78" s="51"/>
      <c r="I78" s="51"/>
      <c r="J78" s="51"/>
      <c r="K78" s="51"/>
      <c r="L78" s="51"/>
      <c r="M78" s="51"/>
      <c r="N78" s="51"/>
      <c r="O78" s="51"/>
      <c r="P78" s="51"/>
      <c r="Q78" s="51"/>
      <c r="R78" s="51"/>
      <c r="S78" s="51"/>
      <c r="T78" s="51"/>
      <c r="U78" s="51"/>
    </row>
    <row r="79" spans="1:21" s="5" customFormat="1" x14ac:dyDescent="0.35">
      <c r="B79" s="5" t="s">
        <v>111</v>
      </c>
      <c r="C79" s="5">
        <v>122.267</v>
      </c>
      <c r="D79" s="5">
        <v>152.00800000000001</v>
      </c>
      <c r="E79" s="5">
        <v>209.62</v>
      </c>
      <c r="F79" s="5">
        <v>241.786</v>
      </c>
      <c r="G79" s="5">
        <v>315.26400000000001</v>
      </c>
      <c r="H79" s="5">
        <v>359.46600000000001</v>
      </c>
      <c r="I79" s="5">
        <v>524.27200000000005</v>
      </c>
      <c r="J79" s="5">
        <v>470.51499999999999</v>
      </c>
      <c r="K79" s="5">
        <v>483.66899999999998</v>
      </c>
    </row>
    <row r="80" spans="1:21" x14ac:dyDescent="0.35">
      <c r="B80" s="17" t="s">
        <v>102</v>
      </c>
      <c r="C80" s="51">
        <f>C79/C76</f>
        <v>0.16558369447453952</v>
      </c>
      <c r="D80" s="51">
        <f t="shared" ref="D80:K80" si="80">D79/D76</f>
        <v>0.17185754663651781</v>
      </c>
      <c r="E80" s="51">
        <f t="shared" si="80"/>
        <v>0.18877881844380404</v>
      </c>
      <c r="F80" s="51">
        <f t="shared" si="80"/>
        <v>0.19032273299748112</v>
      </c>
      <c r="G80" s="51">
        <f t="shared" si="80"/>
        <v>0.2144069640914037</v>
      </c>
      <c r="H80" s="51">
        <f t="shared" si="80"/>
        <v>0.21641541240216738</v>
      </c>
      <c r="I80" s="51">
        <f t="shared" si="80"/>
        <v>0.29031064843014565</v>
      </c>
      <c r="J80" s="51">
        <f t="shared" si="80"/>
        <v>0.26381553125876084</v>
      </c>
      <c r="K80" s="51">
        <f t="shared" si="80"/>
        <v>0.23686043095004899</v>
      </c>
      <c r="L80" s="51"/>
      <c r="M80" s="51"/>
      <c r="N80" s="51"/>
      <c r="O80" s="51"/>
      <c r="P80" s="51"/>
      <c r="Q80" s="51"/>
      <c r="R80" s="51"/>
      <c r="S80" s="51"/>
      <c r="T80" s="51"/>
      <c r="U80" s="51"/>
    </row>
    <row r="81" spans="1:21" x14ac:dyDescent="0.35">
      <c r="B81" s="17"/>
      <c r="D81" s="51"/>
      <c r="E81" s="51"/>
      <c r="F81" s="51"/>
      <c r="G81" s="51"/>
      <c r="H81" s="51"/>
      <c r="I81" s="51"/>
      <c r="J81" s="51"/>
      <c r="K81" s="51"/>
      <c r="L81" s="51"/>
      <c r="M81" s="51"/>
      <c r="N81" s="51"/>
      <c r="O81" s="51"/>
      <c r="P81" s="51"/>
      <c r="Q81" s="51"/>
      <c r="R81" s="51"/>
      <c r="S81" s="51"/>
      <c r="T81" s="51"/>
      <c r="U81" s="51"/>
    </row>
    <row r="82" spans="1:21" s="5" customFormat="1" x14ac:dyDescent="0.35">
      <c r="B82" s="5" t="s">
        <v>103</v>
      </c>
      <c r="C82" s="5">
        <v>461.54300000000001</v>
      </c>
      <c r="D82" s="5">
        <v>634.80600000000004</v>
      </c>
      <c r="E82" s="5">
        <v>661.90499999999997</v>
      </c>
      <c r="F82" s="5">
        <v>610.75300000000004</v>
      </c>
      <c r="G82" s="5">
        <v>696.32799999999997</v>
      </c>
      <c r="H82" s="5">
        <v>715.00699999999995</v>
      </c>
      <c r="I82" s="5">
        <v>628.11599999999999</v>
      </c>
      <c r="J82" s="5">
        <v>628.79300000000001</v>
      </c>
      <c r="K82" s="5">
        <v>649.60599999999999</v>
      </c>
    </row>
    <row r="83" spans="1:21" s="17" customFormat="1" x14ac:dyDescent="0.35">
      <c r="B83" s="17" t="s">
        <v>102</v>
      </c>
      <c r="C83" s="32">
        <f>C82/C76</f>
        <v>0.62505823401950156</v>
      </c>
      <c r="D83" s="32">
        <f t="shared" ref="D83:K83" si="81">D82/D76</f>
        <v>0.71770039570378752</v>
      </c>
      <c r="E83" s="32">
        <f t="shared" si="81"/>
        <v>0.59609600144092212</v>
      </c>
      <c r="F83" s="32">
        <f t="shared" si="81"/>
        <v>0.48075645465994971</v>
      </c>
      <c r="G83" s="32">
        <f t="shared" si="81"/>
        <v>0.4735636561479869</v>
      </c>
      <c r="H83" s="32">
        <f t="shared" si="81"/>
        <v>0.43046779048765799</v>
      </c>
      <c r="I83" s="32">
        <f t="shared" si="81"/>
        <v>0.34781327869760226</v>
      </c>
      <c r="J83" s="32">
        <f t="shared" si="81"/>
        <v>0.35256125595738719</v>
      </c>
      <c r="K83" s="32">
        <f t="shared" si="81"/>
        <v>0.31812242899118515</v>
      </c>
      <c r="L83" s="32"/>
      <c r="M83" s="32"/>
      <c r="N83" s="32"/>
      <c r="O83" s="32"/>
      <c r="P83" s="32"/>
      <c r="Q83" s="32"/>
      <c r="R83" s="32"/>
      <c r="S83" s="32"/>
      <c r="T83" s="32"/>
      <c r="U83" s="32"/>
    </row>
    <row r="84" spans="1:21" x14ac:dyDescent="0.35">
      <c r="B84" s="17"/>
      <c r="D84" s="51"/>
      <c r="E84" s="51"/>
      <c r="F84" s="51"/>
      <c r="G84" s="51"/>
      <c r="H84" s="51"/>
      <c r="I84" s="51"/>
      <c r="J84" s="51"/>
      <c r="K84" s="51"/>
      <c r="L84" s="51"/>
      <c r="M84" s="51"/>
      <c r="N84" s="51"/>
      <c r="O84" s="51"/>
      <c r="P84" s="51"/>
      <c r="Q84" s="51"/>
      <c r="R84" s="51"/>
      <c r="S84" s="51"/>
      <c r="T84" s="51"/>
      <c r="U84" s="51"/>
    </row>
    <row r="85" spans="1:21" s="56" customFormat="1" x14ac:dyDescent="0.35">
      <c r="B85" s="56" t="s">
        <v>101</v>
      </c>
      <c r="C85" s="56">
        <v>-124.86799999999999</v>
      </c>
      <c r="D85" s="56">
        <v>-154.72399999999999</v>
      </c>
      <c r="E85" s="56">
        <v>-831.05</v>
      </c>
      <c r="F85" s="56">
        <v>-35.875</v>
      </c>
      <c r="G85" s="56">
        <v>-142.70500000000001</v>
      </c>
      <c r="H85" s="56">
        <v>-94.811000000000007</v>
      </c>
      <c r="I85" s="56">
        <v>-48.997</v>
      </c>
      <c r="J85" s="56">
        <v>-75.349999999999994</v>
      </c>
      <c r="K85" s="56">
        <v>149.57599999999999</v>
      </c>
    </row>
    <row r="86" spans="1:21" s="17" customFormat="1" x14ac:dyDescent="0.35">
      <c r="B86" s="17" t="s">
        <v>102</v>
      </c>
      <c r="C86" s="32">
        <f>C85/C76</f>
        <v>-0.1691061755146262</v>
      </c>
      <c r="D86" s="32">
        <f t="shared" ref="D86:J86" si="82">D85/D76</f>
        <v>-0.17492820802713396</v>
      </c>
      <c r="E86" s="32">
        <f t="shared" si="82"/>
        <v>-0.7484239913544668</v>
      </c>
      <c r="F86" s="32">
        <f t="shared" si="82"/>
        <v>-2.8239137279596982E-2</v>
      </c>
      <c r="G86" s="32">
        <f t="shared" si="82"/>
        <v>-9.7051822633297063E-2</v>
      </c>
      <c r="H86" s="32">
        <f t="shared" si="82"/>
        <v>-5.7080674292594828E-2</v>
      </c>
      <c r="I86" s="32">
        <f t="shared" si="82"/>
        <v>-2.7131624120936927E-2</v>
      </c>
      <c r="J86" s="32">
        <f t="shared" si="82"/>
        <v>-4.2248388001121386E-2</v>
      </c>
      <c r="K86" s="32">
        <f>K85/K76</f>
        <v>7.3249755142017633E-2</v>
      </c>
      <c r="L86" s="32"/>
      <c r="M86" s="32"/>
      <c r="N86" s="32"/>
      <c r="O86" s="32"/>
      <c r="P86" s="32"/>
      <c r="Q86" s="32"/>
      <c r="R86" s="32"/>
      <c r="S86" s="32"/>
      <c r="T86" s="32"/>
      <c r="U86" s="32"/>
    </row>
    <row r="87" spans="1:21" s="17" customFormat="1" x14ac:dyDescent="0.35">
      <c r="D87" s="32"/>
      <c r="E87" s="32"/>
      <c r="F87" s="32"/>
      <c r="G87" s="32"/>
      <c r="H87" s="32"/>
      <c r="I87" s="32"/>
      <c r="J87" s="32"/>
      <c r="K87" s="32"/>
      <c r="L87" s="32"/>
      <c r="M87" s="32"/>
      <c r="N87" s="32"/>
      <c r="O87" s="32"/>
      <c r="P87" s="32"/>
      <c r="Q87" s="32"/>
      <c r="R87" s="32"/>
      <c r="S87" s="32"/>
      <c r="T87" s="32"/>
      <c r="U87" s="32"/>
    </row>
    <row r="88" spans="1:21" s="56" customFormat="1" x14ac:dyDescent="0.35">
      <c r="B88" s="56" t="s">
        <v>104</v>
      </c>
      <c r="C88" s="56">
        <v>9.1010000000000009</v>
      </c>
      <c r="D88" s="56">
        <v>17.074999999999999</v>
      </c>
      <c r="E88" s="56">
        <v>-200.84</v>
      </c>
      <c r="F88" s="56">
        <v>81.167000000000002</v>
      </c>
      <c r="G88" s="56">
        <v>-65.494</v>
      </c>
      <c r="H88" s="56">
        <v>-70.962999999999994</v>
      </c>
      <c r="I88" s="56">
        <v>-903.02599999999995</v>
      </c>
      <c r="J88" s="56">
        <v>-11.27</v>
      </c>
      <c r="K88" s="56">
        <v>8.0150000000000006</v>
      </c>
    </row>
    <row r="89" spans="1:21" x14ac:dyDescent="0.35">
      <c r="B89" s="17" t="s">
        <v>105</v>
      </c>
      <c r="C89" s="51">
        <f>C88/C85</f>
        <v>-7.2884966524650041E-2</v>
      </c>
      <c r="D89" s="51">
        <f t="shared" ref="D89:K89" si="83">D88/D85</f>
        <v>-0.11035779840231638</v>
      </c>
      <c r="E89" s="51">
        <f t="shared" si="83"/>
        <v>0.24167017628301549</v>
      </c>
      <c r="F89" s="51">
        <f t="shared" si="83"/>
        <v>-2.2624947735191636</v>
      </c>
      <c r="G89" s="51">
        <f t="shared" si="83"/>
        <v>0.45894677831890962</v>
      </c>
      <c r="H89" s="51">
        <f t="shared" si="83"/>
        <v>0.74846800476737918</v>
      </c>
      <c r="I89" s="51">
        <f t="shared" si="83"/>
        <v>18.43023042227075</v>
      </c>
      <c r="J89" s="51">
        <f t="shared" si="83"/>
        <v>0.14956867949568681</v>
      </c>
      <c r="K89" s="51">
        <f t="shared" si="83"/>
        <v>5.3584799700486713E-2</v>
      </c>
      <c r="L89" s="51"/>
      <c r="M89" s="51"/>
      <c r="N89" s="51"/>
      <c r="O89" s="51"/>
      <c r="P89" s="51"/>
      <c r="Q89" s="51"/>
      <c r="R89" s="51"/>
      <c r="S89" s="51"/>
      <c r="T89" s="51"/>
      <c r="U89" s="51"/>
    </row>
    <row r="91" spans="1:21" s="3" customFormat="1" x14ac:dyDescent="0.35">
      <c r="A91" t="s">
        <v>3</v>
      </c>
      <c r="B91" s="39" t="s">
        <v>6</v>
      </c>
      <c r="C91" s="39">
        <v>2014</v>
      </c>
      <c r="D91" s="39">
        <f>C91+1</f>
        <v>2015</v>
      </c>
      <c r="E91" s="39">
        <f t="shared" ref="E91:K91" si="84">D91+1</f>
        <v>2016</v>
      </c>
      <c r="F91" s="39">
        <f t="shared" si="84"/>
        <v>2017</v>
      </c>
      <c r="G91" s="39">
        <f t="shared" si="84"/>
        <v>2018</v>
      </c>
      <c r="H91" s="39">
        <f t="shared" si="84"/>
        <v>2019</v>
      </c>
      <c r="I91" s="39">
        <f t="shared" si="84"/>
        <v>2020</v>
      </c>
      <c r="J91" s="39">
        <f t="shared" si="84"/>
        <v>2021</v>
      </c>
      <c r="K91" s="39">
        <f t="shared" si="84"/>
        <v>2022</v>
      </c>
    </row>
    <row r="92" spans="1:21" s="56" customFormat="1" x14ac:dyDescent="0.35">
      <c r="B92" s="56" t="s">
        <v>106</v>
      </c>
      <c r="C92" s="56">
        <v>45.871000000000002</v>
      </c>
      <c r="D92" s="56">
        <v>47.186999999999998</v>
      </c>
      <c r="E92" s="56">
        <v>96.912000000000006</v>
      </c>
      <c r="F92" s="56">
        <v>87.861000000000004</v>
      </c>
      <c r="G92" s="56">
        <v>95.671000000000006</v>
      </c>
      <c r="H92" s="56">
        <v>105.3</v>
      </c>
      <c r="I92" s="56">
        <v>105.172</v>
      </c>
      <c r="J92" s="56">
        <v>108.039</v>
      </c>
      <c r="K92" s="56">
        <v>101.96899999999999</v>
      </c>
    </row>
    <row r="93" spans="1:21" x14ac:dyDescent="0.35">
      <c r="B93" s="17" t="s">
        <v>102</v>
      </c>
      <c r="C93" s="51">
        <f>C92/C76</f>
        <v>6.2122156013001077E-2</v>
      </c>
      <c r="D93" s="51">
        <f t="shared" ref="D93:K93" si="85">D92/D76</f>
        <v>5.3348784624081401E-2</v>
      </c>
      <c r="E93" s="51">
        <f t="shared" si="85"/>
        <v>8.7276657060518736E-2</v>
      </c>
      <c r="F93" s="51">
        <f t="shared" si="85"/>
        <v>6.9160107052896741E-2</v>
      </c>
      <c r="G93" s="51">
        <f t="shared" si="85"/>
        <v>6.5064608269858548E-2</v>
      </c>
      <c r="H93" s="51">
        <f t="shared" si="85"/>
        <v>6.3395544852498487E-2</v>
      </c>
      <c r="I93" s="51">
        <f t="shared" si="85"/>
        <v>5.8237997674289825E-2</v>
      </c>
      <c r="J93" s="51">
        <f t="shared" si="85"/>
        <v>6.0576955424726665E-2</v>
      </c>
      <c r="K93" s="51">
        <f t="shared" si="85"/>
        <v>4.9935847208619003E-2</v>
      </c>
      <c r="L93" s="51"/>
      <c r="M93" s="51"/>
      <c r="N93" s="51"/>
      <c r="O93" s="51"/>
      <c r="P93" s="51"/>
      <c r="Q93" s="51"/>
      <c r="R93" s="51"/>
      <c r="S93" s="51"/>
      <c r="T93" s="51"/>
      <c r="U93" s="51"/>
    </row>
    <row r="94" spans="1:21" s="17" customFormat="1" x14ac:dyDescent="0.35">
      <c r="B94" s="17" t="s">
        <v>107</v>
      </c>
      <c r="C94" s="32">
        <f>C92/C96</f>
        <v>0.39185218089559382</v>
      </c>
      <c r="D94" s="32">
        <f t="shared" ref="D94:K94" si="86">D92/D96</f>
        <v>0.20727598582052509</v>
      </c>
      <c r="E94" s="32">
        <f t="shared" si="86"/>
        <v>0.65313384553174292</v>
      </c>
      <c r="F94" s="32">
        <f t="shared" si="86"/>
        <v>0.44102721125997024</v>
      </c>
      <c r="G94" s="32">
        <f t="shared" si="86"/>
        <v>0.66153367445719824</v>
      </c>
      <c r="H94" s="32">
        <f t="shared" si="86"/>
        <v>0.72607670348765041</v>
      </c>
      <c r="I94" s="32">
        <f t="shared" si="86"/>
        <v>0.92004339002029534</v>
      </c>
      <c r="J94" s="32">
        <f t="shared" si="86"/>
        <v>1.1303751909435225</v>
      </c>
      <c r="K94" s="32">
        <f t="shared" si="86"/>
        <v>0.8430046544696963</v>
      </c>
      <c r="L94" s="32"/>
      <c r="M94" s="32"/>
      <c r="N94" s="32"/>
      <c r="O94" s="32"/>
      <c r="P94" s="32"/>
      <c r="Q94" s="32"/>
      <c r="R94" s="32"/>
      <c r="S94" s="32"/>
      <c r="T94" s="32"/>
      <c r="U94" s="32"/>
    </row>
    <row r="96" spans="1:21" s="56" customFormat="1" x14ac:dyDescent="0.35">
      <c r="B96" s="56" t="s">
        <v>108</v>
      </c>
      <c r="C96" s="56">
        <v>117.062</v>
      </c>
      <c r="D96" s="56">
        <v>227.65299999999999</v>
      </c>
      <c r="E96" s="56">
        <v>148.38</v>
      </c>
      <c r="F96" s="56">
        <v>199.21899999999999</v>
      </c>
      <c r="G96" s="56">
        <v>144.62</v>
      </c>
      <c r="H96" s="56">
        <v>145.02600000000001</v>
      </c>
      <c r="I96" s="56">
        <v>114.312</v>
      </c>
      <c r="J96" s="56">
        <v>95.578000000000003</v>
      </c>
      <c r="K96" s="56">
        <v>120.959</v>
      </c>
    </row>
    <row r="97" spans="1:21" s="51" customFormat="1" x14ac:dyDescent="0.35">
      <c r="B97" s="32" t="s">
        <v>102</v>
      </c>
      <c r="C97" s="51">
        <f>C96/C76</f>
        <v>0.15853466955579629</v>
      </c>
      <c r="D97" s="51">
        <f>D96/D76</f>
        <v>0.25738044092707746</v>
      </c>
      <c r="E97" s="51">
        <f t="shared" ref="E97:K97" si="87">E96/E76</f>
        <v>0.13362752161383284</v>
      </c>
      <c r="F97" s="51">
        <f t="shared" si="87"/>
        <v>0.15681596347607055</v>
      </c>
      <c r="G97" s="51">
        <f t="shared" si="87"/>
        <v>9.8354189336235034E-2</v>
      </c>
      <c r="H97" s="51">
        <f t="shared" si="87"/>
        <v>8.7312462372065025E-2</v>
      </c>
      <c r="I97" s="51">
        <f t="shared" si="87"/>
        <v>6.3299186001439717E-2</v>
      </c>
      <c r="J97" s="51">
        <f t="shared" si="87"/>
        <v>5.3590131763386603E-2</v>
      </c>
      <c r="K97" s="51">
        <f t="shared" si="87"/>
        <v>5.9235553379040164E-2</v>
      </c>
    </row>
    <row r="99" spans="1:21" s="56" customFormat="1" x14ac:dyDescent="0.35">
      <c r="B99" s="56" t="s">
        <v>109</v>
      </c>
      <c r="C99" s="56">
        <v>-70.421999999999997</v>
      </c>
      <c r="D99" s="56">
        <v>-219.499</v>
      </c>
      <c r="E99" s="56">
        <v>-227.83699999999999</v>
      </c>
      <c r="F99" s="56">
        <v>-8.7569999999999997</v>
      </c>
      <c r="G99" s="56">
        <v>20.207999999999998</v>
      </c>
      <c r="H99" s="56">
        <v>48.262</v>
      </c>
      <c r="I99" s="56">
        <v>85.364999999999995</v>
      </c>
      <c r="J99" s="56">
        <v>304.536</v>
      </c>
      <c r="K99" s="56">
        <v>175.90199999999999</v>
      </c>
    </row>
    <row r="100" spans="1:21" x14ac:dyDescent="0.35">
      <c r="B100" s="17" t="s">
        <v>102</v>
      </c>
      <c r="C100" s="51">
        <f>C99/C76</f>
        <v>-9.5371072589382433E-2</v>
      </c>
      <c r="D100" s="51">
        <f t="shared" ref="D100:K100" si="88">D99/D76</f>
        <v>-0.24816167326172978</v>
      </c>
      <c r="E100" s="51">
        <f t="shared" si="88"/>
        <v>-0.20518461815561956</v>
      </c>
      <c r="F100" s="51">
        <f t="shared" si="88"/>
        <v>-6.8931045340050387E-3</v>
      </c>
      <c r="G100" s="51">
        <f t="shared" si="88"/>
        <v>1.3743199129488572E-2</v>
      </c>
      <c r="H100" s="51">
        <f t="shared" si="88"/>
        <v>2.9055990367248645E-2</v>
      </c>
      <c r="I100" s="51">
        <f t="shared" si="88"/>
        <v>4.7270059250235336E-2</v>
      </c>
      <c r="J100" s="51">
        <f t="shared" si="88"/>
        <v>0.17075189234650967</v>
      </c>
      <c r="K100" s="51">
        <f t="shared" si="88"/>
        <v>8.6142017629774734E-2</v>
      </c>
      <c r="L100" s="51"/>
      <c r="M100" s="51"/>
      <c r="N100" s="51"/>
      <c r="O100" s="51"/>
      <c r="P100" s="51"/>
      <c r="Q100" s="51"/>
      <c r="R100" s="51"/>
      <c r="S100" s="51"/>
      <c r="T100" s="51"/>
      <c r="U100" s="51"/>
    </row>
    <row r="101" spans="1:21" x14ac:dyDescent="0.35">
      <c r="B101" s="17" t="s">
        <v>110</v>
      </c>
      <c r="D101" s="51">
        <f>D99/(D76-C76)</f>
        <v>-1.5023887748117737</v>
      </c>
      <c r="E101" s="51">
        <f t="shared" ref="E101:K101" si="89">E99/(E76-D76)</f>
        <v>-1.0085745905267813</v>
      </c>
      <c r="F101" s="51">
        <f t="shared" si="89"/>
        <v>-5.4731250000000078E-2</v>
      </c>
      <c r="G101" s="51">
        <f t="shared" si="89"/>
        <v>0.10103999999999988</v>
      </c>
      <c r="H101" s="51">
        <f t="shared" si="89"/>
        <v>0.25321091290661085</v>
      </c>
      <c r="I101" s="51">
        <f t="shared" si="89"/>
        <v>0.58913043478260829</v>
      </c>
      <c r="J101" s="51">
        <f t="shared" si="89"/>
        <v>-13.595357142857088</v>
      </c>
      <c r="K101" s="51">
        <f t="shared" si="89"/>
        <v>0.68047195357833712</v>
      </c>
      <c r="L101" s="51"/>
      <c r="M101" s="51"/>
      <c r="N101" s="51"/>
      <c r="O101" s="51"/>
      <c r="P101" s="51"/>
      <c r="Q101" s="51"/>
      <c r="R101" s="51"/>
      <c r="S101" s="51"/>
      <c r="T101" s="51"/>
      <c r="U101" s="51"/>
    </row>
    <row r="102" spans="1:21" x14ac:dyDescent="0.35">
      <c r="L102">
        <v>1</v>
      </c>
      <c r="M102">
        <f>L102+1</f>
        <v>2</v>
      </c>
      <c r="N102">
        <f t="shared" ref="N102:U102" si="90">M102+1</f>
        <v>3</v>
      </c>
      <c r="O102">
        <f t="shared" si="90"/>
        <v>4</v>
      </c>
      <c r="P102">
        <f t="shared" si="90"/>
        <v>5</v>
      </c>
      <c r="Q102">
        <f t="shared" si="90"/>
        <v>6</v>
      </c>
      <c r="R102">
        <f t="shared" si="90"/>
        <v>7</v>
      </c>
      <c r="S102">
        <f t="shared" si="90"/>
        <v>8</v>
      </c>
      <c r="T102">
        <f t="shared" si="90"/>
        <v>9</v>
      </c>
      <c r="U102">
        <f t="shared" si="90"/>
        <v>10</v>
      </c>
    </row>
    <row r="103" spans="1:21" s="3" customFormat="1" x14ac:dyDescent="0.35">
      <c r="A103" t="s">
        <v>3</v>
      </c>
      <c r="B103" s="39" t="s">
        <v>7</v>
      </c>
      <c r="C103" s="39">
        <v>2014</v>
      </c>
      <c r="D103" s="39">
        <f>C103+1</f>
        <v>2015</v>
      </c>
      <c r="E103" s="39">
        <f t="shared" ref="E103:U103" si="91">D103+1</f>
        <v>2016</v>
      </c>
      <c r="F103" s="39">
        <f t="shared" si="91"/>
        <v>2017</v>
      </c>
      <c r="G103" s="39">
        <f t="shared" si="91"/>
        <v>2018</v>
      </c>
      <c r="H103" s="39">
        <f t="shared" si="91"/>
        <v>2019</v>
      </c>
      <c r="I103" s="39">
        <f t="shared" si="91"/>
        <v>2020</v>
      </c>
      <c r="J103" s="39">
        <f t="shared" si="91"/>
        <v>2021</v>
      </c>
      <c r="K103" s="39">
        <f t="shared" si="91"/>
        <v>2022</v>
      </c>
      <c r="L103" s="39">
        <f t="shared" si="91"/>
        <v>2023</v>
      </c>
      <c r="M103" s="39">
        <f t="shared" si="91"/>
        <v>2024</v>
      </c>
      <c r="N103" s="39">
        <f t="shared" si="91"/>
        <v>2025</v>
      </c>
      <c r="O103" s="39">
        <f t="shared" si="91"/>
        <v>2026</v>
      </c>
      <c r="P103" s="39">
        <f t="shared" si="91"/>
        <v>2027</v>
      </c>
      <c r="Q103" s="39">
        <f t="shared" si="91"/>
        <v>2028</v>
      </c>
      <c r="R103" s="39">
        <f t="shared" si="91"/>
        <v>2029</v>
      </c>
      <c r="S103" s="39">
        <f t="shared" si="91"/>
        <v>2030</v>
      </c>
      <c r="T103" s="39">
        <f t="shared" si="91"/>
        <v>2031</v>
      </c>
      <c r="U103" s="39">
        <f t="shared" si="91"/>
        <v>2032</v>
      </c>
    </row>
    <row r="104" spans="1:21" s="5" customFormat="1" x14ac:dyDescent="0.35">
      <c r="B104" s="5" t="s">
        <v>100</v>
      </c>
      <c r="C104" s="5">
        <f>C72</f>
        <v>738.40000000000009</v>
      </c>
      <c r="D104" s="5">
        <f t="shared" ref="D104:U104" si="92">D72</f>
        <v>884.5</v>
      </c>
      <c r="E104" s="5">
        <f t="shared" si="92"/>
        <v>1110.4000000000001</v>
      </c>
      <c r="F104" s="5">
        <f t="shared" si="92"/>
        <v>1270.3999999999999</v>
      </c>
      <c r="G104" s="5">
        <f t="shared" si="92"/>
        <v>1470.4</v>
      </c>
      <c r="H104" s="5">
        <f t="shared" si="92"/>
        <v>1661</v>
      </c>
      <c r="I104" s="5">
        <f t="shared" si="92"/>
        <v>1805.9</v>
      </c>
      <c r="J104" s="5">
        <f t="shared" si="92"/>
        <v>1783.5</v>
      </c>
      <c r="K104" s="5">
        <f t="shared" si="92"/>
        <v>2041.9999999999998</v>
      </c>
      <c r="L104" s="5">
        <f t="shared" ca="1" si="92"/>
        <v>2483.0940000000001</v>
      </c>
      <c r="M104" s="5">
        <f t="shared" ca="1" si="92"/>
        <v>2839.654102290845</v>
      </c>
      <c r="N104" s="5">
        <f t="shared" ca="1" si="92"/>
        <v>3530.5560310521237</v>
      </c>
      <c r="O104" s="5">
        <f t="shared" ca="1" si="92"/>
        <v>3850.8231335388314</v>
      </c>
      <c r="P104" s="5">
        <f t="shared" ca="1" si="92"/>
        <v>4211.1266406304112</v>
      </c>
      <c r="Q104" s="5">
        <f t="shared" ca="1" si="92"/>
        <v>4615.0847941493284</v>
      </c>
      <c r="R104" s="5">
        <f t="shared" ca="1" si="92"/>
        <v>5068.5393592387127</v>
      </c>
      <c r="S104" s="5">
        <f t="shared" ca="1" si="92"/>
        <v>5580.3614526545034</v>
      </c>
      <c r="T104" s="5">
        <f t="shared" ca="1" si="92"/>
        <v>6163.687476135703</v>
      </c>
      <c r="U104" s="5">
        <f t="shared" ca="1" si="92"/>
        <v>6826.9126183749522</v>
      </c>
    </row>
    <row r="105" spans="1:21" s="17" customFormat="1" x14ac:dyDescent="0.35">
      <c r="B105" s="17" t="s">
        <v>17</v>
      </c>
      <c r="D105" s="32">
        <f>D104/C104-1</f>
        <v>0.19786023835319599</v>
      </c>
      <c r="E105" s="32">
        <f t="shared" ref="E105:U105" si="93">E104/D104-1</f>
        <v>0.25539853024307524</v>
      </c>
      <c r="F105" s="32">
        <f t="shared" si="93"/>
        <v>0.14409221902017277</v>
      </c>
      <c r="G105" s="32">
        <f t="shared" si="93"/>
        <v>0.15743073047858958</v>
      </c>
      <c r="H105" s="32">
        <f t="shared" si="93"/>
        <v>0.12962459194776921</v>
      </c>
      <c r="I105" s="32">
        <f t="shared" si="93"/>
        <v>8.7236604455147582E-2</v>
      </c>
      <c r="J105" s="32">
        <f t="shared" si="93"/>
        <v>-1.2403787585137604E-2</v>
      </c>
      <c r="K105" s="32">
        <f t="shared" si="93"/>
        <v>0.14493972525932142</v>
      </c>
      <c r="L105" s="32">
        <f t="shared" ca="1" si="93"/>
        <v>0.21601077375122446</v>
      </c>
      <c r="M105" s="32">
        <f t="shared" ca="1" si="93"/>
        <v>0.14359508834174006</v>
      </c>
      <c r="N105" s="32">
        <f t="shared" ca="1" si="93"/>
        <v>0.24330496034848204</v>
      </c>
      <c r="O105" s="32">
        <f t="shared" ca="1" si="93"/>
        <v>9.071293577268813E-2</v>
      </c>
      <c r="P105" s="32">
        <f t="shared" ca="1" si="93"/>
        <v>9.3565322165411358E-2</v>
      </c>
      <c r="Q105" s="32">
        <f t="shared" ca="1" si="93"/>
        <v>9.5926384550250487E-2</v>
      </c>
      <c r="R105" s="32">
        <f t="shared" ca="1" si="93"/>
        <v>9.825487186372861E-2</v>
      </c>
      <c r="S105" s="32">
        <f t="shared" ca="1" si="93"/>
        <v>0.10098019510943801</v>
      </c>
      <c r="T105" s="32">
        <f t="shared" ca="1" si="93"/>
        <v>0.10453194267617194</v>
      </c>
      <c r="U105" s="32">
        <f t="shared" ca="1" si="93"/>
        <v>0.10760200688420607</v>
      </c>
    </row>
    <row r="107" spans="1:21" x14ac:dyDescent="0.35">
      <c r="B107" t="s">
        <v>101</v>
      </c>
      <c r="C107" s="56">
        <f>C85</f>
        <v>-124.86799999999999</v>
      </c>
      <c r="D107" s="56">
        <f>D85</f>
        <v>-154.72399999999999</v>
      </c>
      <c r="E107" s="56">
        <f t="shared" ref="E107:J107" si="94">E85</f>
        <v>-831.05</v>
      </c>
      <c r="F107" s="56">
        <f t="shared" si="94"/>
        <v>-35.875</v>
      </c>
      <c r="G107" s="56">
        <f t="shared" si="94"/>
        <v>-142.70500000000001</v>
      </c>
      <c r="H107" s="56">
        <f t="shared" si="94"/>
        <v>-94.811000000000007</v>
      </c>
      <c r="I107" s="56">
        <f t="shared" si="94"/>
        <v>-48.997</v>
      </c>
      <c r="J107" s="56">
        <f t="shared" si="94"/>
        <v>-75.349999999999994</v>
      </c>
      <c r="K107" s="56">
        <f>K85</f>
        <v>149.57599999999999</v>
      </c>
      <c r="L107" s="56">
        <f ca="1">L104*L108</f>
        <v>203.06136888410057</v>
      </c>
      <c r="M107" s="56">
        <f t="shared" ref="M107:U107" ca="1" si="95">M104*M108</f>
        <v>256.43600049478505</v>
      </c>
      <c r="N107" s="56">
        <f t="shared" ca="1" si="95"/>
        <v>348.93604474576728</v>
      </c>
      <c r="O107" s="56">
        <f t="shared" ca="1" si="95"/>
        <v>413.42812647310899</v>
      </c>
      <c r="P107" s="56">
        <f t="shared" ca="1" si="95"/>
        <v>488.02232907395864</v>
      </c>
      <c r="Q107" s="56">
        <f t="shared" ca="1" si="95"/>
        <v>574.19308979196182</v>
      </c>
      <c r="R107" s="56">
        <f t="shared" ca="1" si="95"/>
        <v>673.83387346494192</v>
      </c>
      <c r="S107" s="56">
        <f t="shared" ca="1" si="95"/>
        <v>789.46598368847776</v>
      </c>
      <c r="T107" s="56">
        <f t="shared" ca="1" si="95"/>
        <v>924.55312142035541</v>
      </c>
      <c r="U107" s="56">
        <f t="shared" ca="1" si="95"/>
        <v>1024.0368927562429</v>
      </c>
    </row>
    <row r="108" spans="1:21" x14ac:dyDescent="0.35">
      <c r="B108" s="32" t="s">
        <v>102</v>
      </c>
      <c r="C108" s="32">
        <f>C107/C104</f>
        <v>-0.1691061755146262</v>
      </c>
      <c r="D108" s="32">
        <f t="shared" ref="D108:K108" si="96">D107/D104</f>
        <v>-0.17492820802713396</v>
      </c>
      <c r="E108" s="32">
        <f t="shared" si="96"/>
        <v>-0.7484239913544668</v>
      </c>
      <c r="F108" s="32">
        <f t="shared" si="96"/>
        <v>-2.8239137279596982E-2</v>
      </c>
      <c r="G108" s="32">
        <f t="shared" si="96"/>
        <v>-9.7051822633297063E-2</v>
      </c>
      <c r="H108" s="32">
        <f t="shared" si="96"/>
        <v>-5.7080674292594828E-2</v>
      </c>
      <c r="I108" s="32">
        <f t="shared" si="96"/>
        <v>-2.7131624120936927E-2</v>
      </c>
      <c r="J108" s="32">
        <f t="shared" si="96"/>
        <v>-4.2248388001121386E-2</v>
      </c>
      <c r="K108" s="32">
        <f t="shared" si="96"/>
        <v>7.3249755142017633E-2</v>
      </c>
      <c r="L108" s="32">
        <f t="shared" ref="L108:U108" ca="1" si="97">OFFSET(L108,$E$19,0)</f>
        <v>8.1777560126237894E-2</v>
      </c>
      <c r="M108" s="32">
        <f t="shared" ca="1" si="97"/>
        <v>9.0305365110458155E-2</v>
      </c>
      <c r="N108" s="32">
        <f t="shared" ca="1" si="97"/>
        <v>9.8833170094678416E-2</v>
      </c>
      <c r="O108" s="32">
        <f t="shared" ca="1" si="97"/>
        <v>0.10736097507889868</v>
      </c>
      <c r="P108" s="32">
        <f t="shared" ca="1" si="97"/>
        <v>0.11588878006311894</v>
      </c>
      <c r="Q108" s="32">
        <f t="shared" ca="1" si="97"/>
        <v>0.1244165850473392</v>
      </c>
      <c r="R108" s="32">
        <f t="shared" ca="1" si="97"/>
        <v>0.13294439003155947</v>
      </c>
      <c r="S108" s="32">
        <f t="shared" ca="1" si="97"/>
        <v>0.14147219501577973</v>
      </c>
      <c r="T108" s="32">
        <f t="shared" ca="1" si="97"/>
        <v>0.15</v>
      </c>
      <c r="U108" s="32">
        <f t="shared" ca="1" si="97"/>
        <v>0.15</v>
      </c>
    </row>
    <row r="109" spans="1:21" x14ac:dyDescent="0.35">
      <c r="B109" t="s">
        <v>21</v>
      </c>
      <c r="C109" s="17"/>
      <c r="D109" s="17"/>
      <c r="E109" s="17"/>
      <c r="F109" s="17"/>
      <c r="G109" s="17"/>
      <c r="H109" s="17"/>
      <c r="I109" s="17"/>
      <c r="J109" s="17"/>
      <c r="K109" s="17"/>
      <c r="L109" s="32">
        <f>K108-($K$108-$U$109)/($U$103-$L$103)</f>
        <v>7.6222004570682345E-2</v>
      </c>
      <c r="M109" s="32">
        <f>L109-($K$108-$U$109)/($U$103-$L$103)</f>
        <v>7.9194253999347056E-2</v>
      </c>
      <c r="N109" s="32">
        <f t="shared" ref="N109:S109" si="98">M109-($K$108-$U$109)/($U$103-$L$103)</f>
        <v>8.2166503428011767E-2</v>
      </c>
      <c r="O109" s="32">
        <f t="shared" si="98"/>
        <v>8.5138752856676478E-2</v>
      </c>
      <c r="P109" s="32">
        <f t="shared" si="98"/>
        <v>8.8111002285341189E-2</v>
      </c>
      <c r="Q109" s="32">
        <f t="shared" si="98"/>
        <v>9.10832517140059E-2</v>
      </c>
      <c r="R109" s="32">
        <f t="shared" si="98"/>
        <v>9.4055501142670611E-2</v>
      </c>
      <c r="S109" s="32">
        <f t="shared" si="98"/>
        <v>9.7027750571335322E-2</v>
      </c>
      <c r="T109" s="32">
        <f>S109-($K$108-$U$109)/($U$103-$L$103)</f>
        <v>0.10000000000000003</v>
      </c>
      <c r="U109" s="32">
        <f>G19</f>
        <v>0.1</v>
      </c>
    </row>
    <row r="110" spans="1:21" x14ac:dyDescent="0.35">
      <c r="B110" t="s">
        <v>18</v>
      </c>
      <c r="C110" s="17"/>
      <c r="D110" s="17"/>
      <c r="E110" s="17"/>
      <c r="F110" s="17"/>
      <c r="G110" s="17"/>
      <c r="H110" s="17"/>
      <c r="I110" s="17"/>
      <c r="J110" s="17"/>
      <c r="K110" s="17"/>
      <c r="L110" s="32">
        <f>K108-($K$108-$U$110)/($U$103-$L$103)</f>
        <v>8.1777560126237894E-2</v>
      </c>
      <c r="M110" s="32">
        <f>L110-($K$108-$U$110)/($U$103-$L$103)</f>
        <v>9.0305365110458155E-2</v>
      </c>
      <c r="N110" s="32">
        <f t="shared" ref="N110:T110" si="99">M110-($K$108-$U$110)/($U$103-$L$103)</f>
        <v>9.8833170094678416E-2</v>
      </c>
      <c r="O110" s="32">
        <f t="shared" si="99"/>
        <v>0.10736097507889868</v>
      </c>
      <c r="P110" s="32">
        <f t="shared" si="99"/>
        <v>0.11588878006311894</v>
      </c>
      <c r="Q110" s="32">
        <f t="shared" si="99"/>
        <v>0.1244165850473392</v>
      </c>
      <c r="R110" s="32">
        <f t="shared" si="99"/>
        <v>0.13294439003155947</v>
      </c>
      <c r="S110" s="32">
        <f t="shared" si="99"/>
        <v>0.14147219501577973</v>
      </c>
      <c r="T110" s="32">
        <f t="shared" si="99"/>
        <v>0.15</v>
      </c>
      <c r="U110" s="32">
        <f>I19</f>
        <v>0.15</v>
      </c>
    </row>
    <row r="111" spans="1:21" x14ac:dyDescent="0.35">
      <c r="B111" t="s">
        <v>122</v>
      </c>
      <c r="C111" s="17"/>
      <c r="D111" s="17"/>
      <c r="E111" s="17"/>
      <c r="F111" s="17"/>
      <c r="G111" s="17"/>
      <c r="H111" s="17"/>
      <c r="I111" s="17"/>
      <c r="J111" s="17"/>
      <c r="K111" s="17"/>
      <c r="L111" s="32">
        <f>K108-($K$108-$U$111)/($U$103-$L$103)</f>
        <v>8.7333115681793444E-2</v>
      </c>
      <c r="M111" s="32">
        <f>L111-($K$108-$U$111)/($U$103-$L$103)</f>
        <v>0.10141647622156927</v>
      </c>
      <c r="N111" s="32">
        <f t="shared" ref="N111:T111" si="100">M111-($K$108-$U$111)/($U$103-$L$103)</f>
        <v>0.11549983676134509</v>
      </c>
      <c r="O111" s="32">
        <f t="shared" si="100"/>
        <v>0.12958319730112092</v>
      </c>
      <c r="P111" s="32">
        <f t="shared" si="100"/>
        <v>0.14366655784089674</v>
      </c>
      <c r="Q111" s="32">
        <f t="shared" si="100"/>
        <v>0.15774991838067257</v>
      </c>
      <c r="R111" s="32">
        <f t="shared" si="100"/>
        <v>0.17183327892044839</v>
      </c>
      <c r="S111" s="32">
        <f t="shared" si="100"/>
        <v>0.18591663946022421</v>
      </c>
      <c r="T111" s="32">
        <f t="shared" si="100"/>
        <v>0.20000000000000004</v>
      </c>
      <c r="U111" s="32">
        <f>K19</f>
        <v>0.2</v>
      </c>
    </row>
    <row r="113" spans="2:21" x14ac:dyDescent="0.35">
      <c r="B113" s="56" t="s">
        <v>104</v>
      </c>
      <c r="C113" s="56">
        <f>C88</f>
        <v>9.1010000000000009</v>
      </c>
      <c r="D113" s="56">
        <f t="shared" ref="D113:K113" si="101">D88</f>
        <v>17.074999999999999</v>
      </c>
      <c r="E113" s="56">
        <f t="shared" si="101"/>
        <v>-200.84</v>
      </c>
      <c r="F113" s="56">
        <f t="shared" si="101"/>
        <v>81.167000000000002</v>
      </c>
      <c r="G113" s="56">
        <f t="shared" si="101"/>
        <v>-65.494</v>
      </c>
      <c r="H113" s="56">
        <f t="shared" si="101"/>
        <v>-70.962999999999994</v>
      </c>
      <c r="I113" s="56">
        <f t="shared" si="101"/>
        <v>-903.02599999999995</v>
      </c>
      <c r="J113" s="56">
        <f t="shared" si="101"/>
        <v>-11.27</v>
      </c>
      <c r="K113" s="56">
        <f t="shared" si="101"/>
        <v>8.0150000000000006</v>
      </c>
      <c r="L113" s="56">
        <f ca="1">L107*L114</f>
        <v>14.214295821887042</v>
      </c>
      <c r="M113" s="56">
        <f t="shared" ref="M113:U113" ca="1" si="102">M107*M114</f>
        <v>18.805306702950904</v>
      </c>
      <c r="N113" s="56">
        <f t="shared" ca="1" si="102"/>
        <v>26.751763430508824</v>
      </c>
      <c r="O113" s="56">
        <f t="shared" ca="1" si="102"/>
        <v>33.074250117848713</v>
      </c>
      <c r="P113" s="56">
        <f t="shared" ca="1" si="102"/>
        <v>40.668527422829875</v>
      </c>
      <c r="Q113" s="56">
        <f t="shared" ca="1" si="102"/>
        <v>49.763401115303346</v>
      </c>
      <c r="R113" s="56">
        <f t="shared" ca="1" si="102"/>
        <v>60.64504861184475</v>
      </c>
      <c r="S113" s="56">
        <f t="shared" ca="1" si="102"/>
        <v>73.683491810924565</v>
      </c>
      <c r="T113" s="56">
        <f t="shared" ca="1" si="102"/>
        <v>89.373468403967649</v>
      </c>
      <c r="U113" s="56">
        <f t="shared" ca="1" si="102"/>
        <v>102.40368927562429</v>
      </c>
    </row>
    <row r="114" spans="2:21" s="32" customFormat="1" x14ac:dyDescent="0.35">
      <c r="B114" s="32" t="s">
        <v>105</v>
      </c>
      <c r="C114" s="32">
        <f>C113/C107</f>
        <v>-7.2884966524650041E-2</v>
      </c>
      <c r="D114" s="32">
        <f t="shared" ref="D114:K114" si="103">D113/D107</f>
        <v>-0.11035779840231638</v>
      </c>
      <c r="E114" s="32">
        <f t="shared" si="103"/>
        <v>0.24167017628301549</v>
      </c>
      <c r="F114" s="32">
        <f t="shared" si="103"/>
        <v>-2.2624947735191636</v>
      </c>
      <c r="G114" s="32">
        <f t="shared" si="103"/>
        <v>0.45894677831890962</v>
      </c>
      <c r="H114" s="32">
        <f t="shared" si="103"/>
        <v>0.74846800476737918</v>
      </c>
      <c r="I114" s="32">
        <f t="shared" si="103"/>
        <v>18.43023042227075</v>
      </c>
      <c r="J114" s="32">
        <f t="shared" si="103"/>
        <v>0.14956867949568681</v>
      </c>
      <c r="K114" s="32">
        <f t="shared" si="103"/>
        <v>5.3584799700486713E-2</v>
      </c>
      <c r="L114" s="32">
        <v>7.0000000000000007E-2</v>
      </c>
      <c r="M114" s="32">
        <f>L114-($L$114-$U$114)/9</f>
        <v>7.3333333333333334E-2</v>
      </c>
      <c r="N114" s="32">
        <f t="shared" ref="N114:T114" si="104">M114-($L$114-$U$114)/9</f>
        <v>7.6666666666666661E-2</v>
      </c>
      <c r="O114" s="32">
        <f t="shared" si="104"/>
        <v>7.9999999999999988E-2</v>
      </c>
      <c r="P114" s="32">
        <f t="shared" si="104"/>
        <v>8.3333333333333315E-2</v>
      </c>
      <c r="Q114" s="32">
        <f t="shared" si="104"/>
        <v>8.6666666666666642E-2</v>
      </c>
      <c r="R114" s="32">
        <f t="shared" si="104"/>
        <v>8.9999999999999969E-2</v>
      </c>
      <c r="S114" s="32">
        <f t="shared" si="104"/>
        <v>9.3333333333333296E-2</v>
      </c>
      <c r="T114" s="32">
        <f t="shared" si="104"/>
        <v>9.6666666666666623E-2</v>
      </c>
      <c r="U114" s="32">
        <v>0.1</v>
      </c>
    </row>
    <row r="116" spans="2:21" x14ac:dyDescent="0.35">
      <c r="B116" t="s">
        <v>112</v>
      </c>
      <c r="L116" s="56">
        <f ca="1">L107-L113</f>
        <v>188.84707306221352</v>
      </c>
      <c r="M116" s="56">
        <f t="shared" ref="M116:U116" ca="1" si="105">M107-M113</f>
        <v>237.63069379183415</v>
      </c>
      <c r="N116" s="56">
        <f t="shared" ca="1" si="105"/>
        <v>322.18428131525843</v>
      </c>
      <c r="O116" s="56">
        <f t="shared" ca="1" si="105"/>
        <v>380.3538763552603</v>
      </c>
      <c r="P116" s="56">
        <f t="shared" ca="1" si="105"/>
        <v>447.35380165112878</v>
      </c>
      <c r="Q116" s="56">
        <f t="shared" ca="1" si="105"/>
        <v>524.42968867665843</v>
      </c>
      <c r="R116" s="56">
        <f t="shared" ca="1" si="105"/>
        <v>613.18882485309712</v>
      </c>
      <c r="S116" s="56">
        <f t="shared" ca="1" si="105"/>
        <v>715.78249187755318</v>
      </c>
      <c r="T116" s="56">
        <f t="shared" ca="1" si="105"/>
        <v>835.17965301638776</v>
      </c>
      <c r="U116" s="56">
        <f t="shared" ca="1" si="105"/>
        <v>921.63320348061859</v>
      </c>
    </row>
    <row r="118" spans="2:21" x14ac:dyDescent="0.35">
      <c r="B118" s="56" t="s">
        <v>106</v>
      </c>
      <c r="C118" s="56">
        <f>C92</f>
        <v>45.871000000000002</v>
      </c>
      <c r="D118" s="56">
        <f t="shared" ref="D118:K118" si="106">D92</f>
        <v>47.186999999999998</v>
      </c>
      <c r="E118" s="56">
        <f t="shared" si="106"/>
        <v>96.912000000000006</v>
      </c>
      <c r="F118" s="56">
        <f t="shared" si="106"/>
        <v>87.861000000000004</v>
      </c>
      <c r="G118" s="56">
        <f t="shared" si="106"/>
        <v>95.671000000000006</v>
      </c>
      <c r="H118" s="56">
        <f t="shared" si="106"/>
        <v>105.3</v>
      </c>
      <c r="I118" s="56">
        <f t="shared" si="106"/>
        <v>105.172</v>
      </c>
      <c r="J118" s="56">
        <f t="shared" si="106"/>
        <v>108.039</v>
      </c>
      <c r="K118" s="56">
        <f t="shared" si="106"/>
        <v>101.96899999999999</v>
      </c>
      <c r="L118" s="56">
        <f ca="1">L104*L119</f>
        <v>173.81658000000002</v>
      </c>
      <c r="M118" s="56">
        <f t="shared" ref="M118:U118" ca="1" si="107">M104*M119</f>
        <v>198.77578716035916</v>
      </c>
      <c r="N118" s="56">
        <f t="shared" ca="1" si="107"/>
        <v>247.13892217364869</v>
      </c>
      <c r="O118" s="56">
        <f t="shared" ca="1" si="107"/>
        <v>269.55761934771823</v>
      </c>
      <c r="P118" s="56">
        <f t="shared" ca="1" si="107"/>
        <v>294.7788648441288</v>
      </c>
      <c r="Q118" s="56">
        <f t="shared" ca="1" si="107"/>
        <v>323.05593559045303</v>
      </c>
      <c r="R118" s="56">
        <f t="shared" ca="1" si="107"/>
        <v>354.7977551467099</v>
      </c>
      <c r="S118" s="56">
        <f t="shared" ca="1" si="107"/>
        <v>390.62530168581526</v>
      </c>
      <c r="T118" s="56">
        <f t="shared" ca="1" si="107"/>
        <v>431.45812332949924</v>
      </c>
      <c r="U118" s="56">
        <f t="shared" ca="1" si="107"/>
        <v>477.88388328624671</v>
      </c>
    </row>
    <row r="119" spans="2:21" s="32" customFormat="1" x14ac:dyDescent="0.35">
      <c r="B119" s="32" t="s">
        <v>102</v>
      </c>
      <c r="C119" s="32">
        <f>C118/C104</f>
        <v>6.2122156013001077E-2</v>
      </c>
      <c r="D119" s="32">
        <f t="shared" ref="D119:K119" si="108">D118/D104</f>
        <v>5.3348784624081401E-2</v>
      </c>
      <c r="E119" s="32">
        <f t="shared" si="108"/>
        <v>8.7276657060518736E-2</v>
      </c>
      <c r="F119" s="32">
        <f t="shared" si="108"/>
        <v>6.9160107052896741E-2</v>
      </c>
      <c r="G119" s="32">
        <f t="shared" si="108"/>
        <v>6.5064608269858548E-2</v>
      </c>
      <c r="H119" s="32">
        <f t="shared" si="108"/>
        <v>6.3395544852498487E-2</v>
      </c>
      <c r="I119" s="32">
        <f t="shared" si="108"/>
        <v>5.8237997674289825E-2</v>
      </c>
      <c r="J119" s="32">
        <f t="shared" si="108"/>
        <v>6.0576955424726665E-2</v>
      </c>
      <c r="K119" s="32">
        <f t="shared" si="108"/>
        <v>4.9935847208619003E-2</v>
      </c>
      <c r="L119" s="32">
        <v>7.0000000000000007E-2</v>
      </c>
      <c r="M119" s="32">
        <v>7.0000000000000007E-2</v>
      </c>
      <c r="N119" s="32">
        <v>7.0000000000000007E-2</v>
      </c>
      <c r="O119" s="32">
        <v>7.0000000000000007E-2</v>
      </c>
      <c r="P119" s="32">
        <v>7.0000000000000007E-2</v>
      </c>
      <c r="Q119" s="32">
        <v>7.0000000000000007E-2</v>
      </c>
      <c r="R119" s="32">
        <v>7.0000000000000007E-2</v>
      </c>
      <c r="S119" s="32">
        <v>7.0000000000000007E-2</v>
      </c>
      <c r="T119" s="32">
        <v>7.0000000000000007E-2</v>
      </c>
      <c r="U119" s="32">
        <v>7.0000000000000007E-2</v>
      </c>
    </row>
    <row r="120" spans="2:21" x14ac:dyDescent="0.35">
      <c r="B120" s="17"/>
    </row>
    <row r="121" spans="2:21" x14ac:dyDescent="0.35">
      <c r="B121" s="56" t="s">
        <v>108</v>
      </c>
      <c r="C121" s="56">
        <f>C96</f>
        <v>117.062</v>
      </c>
      <c r="D121" s="56">
        <f t="shared" ref="D121:K121" si="109">D96</f>
        <v>227.65299999999999</v>
      </c>
      <c r="E121" s="56">
        <f t="shared" si="109"/>
        <v>148.38</v>
      </c>
      <c r="F121" s="56">
        <f t="shared" si="109"/>
        <v>199.21899999999999</v>
      </c>
      <c r="G121" s="56">
        <f t="shared" si="109"/>
        <v>144.62</v>
      </c>
      <c r="H121" s="56">
        <f t="shared" si="109"/>
        <v>145.02600000000001</v>
      </c>
      <c r="I121" s="56">
        <f t="shared" si="109"/>
        <v>114.312</v>
      </c>
      <c r="J121" s="56">
        <f t="shared" si="109"/>
        <v>95.578000000000003</v>
      </c>
      <c r="K121" s="56">
        <f t="shared" si="109"/>
        <v>120.959</v>
      </c>
      <c r="L121" s="56">
        <f ca="1">L104*L122</f>
        <v>124.15470000000001</v>
      </c>
      <c r="M121" s="56">
        <f t="shared" ref="M121:U121" ca="1" si="110">M104*M122</f>
        <v>141.98270511454226</v>
      </c>
      <c r="N121" s="56">
        <f t="shared" ca="1" si="110"/>
        <v>176.52780155260621</v>
      </c>
      <c r="O121" s="56">
        <f t="shared" ca="1" si="110"/>
        <v>192.54115667694157</v>
      </c>
      <c r="P121" s="56">
        <f t="shared" ca="1" si="110"/>
        <v>210.55633203152058</v>
      </c>
      <c r="Q121" s="56">
        <f t="shared" ca="1" si="110"/>
        <v>230.75423970746644</v>
      </c>
      <c r="R121" s="56">
        <f t="shared" ca="1" si="110"/>
        <v>253.42696796193565</v>
      </c>
      <c r="S121" s="56">
        <f t="shared" ca="1" si="110"/>
        <v>279.01807263272519</v>
      </c>
      <c r="T121" s="56">
        <f t="shared" ca="1" si="110"/>
        <v>308.18437380678517</v>
      </c>
      <c r="U121" s="56">
        <f t="shared" ca="1" si="110"/>
        <v>341.34563091874764</v>
      </c>
    </row>
    <row r="122" spans="2:21" s="17" customFormat="1" x14ac:dyDescent="0.35">
      <c r="B122" s="32" t="s">
        <v>102</v>
      </c>
      <c r="C122" s="32">
        <f>C121/C104</f>
        <v>0.15853466955579629</v>
      </c>
      <c r="D122" s="32">
        <f t="shared" ref="D122:K122" si="111">D121/D104</f>
        <v>0.25738044092707746</v>
      </c>
      <c r="E122" s="32">
        <f t="shared" si="111"/>
        <v>0.13362752161383284</v>
      </c>
      <c r="F122" s="32">
        <f t="shared" si="111"/>
        <v>0.15681596347607055</v>
      </c>
      <c r="G122" s="32">
        <f t="shared" si="111"/>
        <v>9.8354189336235034E-2</v>
      </c>
      <c r="H122" s="32">
        <f t="shared" si="111"/>
        <v>8.7312462372065025E-2</v>
      </c>
      <c r="I122" s="32">
        <f t="shared" si="111"/>
        <v>6.3299186001439717E-2</v>
      </c>
      <c r="J122" s="32">
        <f t="shared" si="111"/>
        <v>5.3590131763386603E-2</v>
      </c>
      <c r="K122" s="32">
        <f t="shared" si="111"/>
        <v>5.9235553379040164E-2</v>
      </c>
      <c r="L122" s="32">
        <v>0.05</v>
      </c>
      <c r="M122" s="32">
        <v>0.05</v>
      </c>
      <c r="N122" s="32">
        <v>0.05</v>
      </c>
      <c r="O122" s="32">
        <v>0.05</v>
      </c>
      <c r="P122" s="32">
        <v>0.05</v>
      </c>
      <c r="Q122" s="32">
        <v>0.05</v>
      </c>
      <c r="R122" s="32">
        <v>0.05</v>
      </c>
      <c r="S122" s="32">
        <v>0.05</v>
      </c>
      <c r="T122" s="32">
        <v>0.05</v>
      </c>
      <c r="U122" s="32">
        <v>0.05</v>
      </c>
    </row>
    <row r="124" spans="2:21" x14ac:dyDescent="0.35">
      <c r="B124" s="56" t="s">
        <v>109</v>
      </c>
      <c r="C124" s="56">
        <f>C99</f>
        <v>-70.421999999999997</v>
      </c>
      <c r="D124" s="56">
        <f t="shared" ref="D124:K124" si="112">D99</f>
        <v>-219.499</v>
      </c>
      <c r="E124" s="56">
        <f t="shared" si="112"/>
        <v>-227.83699999999999</v>
      </c>
      <c r="F124" s="56">
        <f t="shared" si="112"/>
        <v>-8.7569999999999997</v>
      </c>
      <c r="G124" s="56">
        <f t="shared" si="112"/>
        <v>20.207999999999998</v>
      </c>
      <c r="H124" s="56">
        <f t="shared" si="112"/>
        <v>48.262</v>
      </c>
      <c r="I124" s="56">
        <f t="shared" si="112"/>
        <v>85.364999999999995</v>
      </c>
      <c r="J124" s="56">
        <f t="shared" si="112"/>
        <v>304.536</v>
      </c>
      <c r="K124" s="56">
        <f t="shared" si="112"/>
        <v>175.90199999999999</v>
      </c>
      <c r="L124" s="56">
        <f ca="1">L104*L125</f>
        <v>172.30842752935339</v>
      </c>
      <c r="M124" s="56">
        <f t="shared" ref="M124:U124" ca="1" si="113">M104*M125</f>
        <v>228.65609932561821</v>
      </c>
      <c r="N124" s="56">
        <f t="shared" ca="1" si="113"/>
        <v>320.63035460071524</v>
      </c>
      <c r="O124" s="56">
        <f t="shared" ca="1" si="113"/>
        <v>383.2530829003494</v>
      </c>
      <c r="P124" s="56">
        <f t="shared" ca="1" si="113"/>
        <v>359.12316872768076</v>
      </c>
      <c r="Q124" s="56">
        <f t="shared" ca="1" si="113"/>
        <v>392.77652395424468</v>
      </c>
      <c r="R124" s="56">
        <f t="shared" ca="1" si="113"/>
        <v>447.29862013595499</v>
      </c>
      <c r="S124" s="56">
        <f t="shared" ca="1" si="113"/>
        <v>501.09135508102895</v>
      </c>
      <c r="T124" s="56">
        <f t="shared" ca="1" si="113"/>
        <v>552.21361824597091</v>
      </c>
      <c r="U124" s="56">
        <f t="shared" ca="1" si="113"/>
        <v>598.06983021043027</v>
      </c>
    </row>
    <row r="125" spans="2:21" s="17" customFormat="1" x14ac:dyDescent="0.35">
      <c r="B125" s="17" t="s">
        <v>102</v>
      </c>
      <c r="C125" s="32">
        <f>C124/C104</f>
        <v>-9.5371072589382433E-2</v>
      </c>
      <c r="D125" s="32">
        <f t="shared" ref="D125:K125" si="114">D124/D104</f>
        <v>-0.24816167326172978</v>
      </c>
      <c r="E125" s="32">
        <f t="shared" si="114"/>
        <v>-0.20518461815561956</v>
      </c>
      <c r="F125" s="32">
        <f t="shared" si="114"/>
        <v>-6.8931045340050387E-3</v>
      </c>
      <c r="G125" s="32">
        <f t="shared" si="114"/>
        <v>1.3743199129488572E-2</v>
      </c>
      <c r="H125" s="32">
        <f t="shared" si="114"/>
        <v>2.9055990367248645E-2</v>
      </c>
      <c r="I125" s="32">
        <f t="shared" si="114"/>
        <v>4.7270059250235336E-2</v>
      </c>
      <c r="J125" s="32">
        <f t="shared" si="114"/>
        <v>0.17075189234650967</v>
      </c>
      <c r="K125" s="32">
        <f t="shared" si="114"/>
        <v>8.6142017629774734E-2</v>
      </c>
      <c r="L125" s="32">
        <f>AVERAGE(G125:K125)</f>
        <v>6.9392631744651392E-2</v>
      </c>
      <c r="M125" s="32">
        <f t="shared" ref="M125:U125" si="115">AVERAGE(H125:L125)</f>
        <v>8.0522518267683946E-2</v>
      </c>
      <c r="N125" s="32">
        <f t="shared" si="115"/>
        <v>9.081582384777101E-2</v>
      </c>
      <c r="O125" s="32">
        <f t="shared" si="115"/>
        <v>9.9524976767278145E-2</v>
      </c>
      <c r="P125" s="32">
        <f t="shared" si="115"/>
        <v>8.5279593651431854E-2</v>
      </c>
      <c r="Q125" s="32">
        <f t="shared" si="115"/>
        <v>8.5107108855763267E-2</v>
      </c>
      <c r="R125" s="32">
        <f t="shared" si="115"/>
        <v>8.8250004277985641E-2</v>
      </c>
      <c r="S125" s="32">
        <f t="shared" si="115"/>
        <v>8.9795501480045975E-2</v>
      </c>
      <c r="T125" s="32">
        <f t="shared" si="115"/>
        <v>8.959143700650099E-2</v>
      </c>
      <c r="U125" s="32">
        <f t="shared" si="115"/>
        <v>8.7604729054345534E-2</v>
      </c>
    </row>
    <row r="127" spans="2:21" x14ac:dyDescent="0.35">
      <c r="B127" t="s">
        <v>113</v>
      </c>
      <c r="L127" s="56">
        <f ca="1">L116+L118-L121-L124</f>
        <v>66.200525532860155</v>
      </c>
      <c r="M127" s="56">
        <f t="shared" ref="M127:U127" ca="1" si="116">M116+M118-M121-M124</f>
        <v>65.767676512032864</v>
      </c>
      <c r="N127" s="56">
        <f t="shared" ca="1" si="116"/>
        <v>72.165047335585655</v>
      </c>
      <c r="O127" s="56">
        <f t="shared" ca="1" si="116"/>
        <v>74.117256125687561</v>
      </c>
      <c r="P127" s="56">
        <f t="shared" ca="1" si="116"/>
        <v>172.45316573605623</v>
      </c>
      <c r="Q127" s="56">
        <f t="shared" ca="1" si="116"/>
        <v>223.95486060540031</v>
      </c>
      <c r="R127" s="56">
        <f t="shared" ca="1" si="116"/>
        <v>267.26099190191638</v>
      </c>
      <c r="S127" s="56">
        <f t="shared" ca="1" si="116"/>
        <v>326.29836584961424</v>
      </c>
      <c r="T127" s="56">
        <f t="shared" ca="1" si="116"/>
        <v>406.23978429313092</v>
      </c>
      <c r="U127" s="56">
        <f t="shared" ca="1" si="116"/>
        <v>460.10162563768733</v>
      </c>
    </row>
    <row r="128" spans="2:21" x14ac:dyDescent="0.35">
      <c r="B128" t="s">
        <v>137</v>
      </c>
      <c r="L128" s="56">
        <f t="shared" ref="L128:U128" ca="1" si="117">L127/(1+wacc)^L102</f>
        <v>62.669499312152261</v>
      </c>
      <c r="M128" s="56">
        <f t="shared" ca="1" si="117"/>
        <v>58.938906603411517</v>
      </c>
      <c r="N128" s="56">
        <f t="shared" ca="1" si="117"/>
        <v>61.222528842553935</v>
      </c>
      <c r="O128" s="56">
        <f t="shared" ca="1" si="117"/>
        <v>59.524873975609026</v>
      </c>
      <c r="P128" s="56">
        <f t="shared" ca="1" si="117"/>
        <v>131.11280557362591</v>
      </c>
      <c r="Q128" s="56">
        <f t="shared" ca="1" si="117"/>
        <v>161.1867059094707</v>
      </c>
      <c r="R128" s="56">
        <f t="shared" ca="1" si="117"/>
        <v>182.09544868158446</v>
      </c>
      <c r="S128" s="56">
        <f t="shared" ca="1" si="117"/>
        <v>210.46176193569488</v>
      </c>
      <c r="T128" s="56">
        <f t="shared" ca="1" si="117"/>
        <v>248.04789389727824</v>
      </c>
      <c r="U128" s="56">
        <f t="shared" ca="1" si="117"/>
        <v>265.95101160926839</v>
      </c>
    </row>
    <row r="129" spans="1:21" x14ac:dyDescent="0.35">
      <c r="L129" s="56"/>
      <c r="M129" s="56"/>
      <c r="N129" s="56"/>
      <c r="O129" s="56"/>
      <c r="P129" s="56"/>
      <c r="Q129" s="56"/>
      <c r="R129" s="56"/>
      <c r="S129" s="56"/>
      <c r="T129" s="56"/>
      <c r="U129" s="56"/>
    </row>
    <row r="130" spans="1:21" x14ac:dyDescent="0.35">
      <c r="B130" t="s">
        <v>138</v>
      </c>
      <c r="L130" s="56"/>
      <c r="M130" s="56"/>
      <c r="N130" s="56"/>
      <c r="O130" s="56"/>
      <c r="P130" s="56"/>
      <c r="Q130" s="56"/>
      <c r="R130" s="56"/>
      <c r="S130" s="56"/>
      <c r="T130" s="56"/>
      <c r="U130" s="5">
        <f ca="1">(U127*(1+tgr)/(wacc-tgr))</f>
        <v>15046.258935304135</v>
      </c>
    </row>
    <row r="131" spans="1:21" s="5" customFormat="1" x14ac:dyDescent="0.35">
      <c r="B131" s="5" t="s">
        <v>139</v>
      </c>
      <c r="U131" s="5">
        <f ca="1">U130/(1+wacc)^U102</f>
        <v>8697.1389836605631</v>
      </c>
    </row>
    <row r="133" spans="1:21" x14ac:dyDescent="0.35">
      <c r="B133" s="1" t="s">
        <v>114</v>
      </c>
      <c r="C133" s="1"/>
      <c r="D133" s="1"/>
      <c r="E133" s="1"/>
      <c r="F133" s="1"/>
      <c r="G133" s="1"/>
      <c r="H133" s="1"/>
      <c r="I133" s="1"/>
      <c r="J133" s="1"/>
      <c r="K133" s="1"/>
      <c r="L133" s="1"/>
      <c r="M133" s="1"/>
      <c r="N133" s="1"/>
      <c r="O133" s="1"/>
      <c r="P133" s="1"/>
      <c r="Q133" s="1"/>
      <c r="R133" s="1"/>
      <c r="S133" s="1"/>
      <c r="T133" s="1"/>
      <c r="U133" s="76">
        <f ca="1">SUM(L128:U128,U131)</f>
        <v>10138.350420001212</v>
      </c>
    </row>
    <row r="134" spans="1:21" x14ac:dyDescent="0.35">
      <c r="B134" t="s">
        <v>115</v>
      </c>
      <c r="U134" s="5">
        <f>785.414+340.431+548.002</f>
        <v>1673.847</v>
      </c>
    </row>
    <row r="135" spans="1:21" s="5" customFormat="1" x14ac:dyDescent="0.35">
      <c r="B135" s="79" t="s">
        <v>116</v>
      </c>
      <c r="C135" s="79"/>
      <c r="D135" s="79"/>
      <c r="E135" s="79"/>
      <c r="F135" s="79"/>
      <c r="G135" s="79"/>
      <c r="H135" s="79"/>
      <c r="I135" s="79"/>
      <c r="J135" s="79"/>
      <c r="K135" s="79"/>
      <c r="L135" s="79"/>
      <c r="M135" s="79"/>
      <c r="N135" s="79"/>
      <c r="O135" s="79"/>
      <c r="P135" s="79"/>
      <c r="Q135" s="79"/>
      <c r="R135" s="79"/>
      <c r="S135" s="79"/>
      <c r="T135" s="79"/>
      <c r="U135" s="79">
        <f>493.398+592.586</f>
        <v>1085.9839999999999</v>
      </c>
    </row>
    <row r="136" spans="1:21" x14ac:dyDescent="0.35">
      <c r="B136" t="s">
        <v>117</v>
      </c>
      <c r="U136" s="5">
        <f ca="1">U133-U135+U134</f>
        <v>10726.213420001211</v>
      </c>
    </row>
    <row r="137" spans="1:21" x14ac:dyDescent="0.35">
      <c r="B137" s="1" t="s">
        <v>118</v>
      </c>
      <c r="C137" s="1"/>
      <c r="D137" s="1"/>
      <c r="E137" s="1"/>
      <c r="F137" s="1"/>
      <c r="G137" s="1"/>
      <c r="H137" s="1"/>
      <c r="I137" s="1"/>
      <c r="J137" s="1"/>
      <c r="K137" s="1"/>
      <c r="L137" s="1"/>
      <c r="M137" s="1"/>
      <c r="N137" s="1"/>
      <c r="O137" s="1"/>
      <c r="P137" s="1"/>
      <c r="Q137" s="1"/>
      <c r="R137" s="1"/>
      <c r="S137" s="1"/>
      <c r="T137" s="1"/>
      <c r="U137" s="1">
        <v>188.36817099999999</v>
      </c>
    </row>
    <row r="138" spans="1:21" x14ac:dyDescent="0.35">
      <c r="B138" t="s">
        <v>119</v>
      </c>
      <c r="U138" s="59">
        <f ca="1">U136/U137</f>
        <v>56.942812382040977</v>
      </c>
    </row>
    <row r="140" spans="1:21" s="3" customFormat="1" x14ac:dyDescent="0.35">
      <c r="A140" t="s">
        <v>3</v>
      </c>
      <c r="B140" s="39" t="s">
        <v>142</v>
      </c>
      <c r="C140" s="39"/>
      <c r="D140" s="39"/>
      <c r="E140" s="39"/>
      <c r="F140" s="39"/>
      <c r="G140" s="39"/>
      <c r="H140" s="39"/>
      <c r="I140" s="39"/>
      <c r="J140" s="39"/>
      <c r="K140" s="39"/>
      <c r="L140" s="39"/>
      <c r="M140" s="39"/>
      <c r="N140" s="39"/>
      <c r="O140" s="39"/>
      <c r="P140" s="39"/>
      <c r="Q140" s="39"/>
      <c r="R140" s="39"/>
      <c r="S140" s="39"/>
      <c r="T140" s="39"/>
      <c r="U140" s="39"/>
    </row>
    <row r="142" spans="1:21" x14ac:dyDescent="0.35">
      <c r="C142" s="80" t="s">
        <v>123</v>
      </c>
      <c r="D142" s="60"/>
      <c r="E142" s="83" t="s">
        <v>143</v>
      </c>
      <c r="F142" s="84"/>
      <c r="G142" s="84"/>
      <c r="H142" s="84"/>
      <c r="I142" s="84"/>
      <c r="J142" s="84"/>
      <c r="K142" s="84"/>
      <c r="L142" s="84"/>
      <c r="M142" s="84"/>
      <c r="N142" s="84"/>
      <c r="O142" s="85"/>
    </row>
    <row r="143" spans="1:21" x14ac:dyDescent="0.35">
      <c r="C143" s="81"/>
      <c r="D143" s="61">
        <f ca="1">U138</f>
        <v>56.942812382040977</v>
      </c>
      <c r="E143" s="64">
        <v>0.02</v>
      </c>
      <c r="F143" s="65">
        <f t="shared" ref="F143:O143" si="118">E143+0.25%</f>
        <v>2.2499999999999999E-2</v>
      </c>
      <c r="G143" s="65">
        <f t="shared" si="118"/>
        <v>2.4999999999999998E-2</v>
      </c>
      <c r="H143" s="65">
        <f t="shared" si="118"/>
        <v>2.7499999999999997E-2</v>
      </c>
      <c r="I143" s="65">
        <f t="shared" si="118"/>
        <v>2.9999999999999995E-2</v>
      </c>
      <c r="J143" s="65">
        <f t="shared" si="118"/>
        <v>3.2499999999999994E-2</v>
      </c>
      <c r="K143" s="65">
        <f t="shared" si="118"/>
        <v>3.4999999999999996E-2</v>
      </c>
      <c r="L143" s="65">
        <f t="shared" si="118"/>
        <v>3.7499999999999999E-2</v>
      </c>
      <c r="M143" s="65">
        <f t="shared" si="118"/>
        <v>0.04</v>
      </c>
      <c r="N143" s="65">
        <f t="shared" si="118"/>
        <v>4.2500000000000003E-2</v>
      </c>
      <c r="O143" s="66">
        <f t="shared" si="118"/>
        <v>4.5000000000000005E-2</v>
      </c>
    </row>
    <row r="144" spans="1:21" x14ac:dyDescent="0.35">
      <c r="C144" s="81"/>
      <c r="D144" s="62">
        <v>0.04</v>
      </c>
      <c r="E144" s="67">
        <f t="dataTable" ref="E144:O154" dt2D="1" dtr="1" r1="E24" r2="E23" ca="1"/>
        <v>95.815419016384368</v>
      </c>
      <c r="F144" s="68">
        <v>108.07337781950842</v>
      </c>
      <c r="G144" s="68">
        <v>124.41732289034046</v>
      </c>
      <c r="H144" s="68">
        <v>147.29884598950539</v>
      </c>
      <c r="I144" s="68">
        <v>181.62113063825268</v>
      </c>
      <c r="J144" s="68">
        <v>238.82493838616489</v>
      </c>
      <c r="K144" s="68">
        <v>353.2325538819893</v>
      </c>
      <c r="L144" s="68">
        <v>696.45540036946261</v>
      </c>
      <c r="M144" s="68" t="e">
        <v>#DIV/0!</v>
      </c>
      <c r="N144" s="68">
        <v>-676.43598558043061</v>
      </c>
      <c r="O144" s="69">
        <v>-333.21313909295731</v>
      </c>
    </row>
    <row r="145" spans="3:15" x14ac:dyDescent="0.35">
      <c r="C145" s="81"/>
      <c r="D145" s="62">
        <f>D144+1%</f>
        <v>0.05</v>
      </c>
      <c r="E145" s="70">
        <v>62.085656581375382</v>
      </c>
      <c r="F145" s="71">
        <v>66.856867496259653</v>
      </c>
      <c r="G145" s="71">
        <v>72.582320594120773</v>
      </c>
      <c r="H145" s="71">
        <v>79.580096602617729</v>
      </c>
      <c r="I145" s="71">
        <v>88.327316613238906</v>
      </c>
      <c r="J145" s="71">
        <v>99.573742341180406</v>
      </c>
      <c r="K145" s="71">
        <v>114.56897664510244</v>
      </c>
      <c r="L145" s="71">
        <v>135.56230467059328</v>
      </c>
      <c r="M145" s="71">
        <v>167.05229670882957</v>
      </c>
      <c r="N145" s="71">
        <v>219.53561677255672</v>
      </c>
      <c r="O145" s="72">
        <v>324.50225690001105</v>
      </c>
    </row>
    <row r="146" spans="3:15" x14ac:dyDescent="0.35">
      <c r="C146" s="81"/>
      <c r="D146" s="62">
        <f t="shared" ref="D146:D154" si="119">D145+1%</f>
        <v>6.0000000000000005E-2</v>
      </c>
      <c r="E146" s="70">
        <v>45.369400368649032</v>
      </c>
      <c r="F146" s="71">
        <v>47.778985135870791</v>
      </c>
      <c r="G146" s="71">
        <v>50.532796298409934</v>
      </c>
      <c r="H146" s="71">
        <v>53.710270716724345</v>
      </c>
      <c r="I146" s="71">
        <v>57.417324204757811</v>
      </c>
      <c r="J146" s="71">
        <v>61.798387417888264</v>
      </c>
      <c r="K146" s="71">
        <v>67.055663273644839</v>
      </c>
      <c r="L146" s="71">
        <v>73.481222652902872</v>
      </c>
      <c r="M146" s="71">
        <v>81.513171876975392</v>
      </c>
      <c r="N146" s="71">
        <v>91.839963736497211</v>
      </c>
      <c r="O146" s="72">
        <v>105.60901954919296</v>
      </c>
    </row>
    <row r="147" spans="3:15" x14ac:dyDescent="0.35">
      <c r="C147" s="81"/>
      <c r="D147" s="62">
        <f t="shared" si="119"/>
        <v>7.0000000000000007E-2</v>
      </c>
      <c r="E147" s="70">
        <v>35.448795157115775</v>
      </c>
      <c r="F147" s="71">
        <v>36.847315030938375</v>
      </c>
      <c r="G147" s="71">
        <v>38.401226001852365</v>
      </c>
      <c r="H147" s="71">
        <v>40.137950028168021</v>
      </c>
      <c r="I147" s="71">
        <v>42.091764557773118</v>
      </c>
      <c r="J147" s="71">
        <v>44.306087691325551</v>
      </c>
      <c r="K147" s="71">
        <v>46.83674270109978</v>
      </c>
      <c r="L147" s="71">
        <v>49.756729250839278</v>
      </c>
      <c r="M147" s="71">
        <v>53.163380225535342</v>
      </c>
      <c r="N147" s="71">
        <v>57.189422286539795</v>
      </c>
      <c r="O147" s="72">
        <v>62.020672759745139</v>
      </c>
    </row>
    <row r="148" spans="3:15" x14ac:dyDescent="0.35">
      <c r="C148" s="81"/>
      <c r="D148" s="62">
        <f t="shared" si="119"/>
        <v>0.08</v>
      </c>
      <c r="E148" s="70">
        <v>28.918643966704934</v>
      </c>
      <c r="F148" s="71">
        <v>29.804072189756933</v>
      </c>
      <c r="G148" s="71">
        <v>30.769993887631841</v>
      </c>
      <c r="H148" s="71">
        <v>31.827908128161514</v>
      </c>
      <c r="I148" s="71">
        <v>32.99161379274414</v>
      </c>
      <c r="J148" s="71">
        <v>34.277814790440729</v>
      </c>
      <c r="K148" s="71">
        <v>35.706927010103605</v>
      </c>
      <c r="L148" s="71">
        <v>37.304170079138601</v>
      </c>
      <c r="M148" s="71">
        <v>39.101068531802959</v>
      </c>
      <c r="N148" s="71">
        <v>41.137553444822565</v>
      </c>
      <c r="O148" s="72">
        <v>43.46496477398783</v>
      </c>
    </row>
    <row r="149" spans="3:15" x14ac:dyDescent="0.35">
      <c r="C149" s="81"/>
      <c r="D149" s="62">
        <f t="shared" si="119"/>
        <v>0.09</v>
      </c>
      <c r="E149" s="70">
        <v>24.320157048627824</v>
      </c>
      <c r="F149" s="71">
        <v>24.915196774798503</v>
      </c>
      <c r="G149" s="71">
        <v>25.556008787597687</v>
      </c>
      <c r="H149" s="71">
        <v>26.248085761420825</v>
      </c>
      <c r="I149" s="71">
        <v>26.997835816395877</v>
      </c>
      <c r="J149" s="71">
        <v>27.812781528325278</v>
      </c>
      <c r="K149" s="71">
        <v>28.701813214066451</v>
      </c>
      <c r="L149" s="71">
        <v>29.675514584163931</v>
      </c>
      <c r="M149" s="71">
        <v>30.746586091271144</v>
      </c>
      <c r="N149" s="71">
        <v>31.930401967547546</v>
      </c>
      <c r="O149" s="72">
        <v>33.245752941187995</v>
      </c>
    </row>
    <row r="150" spans="3:15" x14ac:dyDescent="0.35">
      <c r="C150" s="81"/>
      <c r="D150" s="62">
        <f t="shared" si="119"/>
        <v>9.9999999999999992E-2</v>
      </c>
      <c r="E150" s="70">
        <v>20.924395667522926</v>
      </c>
      <c r="F150" s="71">
        <v>21.342091747557276</v>
      </c>
      <c r="G150" s="71">
        <v>21.787634232927246</v>
      </c>
      <c r="H150" s="71">
        <v>22.263903786253771</v>
      </c>
      <c r="I150" s="71">
        <v>22.77419259338933</v>
      </c>
      <c r="J150" s="71">
        <v>23.322280571423818</v>
      </c>
      <c r="K150" s="71">
        <v>23.91252916315327</v>
      </c>
      <c r="L150" s="71">
        <v>24.549997642221086</v>
      </c>
      <c r="M150" s="71">
        <v>25.240588494544543</v>
      </c>
      <c r="N150" s="71">
        <v>25.991230725330912</v>
      </c>
      <c r="O150" s="72">
        <v>26.810113158916046</v>
      </c>
    </row>
    <row r="151" spans="3:15" x14ac:dyDescent="0.35">
      <c r="C151" s="81"/>
      <c r="D151" s="62">
        <f t="shared" si="119"/>
        <v>0.10999999999999999</v>
      </c>
      <c r="E151" s="70">
        <v>18.32675846749428</v>
      </c>
      <c r="F151" s="71">
        <v>18.629888442660196</v>
      </c>
      <c r="G151" s="71">
        <v>18.950849592835869</v>
      </c>
      <c r="H151" s="71">
        <v>19.291262933931286</v>
      </c>
      <c r="I151" s="71">
        <v>19.65295210884516</v>
      </c>
      <c r="J151" s="71">
        <v>20.037976069237352</v>
      </c>
      <c r="K151" s="71">
        <v>20.448668293655693</v>
      </c>
      <c r="L151" s="71">
        <v>20.887684119758053</v>
      </c>
      <c r="M151" s="71">
        <v>21.358058219153438</v>
      </c>
      <c r="N151" s="71">
        <v>21.863274844429966</v>
      </c>
      <c r="O151" s="72">
        <v>22.407354287035449</v>
      </c>
    </row>
    <row r="152" spans="3:15" x14ac:dyDescent="0.35">
      <c r="C152" s="81"/>
      <c r="D152" s="62">
        <f t="shared" si="119"/>
        <v>0.11999999999999998</v>
      </c>
      <c r="E152" s="70">
        <v>16.28478006241588</v>
      </c>
      <c r="F152" s="71">
        <v>16.510629719628241</v>
      </c>
      <c r="G152" s="71">
        <v>16.74836620090441</v>
      </c>
      <c r="H152" s="71">
        <v>16.99895330279011</v>
      </c>
      <c r="I152" s="71">
        <v>17.263461910336119</v>
      </c>
      <c r="J152" s="71">
        <v>17.543085295456184</v>
      </c>
      <c r="K152" s="71">
        <v>17.839157114995079</v>
      </c>
      <c r="L152" s="71">
        <v>18.153172681172698</v>
      </c>
      <c r="M152" s="71">
        <v>18.486814220236418</v>
      </c>
      <c r="N152" s="71">
        <v>18.841981019884894</v>
      </c>
      <c r="O152" s="72">
        <v>19.220825606176593</v>
      </c>
    </row>
    <row r="153" spans="3:15" x14ac:dyDescent="0.35">
      <c r="C153" s="81"/>
      <c r="D153" s="62">
        <f t="shared" si="119"/>
        <v>0.12999999999999998</v>
      </c>
      <c r="E153" s="70">
        <v>14.644406362136834</v>
      </c>
      <c r="F153" s="71">
        <v>14.816307643797138</v>
      </c>
      <c r="G153" s="71">
        <v>14.996394700774596</v>
      </c>
      <c r="H153" s="71">
        <v>15.185266492238759</v>
      </c>
      <c r="I153" s="71">
        <v>15.383581873276132</v>
      </c>
      <c r="J153" s="71">
        <v>15.592067273853882</v>
      </c>
      <c r="K153" s="71">
        <v>15.811525590251511</v>
      </c>
      <c r="L153" s="71">
        <v>16.042846518346316</v>
      </c>
      <c r="M153" s="71">
        <v>16.287018609113051</v>
      </c>
      <c r="N153" s="71">
        <v>16.545143390780741</v>
      </c>
      <c r="O153" s="72">
        <v>16.818451983134764</v>
      </c>
    </row>
    <row r="154" spans="3:15" x14ac:dyDescent="0.35">
      <c r="C154" s="82"/>
      <c r="D154" s="63">
        <f t="shared" si="119"/>
        <v>0.13999999999999999</v>
      </c>
      <c r="E154" s="73">
        <v>13.303134856001815</v>
      </c>
      <c r="F154" s="74">
        <v>13.436310093754107</v>
      </c>
      <c r="G154" s="74">
        <v>13.575275559234758</v>
      </c>
      <c r="H154" s="74">
        <v>13.720417267625665</v>
      </c>
      <c r="I154" s="74">
        <v>13.872156326397974</v>
      </c>
      <c r="J154" s="74">
        <v>14.030953015810857</v>
      </c>
      <c r="K154" s="74">
        <v>14.197311452338635</v>
      </c>
      <c r="L154" s="74">
        <v>14.3717849345507</v>
      </c>
      <c r="M154" s="74">
        <v>14.554982090873366</v>
      </c>
      <c r="N154" s="74">
        <v>14.747573973161296</v>
      </c>
      <c r="O154" s="75">
        <v>14.950302270306485</v>
      </c>
    </row>
  </sheetData>
  <mergeCells count="2">
    <mergeCell ref="C142:C154"/>
    <mergeCell ref="E142:O1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2DD9A-E39A-4B34-851E-54B31631800C}">
  <dimension ref="A1:C23"/>
  <sheetViews>
    <sheetView showGridLines="0" topLeftCell="A2" workbookViewId="0">
      <selection activeCell="F14" sqref="F14"/>
    </sheetView>
  </sheetViews>
  <sheetFormatPr defaultRowHeight="14.5" x14ac:dyDescent="0.35"/>
  <cols>
    <col min="1" max="1" width="5.08984375" bestFit="1" customWidth="1"/>
    <col min="2" max="2" width="23.08984375" customWidth="1"/>
    <col min="3" max="3" width="11.26953125" bestFit="1" customWidth="1"/>
  </cols>
  <sheetData>
    <row r="1" spans="1:3" x14ac:dyDescent="0.35">
      <c r="A1" s="6" t="s">
        <v>23</v>
      </c>
    </row>
    <row r="2" spans="1:3" s="1" customFormat="1" x14ac:dyDescent="0.35">
      <c r="B2" s="39" t="s">
        <v>123</v>
      </c>
    </row>
    <row r="4" spans="1:3" x14ac:dyDescent="0.35">
      <c r="A4" t="s">
        <v>3</v>
      </c>
      <c r="B4" t="s">
        <v>129</v>
      </c>
      <c r="C4" s="5">
        <v>16201528.881999999</v>
      </c>
    </row>
    <row r="5" spans="1:3" x14ac:dyDescent="0.35">
      <c r="B5" t="s">
        <v>131</v>
      </c>
      <c r="C5" s="57">
        <f>C4/C16</f>
        <v>0.99993297476925913</v>
      </c>
    </row>
    <row r="6" spans="1:3" x14ac:dyDescent="0.35">
      <c r="B6" t="s">
        <v>125</v>
      </c>
      <c r="C6" s="57">
        <f>C7+C8*C9</f>
        <v>5.6344999999999999E-2</v>
      </c>
    </row>
    <row r="7" spans="1:3" x14ac:dyDescent="0.35">
      <c r="B7" t="s">
        <v>126</v>
      </c>
      <c r="C7" s="57">
        <v>4.2549999999999998E-2</v>
      </c>
    </row>
    <row r="8" spans="1:3" x14ac:dyDescent="0.35">
      <c r="B8" t="s">
        <v>127</v>
      </c>
      <c r="C8">
        <v>0.31</v>
      </c>
    </row>
    <row r="9" spans="1:3" x14ac:dyDescent="0.35">
      <c r="B9" t="s">
        <v>130</v>
      </c>
      <c r="C9" s="57">
        <v>4.4499999999999998E-2</v>
      </c>
    </row>
    <row r="11" spans="1:3" x14ac:dyDescent="0.35">
      <c r="B11" t="s">
        <v>116</v>
      </c>
      <c r="C11" s="5">
        <f>Main!U135</f>
        <v>1085.9839999999999</v>
      </c>
    </row>
    <row r="12" spans="1:3" x14ac:dyDescent="0.35">
      <c r="B12" t="s">
        <v>132</v>
      </c>
      <c r="C12" s="57">
        <f>C11/C16</f>
        <v>6.7025230740925515E-5</v>
      </c>
    </row>
    <row r="13" spans="1:3" x14ac:dyDescent="0.35">
      <c r="B13" t="s">
        <v>128</v>
      </c>
      <c r="C13" s="57">
        <v>4.2000000000000003E-2</v>
      </c>
    </row>
    <row r="14" spans="1:3" x14ac:dyDescent="0.35">
      <c r="B14" t="s">
        <v>124</v>
      </c>
      <c r="C14" s="51">
        <v>0.15</v>
      </c>
    </row>
    <row r="16" spans="1:3" x14ac:dyDescent="0.35">
      <c r="B16" t="s">
        <v>12</v>
      </c>
      <c r="C16" s="5">
        <f>C4+C11</f>
        <v>16202614.865999999</v>
      </c>
    </row>
    <row r="18" spans="1:3" x14ac:dyDescent="0.35">
      <c r="A18" t="s">
        <v>3</v>
      </c>
      <c r="B18" t="s">
        <v>123</v>
      </c>
      <c r="C18" s="57">
        <f>C5*C6+C12*C13*(1-C14)</f>
        <v>5.6343616264111357E-2</v>
      </c>
    </row>
    <row r="20" spans="1:3" x14ac:dyDescent="0.35">
      <c r="B20" t="s">
        <v>133</v>
      </c>
    </row>
    <row r="21" spans="1:3" x14ac:dyDescent="0.35">
      <c r="B21" t="s">
        <v>134</v>
      </c>
    </row>
    <row r="23" spans="1:3" x14ac:dyDescent="0.35">
      <c r="B23" s="9"/>
    </row>
  </sheetData>
  <hyperlinks>
    <hyperlink ref="A1" location="Main!A1" display="Main" xr:uid="{77DE9BA4-4E14-46AD-AC0B-19650522A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22BB3-CD97-4DB5-950E-A0EC4AA8E147}">
  <dimension ref="A1:N22"/>
  <sheetViews>
    <sheetView showGridLines="0" zoomScale="68" zoomScaleNormal="100" workbookViewId="0">
      <pane xSplit="2" ySplit="2" topLeftCell="C3" activePane="bottomRight" state="frozen"/>
      <selection pane="topRight" activeCell="C1" sqref="C1"/>
      <selection pane="bottomLeft" activeCell="A3" sqref="A3"/>
      <selection pane="bottomRight" activeCell="M19" sqref="M19"/>
    </sheetView>
  </sheetViews>
  <sheetFormatPr defaultRowHeight="14.5" x14ac:dyDescent="0.35"/>
  <cols>
    <col min="1" max="1" width="5.08984375" bestFit="1" customWidth="1"/>
    <col min="2" max="2" width="10.7265625" bestFit="1" customWidth="1"/>
  </cols>
  <sheetData>
    <row r="1" spans="1:14" x14ac:dyDescent="0.35">
      <c r="A1" s="6" t="s">
        <v>23</v>
      </c>
    </row>
    <row r="2" spans="1:14" s="4" customFormat="1" x14ac:dyDescent="0.35">
      <c r="C2" s="4" t="s">
        <v>94</v>
      </c>
      <c r="D2" s="4" t="s">
        <v>58</v>
      </c>
      <c r="E2" s="4" t="s">
        <v>57</v>
      </c>
      <c r="F2" s="4" t="s">
        <v>56</v>
      </c>
      <c r="G2" s="4" t="s">
        <v>55</v>
      </c>
      <c r="H2" s="40" t="s">
        <v>52</v>
      </c>
      <c r="I2" s="4" t="s">
        <v>53</v>
      </c>
      <c r="J2" s="4" t="s">
        <v>54</v>
      </c>
      <c r="K2" s="4" t="s">
        <v>55</v>
      </c>
      <c r="L2" s="40">
        <v>2023</v>
      </c>
      <c r="N2" s="46" t="s">
        <v>96</v>
      </c>
    </row>
    <row r="3" spans="1:14" x14ac:dyDescent="0.35">
      <c r="B3" t="str">
        <f>Main!C9</f>
        <v>Vimizim</v>
      </c>
      <c r="C3">
        <v>132.30000000000001</v>
      </c>
      <c r="D3">
        <v>142.5</v>
      </c>
      <c r="E3">
        <v>156.30000000000001</v>
      </c>
      <c r="F3">
        <v>152.1</v>
      </c>
      <c r="G3" s="7">
        <f>K3</f>
        <v>182.73499999999999</v>
      </c>
      <c r="H3" s="12">
        <v>189.2</v>
      </c>
      <c r="I3">
        <v>177.4</v>
      </c>
      <c r="J3">
        <v>158.9</v>
      </c>
      <c r="K3" s="7">
        <f>J3*(1+K4)</f>
        <v>182.73499999999999</v>
      </c>
      <c r="L3" s="43">
        <f>H3+I3+J3+K3</f>
        <v>708.23500000000001</v>
      </c>
      <c r="N3" s="48">
        <f>L3+L5+L9+L13+L15</f>
        <v>1831.249</v>
      </c>
    </row>
    <row r="4" spans="1:14" s="32" customFormat="1" x14ac:dyDescent="0.35">
      <c r="B4" s="32" t="s">
        <v>17</v>
      </c>
      <c r="D4" s="32">
        <f>D3/C3-1</f>
        <v>7.7097505668934252E-2</v>
      </c>
      <c r="E4" s="32">
        <f>E3/D3-1</f>
        <v>9.6842105263158063E-2</v>
      </c>
      <c r="F4" s="32">
        <f>F3/E3-1</f>
        <v>-2.6871401151631558E-2</v>
      </c>
      <c r="G4" s="32">
        <f>G3/F3-1</f>
        <v>0.20141354372123588</v>
      </c>
      <c r="H4" s="41"/>
      <c r="I4" s="32">
        <f>I3/H3-1</f>
        <v>-6.2367864693446018E-2</v>
      </c>
      <c r="J4" s="32">
        <f t="shared" ref="J4" si="0">J3/I3-1</f>
        <v>-0.10428410372040586</v>
      </c>
      <c r="K4" s="32">
        <v>0.15</v>
      </c>
      <c r="L4" s="41"/>
    </row>
    <row r="5" spans="1:14" x14ac:dyDescent="0.35">
      <c r="A5" t="s">
        <v>95</v>
      </c>
      <c r="B5" t="str">
        <f>Main!C10</f>
        <v>Naglazyme</v>
      </c>
      <c r="C5">
        <v>94.8</v>
      </c>
      <c r="D5">
        <v>119.7</v>
      </c>
      <c r="E5">
        <v>83.1</v>
      </c>
      <c r="F5">
        <v>100.5</v>
      </c>
      <c r="G5" s="7">
        <f>K5</f>
        <v>180.77400000000003</v>
      </c>
      <c r="H5" s="43">
        <v>123</v>
      </c>
      <c r="I5">
        <v>90.1</v>
      </c>
      <c r="J5">
        <v>108.9</v>
      </c>
      <c r="K5" s="7">
        <f>J5*(1+K6)</f>
        <v>180.77400000000003</v>
      </c>
      <c r="L5" s="43">
        <f>H5+I5+J5+K5</f>
        <v>502.774</v>
      </c>
    </row>
    <row r="6" spans="1:14" s="32" customFormat="1" x14ac:dyDescent="0.35">
      <c r="B6" s="32" t="s">
        <v>17</v>
      </c>
      <c r="D6" s="32">
        <f>D5/C5-1</f>
        <v>0.26265822784810133</v>
      </c>
      <c r="E6" s="32">
        <f>E5/D5-1</f>
        <v>-0.30576441102756902</v>
      </c>
      <c r="F6" s="32">
        <f>F5/E5-1</f>
        <v>0.20938628158844774</v>
      </c>
      <c r="G6" s="32">
        <f>G5/F5-1</f>
        <v>0.79874626865671661</v>
      </c>
      <c r="H6" s="41"/>
      <c r="I6" s="32">
        <f>I5/H5-1</f>
        <v>-0.26747967479674806</v>
      </c>
      <c r="J6" s="32">
        <f t="shared" ref="J6" si="1">J5/I5-1</f>
        <v>0.20865704772475047</v>
      </c>
      <c r="K6" s="32">
        <v>0.66</v>
      </c>
      <c r="L6" s="41"/>
    </row>
    <row r="7" spans="1:14" x14ac:dyDescent="0.35">
      <c r="A7" t="s">
        <v>95</v>
      </c>
      <c r="B7" t="s">
        <v>9</v>
      </c>
      <c r="C7">
        <v>122.6</v>
      </c>
      <c r="D7" s="7">
        <v>89</v>
      </c>
      <c r="E7">
        <v>68.5</v>
      </c>
      <c r="F7">
        <v>53.6</v>
      </c>
      <c r="G7" s="7">
        <f>K7</f>
        <v>47.190000000000005</v>
      </c>
      <c r="H7" s="12">
        <v>50.5</v>
      </c>
      <c r="I7">
        <v>50.6</v>
      </c>
      <c r="J7">
        <v>42.9</v>
      </c>
      <c r="K7" s="7">
        <f>J7*(1+K8)</f>
        <v>47.190000000000005</v>
      </c>
      <c r="L7" s="43">
        <f>H7+I7+J7+K7</f>
        <v>191.19</v>
      </c>
    </row>
    <row r="8" spans="1:14" s="17" customFormat="1" x14ac:dyDescent="0.35">
      <c r="B8" s="17" t="s">
        <v>17</v>
      </c>
      <c r="D8" s="32">
        <f>D7/C7-1</f>
        <v>-0.27406199021207178</v>
      </c>
      <c r="E8" s="32">
        <f>E7/D7-1</f>
        <v>-0.2303370786516854</v>
      </c>
      <c r="F8" s="32">
        <f>F7/E7-1</f>
        <v>-0.2175182481751825</v>
      </c>
      <c r="G8" s="32">
        <f>G7/F7-1</f>
        <v>-0.11958955223880585</v>
      </c>
      <c r="H8" s="22"/>
      <c r="I8" s="42">
        <f>I7/H7-1</f>
        <v>1.980198019801982E-3</v>
      </c>
      <c r="J8" s="32">
        <f>J7/I7-1</f>
        <v>-0.15217391304347827</v>
      </c>
      <c r="K8" s="32">
        <v>0.1</v>
      </c>
      <c r="L8" s="22"/>
    </row>
    <row r="9" spans="1:14" x14ac:dyDescent="0.35">
      <c r="B9" t="str">
        <f>Main!C12</f>
        <v>Aldurazyme</v>
      </c>
      <c r="C9">
        <v>23.9</v>
      </c>
      <c r="D9">
        <v>1.2</v>
      </c>
      <c r="E9">
        <v>20.3</v>
      </c>
      <c r="F9">
        <v>37.6</v>
      </c>
      <c r="G9" s="7">
        <f>K9</f>
        <v>55.2</v>
      </c>
      <c r="H9" s="12">
        <v>34.4</v>
      </c>
      <c r="I9">
        <v>40.299999999999997</v>
      </c>
      <c r="J9">
        <v>13.8</v>
      </c>
      <c r="K9" s="7">
        <f>J9*(1+K10)</f>
        <v>55.2</v>
      </c>
      <c r="L9" s="43">
        <f>H9+I9+J9+K9</f>
        <v>143.69999999999999</v>
      </c>
    </row>
    <row r="10" spans="1:14" s="32" customFormat="1" x14ac:dyDescent="0.35">
      <c r="B10" s="32" t="s">
        <v>17</v>
      </c>
      <c r="D10" s="32">
        <f>D9/C9-1</f>
        <v>-0.94979079497907948</v>
      </c>
      <c r="E10" s="32">
        <f>E9/D9-1</f>
        <v>15.916666666666668</v>
      </c>
      <c r="F10" s="32">
        <f>F9/E9-1</f>
        <v>0.85221674876847286</v>
      </c>
      <c r="G10" s="32">
        <f>G9/F9-1</f>
        <v>0.46808510638297873</v>
      </c>
      <c r="H10" s="41"/>
      <c r="I10" s="32">
        <f>I9/H9-1</f>
        <v>0.1715116279069766</v>
      </c>
      <c r="J10" s="32">
        <f t="shared" ref="J10" si="2">J9/I9-1</f>
        <v>-0.65756823821339938</v>
      </c>
      <c r="K10" s="32">
        <v>3</v>
      </c>
      <c r="L10" s="41"/>
    </row>
    <row r="11" spans="1:14" x14ac:dyDescent="0.35">
      <c r="B11" t="str">
        <f>Main!C13</f>
        <v>Firdapse</v>
      </c>
      <c r="C11">
        <v>6.1</v>
      </c>
      <c r="D11" s="8">
        <v>0</v>
      </c>
      <c r="H11" s="12"/>
      <c r="L11" s="12"/>
    </row>
    <row r="12" spans="1:14" s="17" customFormat="1" x14ac:dyDescent="0.35">
      <c r="B12" s="17" t="s">
        <v>17</v>
      </c>
      <c r="D12" s="32">
        <f>D11/C11-1</f>
        <v>-1</v>
      </c>
      <c r="H12" s="22"/>
      <c r="L12" s="22"/>
    </row>
    <row r="13" spans="1:14" x14ac:dyDescent="0.35">
      <c r="B13" t="str">
        <f>Main!C14</f>
        <v>Brineura</v>
      </c>
      <c r="C13">
        <v>25.2</v>
      </c>
      <c r="D13" s="7">
        <v>35</v>
      </c>
      <c r="E13">
        <v>37.4</v>
      </c>
      <c r="F13">
        <v>42.6</v>
      </c>
      <c r="G13" s="7">
        <f>K13</f>
        <v>55.35</v>
      </c>
      <c r="H13" s="12">
        <v>39.1</v>
      </c>
      <c r="I13">
        <v>38.1</v>
      </c>
      <c r="J13" s="7">
        <v>41</v>
      </c>
      <c r="K13">
        <f>J13*(1+K14)</f>
        <v>55.35</v>
      </c>
      <c r="L13" s="43">
        <f>H13+I13+J13+K13</f>
        <v>173.55</v>
      </c>
    </row>
    <row r="14" spans="1:14" s="32" customFormat="1" x14ac:dyDescent="0.35">
      <c r="B14" s="32" t="s">
        <v>17</v>
      </c>
      <c r="D14" s="32">
        <f>D13/C13-1</f>
        <v>0.38888888888888884</v>
      </c>
      <c r="E14" s="32">
        <f>E13/D13-1</f>
        <v>6.8571428571428505E-2</v>
      </c>
      <c r="F14" s="32">
        <f>F13/E13-1</f>
        <v>0.13903743315508033</v>
      </c>
      <c r="G14" s="32">
        <f>G13/F13-1</f>
        <v>0.29929577464788726</v>
      </c>
      <c r="H14" s="41"/>
      <c r="I14" s="32">
        <f>I13/H13-1</f>
        <v>-2.5575447570332477E-2</v>
      </c>
      <c r="J14" s="32">
        <f t="shared" ref="J14" si="3">J13/I13-1</f>
        <v>7.6115485564304475E-2</v>
      </c>
      <c r="K14" s="32">
        <v>0.35</v>
      </c>
      <c r="L14" s="41"/>
    </row>
    <row r="15" spans="1:14" x14ac:dyDescent="0.35">
      <c r="B15" t="str">
        <f>Main!C15</f>
        <v>Palynziq</v>
      </c>
      <c r="C15">
        <v>31.7</v>
      </c>
      <c r="D15">
        <v>49.6</v>
      </c>
      <c r="E15">
        <v>63.8</v>
      </c>
      <c r="F15">
        <v>72.3</v>
      </c>
      <c r="G15" s="7">
        <f>K15</f>
        <v>86.79</v>
      </c>
      <c r="H15" s="12">
        <v>62.4</v>
      </c>
      <c r="I15">
        <v>74.900000000000006</v>
      </c>
      <c r="J15">
        <v>78.900000000000006</v>
      </c>
      <c r="K15" s="7">
        <f>J15*(1+K16)</f>
        <v>86.79</v>
      </c>
      <c r="L15" s="43">
        <f>H15+I15+J15+K15</f>
        <v>302.99</v>
      </c>
    </row>
    <row r="16" spans="1:14" s="32" customFormat="1" x14ac:dyDescent="0.35">
      <c r="B16" s="32" t="s">
        <v>17</v>
      </c>
      <c r="D16" s="32">
        <f>D15/C15-1</f>
        <v>0.56466876971608837</v>
      </c>
      <c r="E16" s="32">
        <f>E15/D15-1</f>
        <v>0.28629032258064502</v>
      </c>
      <c r="F16" s="32">
        <f>F15/E15-1</f>
        <v>0.13322884012539182</v>
      </c>
      <c r="G16" s="32">
        <f>G15/F15-1</f>
        <v>0.20041493775933628</v>
      </c>
      <c r="H16" s="41"/>
      <c r="I16" s="32">
        <f>I15/H15-1</f>
        <v>0.200320512820513</v>
      </c>
      <c r="J16" s="32">
        <f>J15/I15-1</f>
        <v>5.3404539385847771E-2</v>
      </c>
      <c r="K16" s="32">
        <v>0.1</v>
      </c>
      <c r="L16" s="47"/>
    </row>
    <row r="17" spans="2:12" x14ac:dyDescent="0.35">
      <c r="B17" t="str">
        <f>Main!C16</f>
        <v>Voxzogo</v>
      </c>
      <c r="E17">
        <v>5.8</v>
      </c>
      <c r="F17">
        <v>66.8</v>
      </c>
      <c r="G17" s="7">
        <f>K17</f>
        <v>129.255</v>
      </c>
      <c r="H17" s="12">
        <v>87.8</v>
      </c>
      <c r="I17">
        <v>113.3</v>
      </c>
      <c r="J17">
        <v>123.1</v>
      </c>
      <c r="K17" s="7">
        <f>J17*(1+K18)</f>
        <v>129.255</v>
      </c>
      <c r="L17" s="43">
        <f>H17+I17+J17+K17</f>
        <v>453.45499999999998</v>
      </c>
    </row>
    <row r="18" spans="2:12" s="32" customFormat="1" x14ac:dyDescent="0.35">
      <c r="B18" s="32" t="s">
        <v>17</v>
      </c>
      <c r="F18" s="32">
        <f>F17/E17-1</f>
        <v>10.517241379310345</v>
      </c>
      <c r="G18" s="32">
        <f>G17/F17-1</f>
        <v>0.93495508982035935</v>
      </c>
      <c r="H18" s="41"/>
      <c r="I18" s="32">
        <f t="shared" ref="I18:J18" si="4">I17/H17-1</f>
        <v>0.29043280182232345</v>
      </c>
      <c r="J18" s="32">
        <f t="shared" si="4"/>
        <v>8.6496028243601142E-2</v>
      </c>
      <c r="K18" s="32">
        <v>0.05</v>
      </c>
      <c r="L18" s="41"/>
    </row>
    <row r="19" spans="2:12" x14ac:dyDescent="0.35">
      <c r="B19" t="str">
        <f>Main!C17</f>
        <v>Roctavian</v>
      </c>
      <c r="G19">
        <f>K19</f>
        <v>6.4</v>
      </c>
      <c r="H19" s="12"/>
      <c r="J19">
        <v>0.8</v>
      </c>
      <c r="K19">
        <f>J19*(1+K20)</f>
        <v>6.4</v>
      </c>
      <c r="L19" s="12">
        <f>H19+I19+J19+K19</f>
        <v>7.2</v>
      </c>
    </row>
    <row r="20" spans="2:12" s="17" customFormat="1" x14ac:dyDescent="0.35">
      <c r="B20" s="17" t="s">
        <v>17</v>
      </c>
      <c r="D20" s="32"/>
      <c r="G20" s="32"/>
      <c r="H20" s="22"/>
      <c r="K20" s="32">
        <v>7</v>
      </c>
      <c r="L20" s="22"/>
    </row>
    <row r="21" spans="2:12" s="3" customFormat="1" x14ac:dyDescent="0.35">
      <c r="B21" s="21" t="s">
        <v>12</v>
      </c>
      <c r="C21" s="21">
        <f>C3+C5+C7+C9+C11+C13+C15+C17+C19</f>
        <v>436.6</v>
      </c>
      <c r="D21" s="21">
        <f t="shared" ref="D21:K21" si="5">D3+D5+D7+D9+D11+D13+D15+D17+D19</f>
        <v>437</v>
      </c>
      <c r="E21" s="21">
        <f t="shared" si="5"/>
        <v>435.2</v>
      </c>
      <c r="F21" s="21">
        <f t="shared" si="5"/>
        <v>525.5</v>
      </c>
      <c r="G21" s="49">
        <f t="shared" ref="G21" si="6">G3+G5+G7+G9+G11+G13+G15+G17+G19</f>
        <v>743.69399999999996</v>
      </c>
      <c r="H21" s="45">
        <f>H3+H5+H7+H9+H11+H13+H15+H17+H19</f>
        <v>586.4</v>
      </c>
      <c r="I21" s="21">
        <f t="shared" si="5"/>
        <v>584.70000000000005</v>
      </c>
      <c r="J21" s="21">
        <f>J3+J5+J7+J9+J11+J13+J15+J17+J19</f>
        <v>568.29999999999995</v>
      </c>
      <c r="K21" s="49">
        <f t="shared" si="5"/>
        <v>743.69399999999996</v>
      </c>
      <c r="L21" s="50">
        <f>L3+L5+L7+L9+L11+L13+L15+L17+L19</f>
        <v>2483.0940000000001</v>
      </c>
    </row>
    <row r="22" spans="2:12" s="17" customFormat="1" x14ac:dyDescent="0.35">
      <c r="B22" s="17" t="s">
        <v>17</v>
      </c>
      <c r="D22" s="42">
        <f>D21/C21-1</f>
        <v>9.1617040769587099E-4</v>
      </c>
      <c r="E22" s="42">
        <f t="shared" ref="E22:K22" si="7">E21/D21-1</f>
        <v>-4.1189931350115172E-3</v>
      </c>
      <c r="F22" s="42">
        <f t="shared" si="7"/>
        <v>0.20749080882352944</v>
      </c>
      <c r="G22" s="42">
        <f t="shared" si="7"/>
        <v>0.41521217887725959</v>
      </c>
      <c r="H22" s="44"/>
      <c r="I22" s="42">
        <f t="shared" si="7"/>
        <v>-2.8990450204637863E-3</v>
      </c>
      <c r="J22" s="42">
        <f t="shared" si="7"/>
        <v>-2.8048571917222653E-2</v>
      </c>
      <c r="K22" s="42">
        <f t="shared" si="7"/>
        <v>0.30862924511701562</v>
      </c>
      <c r="L22" s="44"/>
    </row>
  </sheetData>
  <hyperlinks>
    <hyperlink ref="A1" location="DCF!A1" display="Main" xr:uid="{9DF0563F-F510-482C-A9C2-418F2969C98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CAE6D-9187-445B-BDF8-621A26D80176}">
  <dimension ref="A1:L34"/>
  <sheetViews>
    <sheetView showGridLines="0" topLeftCell="A3" zoomScale="81" zoomScaleNormal="100" workbookViewId="0">
      <selection activeCell="E32" sqref="E32"/>
    </sheetView>
  </sheetViews>
  <sheetFormatPr defaultRowHeight="14.5" x14ac:dyDescent="0.35"/>
  <cols>
    <col min="1" max="1" width="5.08984375" bestFit="1" customWidth="1"/>
    <col min="2" max="2" width="10" bestFit="1" customWidth="1"/>
    <col min="3" max="3" width="11.7265625" customWidth="1"/>
    <col min="4" max="4" width="21" customWidth="1"/>
    <col min="5" max="5" width="13.90625" bestFit="1" customWidth="1"/>
    <col min="6" max="6" width="50.6328125" customWidth="1"/>
    <col min="8" max="8" width="66.453125" bestFit="1" customWidth="1"/>
    <col min="9" max="9" width="9.6328125" bestFit="1" customWidth="1"/>
    <col min="10" max="10" width="9.90625" bestFit="1" customWidth="1"/>
    <col min="11" max="11" width="10.26953125" bestFit="1" customWidth="1"/>
    <col min="12" max="12" width="10" style="11" bestFit="1" customWidth="1"/>
  </cols>
  <sheetData>
    <row r="1" spans="1:12" x14ac:dyDescent="0.35">
      <c r="A1" s="6" t="s">
        <v>23</v>
      </c>
      <c r="G1" t="s">
        <v>0</v>
      </c>
      <c r="L1"/>
    </row>
    <row r="2" spans="1:12" x14ac:dyDescent="0.35">
      <c r="B2" s="110" t="s">
        <v>24</v>
      </c>
      <c r="C2" s="112" t="s">
        <v>74</v>
      </c>
      <c r="D2" s="112" t="s">
        <v>84</v>
      </c>
      <c r="E2" s="112" t="s">
        <v>67</v>
      </c>
      <c r="F2" s="114" t="s">
        <v>72</v>
      </c>
      <c r="G2" s="112" t="s">
        <v>25</v>
      </c>
      <c r="H2" s="112" t="s">
        <v>26</v>
      </c>
      <c r="I2" s="112" t="s">
        <v>59</v>
      </c>
      <c r="J2" s="107" t="s">
        <v>60</v>
      </c>
      <c r="K2" s="108"/>
      <c r="L2" s="109"/>
    </row>
    <row r="3" spans="1:12" x14ac:dyDescent="0.35">
      <c r="B3" s="111"/>
      <c r="C3" s="113"/>
      <c r="D3" s="113"/>
      <c r="E3" s="113"/>
      <c r="F3" s="115"/>
      <c r="G3" s="113"/>
      <c r="H3" s="113"/>
      <c r="I3" s="113"/>
      <c r="J3" s="18" t="s">
        <v>63</v>
      </c>
      <c r="K3" s="19" t="s">
        <v>62</v>
      </c>
      <c r="L3" s="20" t="s">
        <v>61</v>
      </c>
    </row>
    <row r="4" spans="1:12" x14ac:dyDescent="0.35">
      <c r="B4" s="95" t="s">
        <v>14</v>
      </c>
      <c r="C4" s="98" t="s">
        <v>86</v>
      </c>
      <c r="D4" s="98" t="s">
        <v>85</v>
      </c>
      <c r="E4" s="35" t="s">
        <v>68</v>
      </c>
      <c r="F4" s="116" t="s">
        <v>69</v>
      </c>
      <c r="G4" s="36" t="s">
        <v>27</v>
      </c>
      <c r="H4" s="36" t="s">
        <v>28</v>
      </c>
      <c r="I4" s="13">
        <v>44992</v>
      </c>
      <c r="J4" s="80">
        <v>2024</v>
      </c>
      <c r="K4" s="86">
        <v>2029</v>
      </c>
      <c r="L4" s="89">
        <v>2027</v>
      </c>
    </row>
    <row r="5" spans="1:12" x14ac:dyDescent="0.35">
      <c r="B5" s="96"/>
      <c r="C5" s="99"/>
      <c r="D5" s="99"/>
      <c r="F5" s="122"/>
      <c r="G5" s="24"/>
      <c r="H5" s="24" t="s">
        <v>29</v>
      </c>
      <c r="I5" s="14">
        <v>48262</v>
      </c>
      <c r="J5" s="81"/>
      <c r="K5" s="87"/>
      <c r="L5" s="90"/>
    </row>
    <row r="6" spans="1:12" x14ac:dyDescent="0.35">
      <c r="B6" s="96"/>
      <c r="C6" s="99"/>
      <c r="D6" s="99"/>
      <c r="F6" s="122"/>
      <c r="G6" s="24"/>
      <c r="H6" s="24" t="s">
        <v>30</v>
      </c>
      <c r="I6" s="14">
        <v>13275</v>
      </c>
      <c r="J6" s="81"/>
      <c r="K6" s="87"/>
      <c r="L6" s="90"/>
    </row>
    <row r="7" spans="1:12" x14ac:dyDescent="0.35">
      <c r="B7" s="96"/>
      <c r="C7" s="99"/>
      <c r="D7" s="99"/>
      <c r="F7" s="122"/>
      <c r="G7" s="24" t="s">
        <v>31</v>
      </c>
      <c r="H7" s="24" t="s">
        <v>32</v>
      </c>
      <c r="I7" s="14">
        <v>45534</v>
      </c>
      <c r="J7" s="81"/>
      <c r="K7" s="87"/>
      <c r="L7" s="90"/>
    </row>
    <row r="8" spans="1:12" ht="31.5" customHeight="1" x14ac:dyDescent="0.35">
      <c r="B8" s="97"/>
      <c r="C8" s="100"/>
      <c r="D8" s="100"/>
      <c r="E8" s="1"/>
      <c r="F8" s="117"/>
      <c r="G8" s="25"/>
      <c r="H8" s="25" t="s">
        <v>33</v>
      </c>
      <c r="I8" s="23">
        <v>13275</v>
      </c>
      <c r="J8" s="82"/>
      <c r="K8" s="88"/>
      <c r="L8" s="91"/>
    </row>
    <row r="9" spans="1:12" x14ac:dyDescent="0.35">
      <c r="B9" s="95" t="s">
        <v>9</v>
      </c>
      <c r="C9" s="98" t="s">
        <v>91</v>
      </c>
      <c r="D9" s="101" t="s">
        <v>87</v>
      </c>
      <c r="E9" s="10" t="s">
        <v>70</v>
      </c>
      <c r="F9" s="116" t="s">
        <v>78</v>
      </c>
      <c r="G9" s="36" t="s">
        <v>31</v>
      </c>
      <c r="H9" s="36" t="s">
        <v>34</v>
      </c>
      <c r="I9" s="13">
        <v>45613</v>
      </c>
      <c r="J9" s="80" t="s">
        <v>65</v>
      </c>
      <c r="K9" s="86" t="s">
        <v>65</v>
      </c>
      <c r="L9" s="89" t="s">
        <v>65</v>
      </c>
    </row>
    <row r="10" spans="1:12" x14ac:dyDescent="0.35">
      <c r="B10" s="96"/>
      <c r="C10" s="99"/>
      <c r="D10" s="102"/>
      <c r="F10" s="120"/>
      <c r="G10" s="24"/>
      <c r="H10" s="24" t="s">
        <v>35</v>
      </c>
      <c r="I10" s="14">
        <v>46854</v>
      </c>
      <c r="J10" s="81"/>
      <c r="K10" s="87"/>
      <c r="L10" s="90"/>
    </row>
    <row r="11" spans="1:12" ht="47" customHeight="1" x14ac:dyDescent="0.35">
      <c r="B11" s="97"/>
      <c r="C11" s="100"/>
      <c r="D11" s="103"/>
      <c r="E11" s="1"/>
      <c r="F11" s="121"/>
      <c r="G11" s="25"/>
      <c r="H11" s="25" t="s">
        <v>36</v>
      </c>
      <c r="I11" s="23">
        <v>46854</v>
      </c>
      <c r="J11" s="82"/>
      <c r="K11" s="88"/>
      <c r="L11" s="91"/>
    </row>
    <row r="12" spans="1:12" x14ac:dyDescent="0.35">
      <c r="B12" s="95" t="s">
        <v>8</v>
      </c>
      <c r="C12" s="98" t="s">
        <v>86</v>
      </c>
      <c r="D12" s="101" t="s">
        <v>88</v>
      </c>
      <c r="E12" s="10" t="s">
        <v>71</v>
      </c>
      <c r="F12" s="116" t="s">
        <v>79</v>
      </c>
      <c r="G12" s="36" t="s">
        <v>27</v>
      </c>
      <c r="H12" s="36" t="s">
        <v>37</v>
      </c>
      <c r="I12" s="13">
        <v>46954</v>
      </c>
      <c r="J12" s="80" t="s">
        <v>65</v>
      </c>
      <c r="K12" s="86" t="s">
        <v>65</v>
      </c>
      <c r="L12" s="89" t="s">
        <v>65</v>
      </c>
    </row>
    <row r="13" spans="1:12" ht="121.5" customHeight="1" x14ac:dyDescent="0.35">
      <c r="B13" s="97"/>
      <c r="C13" s="100"/>
      <c r="D13" s="103"/>
      <c r="E13" s="1"/>
      <c r="F13" s="117"/>
      <c r="G13" s="25" t="s">
        <v>31</v>
      </c>
      <c r="H13" s="25" t="s">
        <v>38</v>
      </c>
      <c r="I13" s="23">
        <v>45237</v>
      </c>
      <c r="J13" s="82"/>
      <c r="K13" s="88"/>
      <c r="L13" s="91"/>
    </row>
    <row r="14" spans="1:12" x14ac:dyDescent="0.35">
      <c r="B14" s="95" t="s">
        <v>15</v>
      </c>
      <c r="C14" s="98" t="s">
        <v>90</v>
      </c>
      <c r="D14" s="101" t="s">
        <v>89</v>
      </c>
      <c r="E14" s="10" t="s">
        <v>70</v>
      </c>
      <c r="F14" s="85"/>
      <c r="G14" s="36" t="s">
        <v>27</v>
      </c>
      <c r="H14" s="36" t="s">
        <v>39</v>
      </c>
      <c r="I14" s="13">
        <v>46615</v>
      </c>
      <c r="J14" s="80">
        <v>2025</v>
      </c>
      <c r="K14" s="86">
        <v>2030</v>
      </c>
      <c r="L14" s="89">
        <v>2029</v>
      </c>
    </row>
    <row r="15" spans="1:12" x14ac:dyDescent="0.35">
      <c r="B15" s="96"/>
      <c r="C15" s="99"/>
      <c r="D15" s="102"/>
      <c r="F15" s="118"/>
      <c r="G15" s="24"/>
      <c r="H15" s="24" t="s">
        <v>40</v>
      </c>
      <c r="I15" s="14">
        <v>11833</v>
      </c>
      <c r="J15" s="81"/>
      <c r="K15" s="87"/>
      <c r="L15" s="90"/>
    </row>
    <row r="16" spans="1:12" x14ac:dyDescent="0.35">
      <c r="B16" s="96"/>
      <c r="C16" s="99"/>
      <c r="D16" s="102"/>
      <c r="F16" s="118"/>
      <c r="G16" s="24"/>
      <c r="H16" s="24" t="s">
        <v>41</v>
      </c>
      <c r="I16" s="14">
        <v>11357</v>
      </c>
      <c r="J16" s="81"/>
      <c r="K16" s="87"/>
      <c r="L16" s="90"/>
    </row>
    <row r="17" spans="2:12" x14ac:dyDescent="0.35">
      <c r="B17" s="96"/>
      <c r="C17" s="99"/>
      <c r="D17" s="102"/>
      <c r="F17" s="118"/>
      <c r="G17" s="24"/>
      <c r="H17" s="24" t="s">
        <v>42</v>
      </c>
      <c r="I17" s="14">
        <v>47329</v>
      </c>
      <c r="J17" s="81"/>
      <c r="K17" s="87"/>
      <c r="L17" s="90"/>
    </row>
    <row r="18" spans="2:12" x14ac:dyDescent="0.35">
      <c r="B18" s="96"/>
      <c r="C18" s="99"/>
      <c r="D18" s="102"/>
      <c r="F18" s="118"/>
      <c r="G18" s="24"/>
      <c r="H18" s="24" t="s">
        <v>43</v>
      </c>
      <c r="I18" s="14">
        <v>11357</v>
      </c>
      <c r="J18" s="81"/>
      <c r="K18" s="87"/>
      <c r="L18" s="90"/>
    </row>
    <row r="19" spans="2:12" x14ac:dyDescent="0.35">
      <c r="B19" s="96"/>
      <c r="C19" s="99"/>
      <c r="D19" s="102"/>
      <c r="F19" s="118"/>
      <c r="G19" s="24" t="s">
        <v>31</v>
      </c>
      <c r="H19" s="24" t="s">
        <v>39</v>
      </c>
      <c r="I19" s="14">
        <v>46896</v>
      </c>
      <c r="J19" s="81"/>
      <c r="K19" s="87"/>
      <c r="L19" s="90"/>
    </row>
    <row r="20" spans="2:12" x14ac:dyDescent="0.35">
      <c r="B20" s="96"/>
      <c r="C20" s="99"/>
      <c r="D20" s="102"/>
      <c r="F20" s="118"/>
      <c r="G20" s="24"/>
      <c r="H20" s="24" t="s">
        <v>32</v>
      </c>
      <c r="I20" s="14">
        <v>12197</v>
      </c>
      <c r="J20" s="81"/>
      <c r="K20" s="87"/>
      <c r="L20" s="90"/>
    </row>
    <row r="21" spans="2:12" x14ac:dyDescent="0.35">
      <c r="B21" s="97"/>
      <c r="C21" s="100"/>
      <c r="D21" s="103"/>
      <c r="E21" s="1"/>
      <c r="F21" s="119"/>
      <c r="G21" s="25"/>
      <c r="H21" s="25" t="s">
        <v>44</v>
      </c>
      <c r="I21" s="15">
        <v>11357</v>
      </c>
      <c r="J21" s="82"/>
      <c r="K21" s="88"/>
      <c r="L21" s="91"/>
    </row>
    <row r="22" spans="2:12" x14ac:dyDescent="0.35">
      <c r="B22" s="95" t="s">
        <v>19</v>
      </c>
      <c r="C22" s="104" t="s">
        <v>92</v>
      </c>
      <c r="D22" s="101" t="s">
        <v>88</v>
      </c>
      <c r="E22" s="10" t="s">
        <v>73</v>
      </c>
      <c r="F22" s="116" t="s">
        <v>80</v>
      </c>
      <c r="G22" s="36" t="s">
        <v>27</v>
      </c>
      <c r="H22" s="36" t="s">
        <v>48</v>
      </c>
      <c r="I22" s="13">
        <v>12672</v>
      </c>
      <c r="J22" s="80" t="s">
        <v>64</v>
      </c>
      <c r="K22" s="86" t="s">
        <v>64</v>
      </c>
      <c r="L22" s="89">
        <v>2032</v>
      </c>
    </row>
    <row r="23" spans="2:12" x14ac:dyDescent="0.35">
      <c r="B23" s="96"/>
      <c r="C23" s="105"/>
      <c r="D23" s="102"/>
      <c r="F23" s="120"/>
      <c r="G23" s="24"/>
      <c r="H23" s="24" t="s">
        <v>47</v>
      </c>
      <c r="I23" s="14">
        <v>13416</v>
      </c>
      <c r="J23" s="81"/>
      <c r="K23" s="87"/>
      <c r="L23" s="90"/>
    </row>
    <row r="24" spans="2:12" ht="116" customHeight="1" x14ac:dyDescent="0.35">
      <c r="B24" s="97"/>
      <c r="C24" s="106"/>
      <c r="D24" s="103"/>
      <c r="E24" s="1"/>
      <c r="F24" s="121"/>
      <c r="G24" s="25"/>
      <c r="H24" s="25" t="s">
        <v>46</v>
      </c>
      <c r="I24" s="23">
        <v>12692</v>
      </c>
      <c r="J24" s="82"/>
      <c r="K24" s="88"/>
      <c r="L24" s="91"/>
    </row>
    <row r="25" spans="2:12" x14ac:dyDescent="0.35">
      <c r="B25" s="95" t="s">
        <v>13</v>
      </c>
      <c r="C25" s="98" t="s">
        <v>86</v>
      </c>
      <c r="D25" s="101" t="s">
        <v>88</v>
      </c>
      <c r="E25" s="10" t="s">
        <v>75</v>
      </c>
      <c r="F25" s="116" t="s">
        <v>81</v>
      </c>
      <c r="G25" s="36" t="s">
        <v>27</v>
      </c>
      <c r="H25" s="36" t="s">
        <v>46</v>
      </c>
      <c r="I25" s="13">
        <v>11058</v>
      </c>
      <c r="J25" s="80" t="s">
        <v>65</v>
      </c>
      <c r="K25" s="86">
        <v>2026</v>
      </c>
      <c r="L25" s="89">
        <v>2024</v>
      </c>
    </row>
    <row r="26" spans="2:12" x14ac:dyDescent="0.35">
      <c r="B26" s="96"/>
      <c r="C26" s="99"/>
      <c r="D26" s="102"/>
      <c r="F26" s="120"/>
      <c r="G26" s="24"/>
      <c r="H26" s="24" t="s">
        <v>49</v>
      </c>
      <c r="I26" s="14">
        <v>11698</v>
      </c>
      <c r="J26" s="81"/>
      <c r="K26" s="87"/>
      <c r="L26" s="90"/>
    </row>
    <row r="27" spans="2:12" x14ac:dyDescent="0.35">
      <c r="B27" s="96"/>
      <c r="C27" s="99"/>
      <c r="D27" s="102"/>
      <c r="F27" s="120"/>
      <c r="G27" s="24" t="s">
        <v>31</v>
      </c>
      <c r="H27" s="24" t="s">
        <v>50</v>
      </c>
      <c r="I27" s="14">
        <v>47238</v>
      </c>
      <c r="J27" s="81"/>
      <c r="K27" s="87"/>
      <c r="L27" s="90"/>
    </row>
    <row r="28" spans="2:12" ht="103.5" customHeight="1" x14ac:dyDescent="0.35">
      <c r="B28" s="97"/>
      <c r="C28" s="100"/>
      <c r="D28" s="103"/>
      <c r="E28" s="1"/>
      <c r="F28" s="121"/>
      <c r="G28" s="25"/>
      <c r="H28" s="25" t="s">
        <v>51</v>
      </c>
      <c r="I28" s="23">
        <v>11526</v>
      </c>
      <c r="J28" s="82"/>
      <c r="K28" s="88"/>
      <c r="L28" s="91"/>
    </row>
    <row r="29" spans="2:12" x14ac:dyDescent="0.35">
      <c r="B29" s="92" t="s">
        <v>16</v>
      </c>
      <c r="C29" s="98" t="s">
        <v>93</v>
      </c>
      <c r="D29" s="98" t="s">
        <v>89</v>
      </c>
      <c r="E29" s="10" t="s">
        <v>76</v>
      </c>
      <c r="F29" s="116" t="s">
        <v>82</v>
      </c>
      <c r="G29" s="36" t="s">
        <v>27</v>
      </c>
      <c r="H29" s="36" t="s">
        <v>46</v>
      </c>
      <c r="I29" s="13">
        <v>11120</v>
      </c>
      <c r="J29" s="80">
        <v>2028</v>
      </c>
      <c r="K29" s="86" t="s">
        <v>66</v>
      </c>
      <c r="L29" s="89">
        <v>2031</v>
      </c>
    </row>
    <row r="30" spans="2:12" x14ac:dyDescent="0.35">
      <c r="B30" s="93"/>
      <c r="C30" s="99"/>
      <c r="D30" s="99"/>
      <c r="F30" s="120"/>
      <c r="G30" s="24"/>
      <c r="H30" s="24" t="s">
        <v>33</v>
      </c>
      <c r="I30" s="14">
        <v>13363</v>
      </c>
      <c r="J30" s="81"/>
      <c r="K30" s="87"/>
      <c r="L30" s="90"/>
    </row>
    <row r="31" spans="2:12" x14ac:dyDescent="0.35">
      <c r="B31" s="93"/>
      <c r="C31" s="99"/>
      <c r="D31" s="99"/>
      <c r="F31" s="120"/>
      <c r="G31" s="24"/>
      <c r="H31" s="24" t="s">
        <v>45</v>
      </c>
      <c r="I31" s="14">
        <v>13363</v>
      </c>
      <c r="J31" s="81"/>
      <c r="K31" s="87"/>
      <c r="L31" s="90"/>
    </row>
    <row r="32" spans="2:12" ht="131" customHeight="1" x14ac:dyDescent="0.35">
      <c r="B32" s="94"/>
      <c r="C32" s="100"/>
      <c r="D32" s="100"/>
      <c r="E32" s="1"/>
      <c r="F32" s="121"/>
      <c r="G32" s="25" t="s">
        <v>31</v>
      </c>
      <c r="H32" s="25" t="s">
        <v>46</v>
      </c>
      <c r="I32" s="23">
        <v>11098</v>
      </c>
      <c r="J32" s="82"/>
      <c r="K32" s="88"/>
      <c r="L32" s="91"/>
    </row>
    <row r="33" spans="2:12" ht="130.5" customHeight="1" x14ac:dyDescent="0.35">
      <c r="B33" s="29" t="s">
        <v>10</v>
      </c>
      <c r="C33" s="38" t="s">
        <v>86</v>
      </c>
      <c r="D33" s="38" t="s">
        <v>88</v>
      </c>
      <c r="E33" s="30" t="s">
        <v>77</v>
      </c>
      <c r="F33" s="28" t="s">
        <v>83</v>
      </c>
      <c r="G33" s="37" t="s">
        <v>66</v>
      </c>
      <c r="H33" s="37" t="s">
        <v>66</v>
      </c>
      <c r="I33" s="31" t="s">
        <v>66</v>
      </c>
      <c r="J33" s="26" t="s">
        <v>65</v>
      </c>
      <c r="K33" s="26" t="s">
        <v>65</v>
      </c>
      <c r="L33" s="27" t="s">
        <v>65</v>
      </c>
    </row>
    <row r="34" spans="2:12" x14ac:dyDescent="0.35">
      <c r="L34" s="16"/>
    </row>
  </sheetData>
  <mergeCells count="58">
    <mergeCell ref="F14:F21"/>
    <mergeCell ref="F22:F24"/>
    <mergeCell ref="F25:F28"/>
    <mergeCell ref="F29:F32"/>
    <mergeCell ref="F4:F8"/>
    <mergeCell ref="F9:F11"/>
    <mergeCell ref="J4:J8"/>
    <mergeCell ref="K4:K8"/>
    <mergeCell ref="F12:F13"/>
    <mergeCell ref="L4:L8"/>
    <mergeCell ref="J9:J11"/>
    <mergeCell ref="K9:K11"/>
    <mergeCell ref="L9:L11"/>
    <mergeCell ref="J2:L2"/>
    <mergeCell ref="B2:B3"/>
    <mergeCell ref="G2:G3"/>
    <mergeCell ref="H2:H3"/>
    <mergeCell ref="I2:I3"/>
    <mergeCell ref="E2:E3"/>
    <mergeCell ref="F2:F3"/>
    <mergeCell ref="C2:C3"/>
    <mergeCell ref="D2:D3"/>
    <mergeCell ref="J14:J21"/>
    <mergeCell ref="K14:K21"/>
    <mergeCell ref="L14:L21"/>
    <mergeCell ref="J12:J13"/>
    <mergeCell ref="K12:K13"/>
    <mergeCell ref="L12:L13"/>
    <mergeCell ref="D25:D28"/>
    <mergeCell ref="C25:C28"/>
    <mergeCell ref="J22:J24"/>
    <mergeCell ref="K22:K24"/>
    <mergeCell ref="L22:L24"/>
    <mergeCell ref="J25:J28"/>
    <mergeCell ref="K25:K28"/>
    <mergeCell ref="L25:L28"/>
    <mergeCell ref="D14:D21"/>
    <mergeCell ref="C9:C11"/>
    <mergeCell ref="C12:C13"/>
    <mergeCell ref="C14:C21"/>
    <mergeCell ref="C22:C24"/>
    <mergeCell ref="D22:D24"/>
    <mergeCell ref="J29:J32"/>
    <mergeCell ref="K29:K32"/>
    <mergeCell ref="L29:L32"/>
    <mergeCell ref="B29:B32"/>
    <mergeCell ref="B4:B8"/>
    <mergeCell ref="B9:B11"/>
    <mergeCell ref="B12:B13"/>
    <mergeCell ref="B14:B21"/>
    <mergeCell ref="B22:B24"/>
    <mergeCell ref="B25:B28"/>
    <mergeCell ref="C4:C8"/>
    <mergeCell ref="D4:D8"/>
    <mergeCell ref="D9:D11"/>
    <mergeCell ref="D12:D13"/>
    <mergeCell ref="C29:C32"/>
    <mergeCell ref="D29:D32"/>
  </mergeCells>
  <hyperlinks>
    <hyperlink ref="A1" location="DCF!A1" display="Main" xr:uid="{260B2E12-7B6E-4BF9-B58C-A888309BAD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Main</vt:lpstr>
      <vt:lpstr>WACC</vt:lpstr>
      <vt:lpstr>Q423</vt:lpstr>
      <vt:lpstr>Drugs</vt:lpstr>
      <vt:lpstr>tgr</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Addae</dc:creator>
  <cp:lastModifiedBy>Lawrence Addae</cp:lastModifiedBy>
  <dcterms:created xsi:type="dcterms:W3CDTF">2015-06-05T18:17:20Z</dcterms:created>
  <dcterms:modified xsi:type="dcterms:W3CDTF">2024-02-25T22:38:47Z</dcterms:modified>
</cp:coreProperties>
</file>