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Layla &amp; Laysa\Documents\Excel\"/>
    </mc:Choice>
  </mc:AlternateContent>
  <xr:revisionPtr revIDLastSave="0" documentId="13_ncr:1_{AB426250-B8D4-481B-8DA7-9B4BC5BA61BC}" xr6:coauthVersionLast="47" xr6:coauthVersionMax="47" xr10:uidLastSave="{00000000-0000-0000-0000-000000000000}"/>
  <bookViews>
    <workbookView xWindow="-120" yWindow="-120" windowWidth="20730" windowHeight="11160" tabRatio="1000" xr2:uid="{00000000-000D-0000-FFFF-FFFF00000000}"/>
  </bookViews>
  <sheets>
    <sheet name="Menu" sheetId="1" r:id="rId1"/>
    <sheet name="Despesas Fixas" sheetId="2" r:id="rId2"/>
    <sheet name="Controle de Mercadorias" sheetId="6" r:id="rId3"/>
    <sheet name="Investimentos" sheetId="8" r:id="rId4"/>
    <sheet name="Controle de Estoque" sheetId="7" r:id="rId5"/>
    <sheet name="Resultados" sheetId="4" r:id="rId6"/>
    <sheet name="Vendas" sheetId="9" r:id="rId7"/>
    <sheet name="Sem1" sheetId="10" r:id="rId8"/>
    <sheet name="AnaliseSem1" sheetId="15" r:id="rId9"/>
    <sheet name="Sem2" sheetId="11" r:id="rId10"/>
    <sheet name="AnaliseSem2" sheetId="16" r:id="rId11"/>
    <sheet name="Sem3" sheetId="12" r:id="rId12"/>
    <sheet name="Sem4" sheetId="13" r:id="rId13"/>
    <sheet name="Sem5" sheetId="14" r:id="rId14"/>
    <sheet name="cálculos" sheetId="5" state="hidden" r:id="rId15"/>
  </sheets>
  <externalReferences>
    <externalReference r:id="rId16"/>
  </externalReferences>
  <definedNames>
    <definedName name="_xlnm.Print_Area" localSheetId="5">Resultados!$C$4:$E$25</definedName>
  </definedNames>
  <calcPr calcId="191029"/>
  <pivotCaches>
    <pivotCache cacheId="0" r:id="rId17"/>
    <pivotCache cacheId="1" r:id="rId18"/>
    <pivotCache cacheId="2" r:id="rId1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3" l="1"/>
  <c r="G5" i="13"/>
  <c r="H5" i="13"/>
  <c r="L5" i="13" s="1"/>
  <c r="K5" i="13"/>
  <c r="C5" i="11"/>
  <c r="B5" i="11"/>
  <c r="E5" i="11"/>
  <c r="G5" i="11"/>
  <c r="H5" i="11" s="1"/>
  <c r="K5" i="11"/>
  <c r="B31" i="14"/>
  <c r="B30" i="14" s="1"/>
  <c r="B29" i="14" s="1"/>
  <c r="B28" i="14" s="1"/>
  <c r="B27" i="14" s="1"/>
  <c r="B26" i="14" s="1"/>
  <c r="B25" i="14" s="1"/>
  <c r="B24" i="14" s="1"/>
  <c r="B23" i="14" s="1"/>
  <c r="B22" i="14" s="1"/>
  <c r="B21" i="14" s="1"/>
  <c r="B20" i="14" s="1"/>
  <c r="B19" i="14" s="1"/>
  <c r="B18" i="14" s="1"/>
  <c r="B17" i="14" s="1"/>
  <c r="B16" i="14" s="1"/>
  <c r="B15" i="14" s="1"/>
  <c r="B14" i="14" s="1"/>
  <c r="B13" i="14" s="1"/>
  <c r="B12" i="14" s="1"/>
  <c r="B11" i="14" s="1"/>
  <c r="B10" i="14" s="1"/>
  <c r="B9" i="14" s="1"/>
  <c r="B8" i="14" s="1"/>
  <c r="B7" i="14" s="1"/>
  <c r="B6" i="14" s="1"/>
  <c r="B5" i="14" s="1"/>
  <c r="B28" i="13"/>
  <c r="B27" i="13" s="1"/>
  <c r="B26" i="13" s="1"/>
  <c r="B25" i="13" s="1"/>
  <c r="B24" i="13" s="1"/>
  <c r="B23" i="13" s="1"/>
  <c r="B22" i="13" s="1"/>
  <c r="B21" i="13" s="1"/>
  <c r="B20" i="13" s="1"/>
  <c r="B19" i="13" s="1"/>
  <c r="B18" i="13" s="1"/>
  <c r="B17" i="13" s="1"/>
  <c r="B16" i="13" s="1"/>
  <c r="B15" i="13" s="1"/>
  <c r="B14" i="13" s="1"/>
  <c r="B13" i="13" s="1"/>
  <c r="B12" i="13" s="1"/>
  <c r="B11" i="13" s="1"/>
  <c r="B10" i="13" s="1"/>
  <c r="B9" i="13" s="1"/>
  <c r="B8" i="13" s="1"/>
  <c r="B7" i="13" s="1"/>
  <c r="B6" i="13" s="1"/>
  <c r="B5" i="13" s="1"/>
  <c r="B27" i="12"/>
  <c r="B26" i="12" s="1"/>
  <c r="B25" i="12" s="1"/>
  <c r="B24" i="12" s="1"/>
  <c r="B23" i="12" s="1"/>
  <c r="B22" i="12" s="1"/>
  <c r="B21" i="12" s="1"/>
  <c r="B20" i="12" s="1"/>
  <c r="B19" i="12" s="1"/>
  <c r="B18" i="12" s="1"/>
  <c r="B17" i="12" s="1"/>
  <c r="B16" i="12" s="1"/>
  <c r="B15" i="12" s="1"/>
  <c r="B14" i="12" s="1"/>
  <c r="B13" i="12" s="1"/>
  <c r="B12" i="12" s="1"/>
  <c r="B11" i="12" s="1"/>
  <c r="B10" i="12" s="1"/>
  <c r="B9" i="12" s="1"/>
  <c r="B8" i="12" s="1"/>
  <c r="B7" i="12" s="1"/>
  <c r="B6" i="12" s="1"/>
  <c r="B5" i="12" s="1"/>
  <c r="E5" i="14"/>
  <c r="G5" i="14"/>
  <c r="H5" i="14" s="1"/>
  <c r="K5" i="14"/>
  <c r="E6" i="14"/>
  <c r="G6" i="14"/>
  <c r="H6" i="14" s="1"/>
  <c r="K6" i="14"/>
  <c r="E19" i="4"/>
  <c r="E17" i="4"/>
  <c r="E13" i="4"/>
  <c r="E12" i="4"/>
  <c r="E11" i="4" s="1"/>
  <c r="E6" i="4"/>
  <c r="E5" i="4"/>
  <c r="M5" i="13" l="1"/>
  <c r="L5" i="11"/>
  <c r="L6" i="14"/>
  <c r="L5" i="14"/>
  <c r="E4" i="4"/>
  <c r="E8" i="4" s="1"/>
  <c r="E9" i="4" s="1"/>
  <c r="E15" i="4" s="1"/>
  <c r="E21" i="4" s="1"/>
  <c r="E23" i="4" l="1"/>
  <c r="E25" i="4" s="1"/>
  <c r="E6" i="11" l="1"/>
  <c r="G6" i="11"/>
  <c r="H6" i="11" s="1"/>
  <c r="K6" i="11"/>
  <c r="E7" i="11"/>
  <c r="G7" i="11"/>
  <c r="H7" i="11" s="1"/>
  <c r="K7" i="11"/>
  <c r="E8" i="11"/>
  <c r="G8" i="11"/>
  <c r="H8" i="11" s="1"/>
  <c r="K8" i="11"/>
  <c r="M8" i="11"/>
  <c r="E9" i="11"/>
  <c r="G9" i="11"/>
  <c r="H9" i="11" s="1"/>
  <c r="K9" i="11"/>
  <c r="M9" i="11"/>
  <c r="E10" i="11"/>
  <c r="G10" i="11"/>
  <c r="H10" i="11" s="1"/>
  <c r="K10" i="11"/>
  <c r="M10" i="11"/>
  <c r="E11" i="11"/>
  <c r="G11" i="11"/>
  <c r="H11" i="11" s="1"/>
  <c r="K11" i="11"/>
  <c r="M11" i="11"/>
  <c r="E12" i="11"/>
  <c r="G12" i="11"/>
  <c r="H12" i="11" s="1"/>
  <c r="K12" i="11"/>
  <c r="M12" i="11"/>
  <c r="E13" i="11"/>
  <c r="G13" i="11"/>
  <c r="H13" i="11" s="1"/>
  <c r="K13" i="11"/>
  <c r="M13" i="11"/>
  <c r="E14" i="11"/>
  <c r="G14" i="11"/>
  <c r="H14" i="11" s="1"/>
  <c r="K14" i="11"/>
  <c r="M14" i="11"/>
  <c r="E15" i="11"/>
  <c r="G15" i="11"/>
  <c r="H15" i="11" s="1"/>
  <c r="K15" i="11"/>
  <c r="M15" i="11"/>
  <c r="E16" i="11"/>
  <c r="G16" i="11"/>
  <c r="H16" i="11" s="1"/>
  <c r="K16" i="11"/>
  <c r="M16" i="11"/>
  <c r="E17" i="11"/>
  <c r="G17" i="11"/>
  <c r="H17" i="11" s="1"/>
  <c r="K17" i="11"/>
  <c r="M17" i="11"/>
  <c r="E18" i="11"/>
  <c r="G18" i="11"/>
  <c r="H18" i="11" s="1"/>
  <c r="K18" i="11"/>
  <c r="M18" i="11"/>
  <c r="E19" i="11"/>
  <c r="G19" i="11"/>
  <c r="H19" i="11" s="1"/>
  <c r="K19" i="11"/>
  <c r="M19" i="11"/>
  <c r="E20" i="11"/>
  <c r="G20" i="11"/>
  <c r="H20" i="11" s="1"/>
  <c r="K20" i="11"/>
  <c r="M20" i="11"/>
  <c r="E21" i="11"/>
  <c r="G21" i="11"/>
  <c r="H21" i="11" s="1"/>
  <c r="K21" i="11"/>
  <c r="M21" i="11"/>
  <c r="E22" i="11"/>
  <c r="G22" i="11"/>
  <c r="H22" i="11" s="1"/>
  <c r="K22" i="11"/>
  <c r="M22" i="11"/>
  <c r="E23" i="11"/>
  <c r="G23" i="11"/>
  <c r="H23" i="11" s="1"/>
  <c r="K23" i="11"/>
  <c r="M23" i="11"/>
  <c r="E24" i="11"/>
  <c r="G24" i="11"/>
  <c r="H24" i="11" s="1"/>
  <c r="K24" i="11"/>
  <c r="M24" i="11"/>
  <c r="E25" i="11"/>
  <c r="G25" i="11"/>
  <c r="H25" i="11" s="1"/>
  <c r="K25" i="11"/>
  <c r="M25" i="11"/>
  <c r="E26" i="11"/>
  <c r="G26" i="11"/>
  <c r="H26" i="11" s="1"/>
  <c r="K26" i="11"/>
  <c r="M26" i="11"/>
  <c r="E27" i="11"/>
  <c r="G27" i="11"/>
  <c r="H27" i="11" s="1"/>
  <c r="K27" i="11"/>
  <c r="M27" i="11"/>
  <c r="E28" i="11"/>
  <c r="G28" i="11"/>
  <c r="H28" i="11" s="1"/>
  <c r="K28" i="11"/>
  <c r="M28" i="11"/>
  <c r="E29" i="11"/>
  <c r="G29" i="11"/>
  <c r="H29" i="11" s="1"/>
  <c r="K29" i="11"/>
  <c r="M29" i="11"/>
  <c r="E30" i="11"/>
  <c r="G30" i="11"/>
  <c r="H30" i="11" s="1"/>
  <c r="K30" i="11"/>
  <c r="M30" i="11"/>
  <c r="C16" i="9"/>
  <c r="E5" i="10"/>
  <c r="G5" i="10"/>
  <c r="H5" i="10" s="1"/>
  <c r="K5" i="10"/>
  <c r="M5" i="10"/>
  <c r="E6" i="10"/>
  <c r="G6" i="10"/>
  <c r="H6" i="10" s="1"/>
  <c r="K6" i="10"/>
  <c r="M6" i="10"/>
  <c r="E7" i="10"/>
  <c r="G7" i="10"/>
  <c r="H7" i="10" s="1"/>
  <c r="K7" i="10"/>
  <c r="E8" i="10"/>
  <c r="G8" i="10"/>
  <c r="H8" i="10" s="1"/>
  <c r="K8" i="10"/>
  <c r="E9" i="10"/>
  <c r="G9" i="10"/>
  <c r="H9" i="10" s="1"/>
  <c r="K9" i="10"/>
  <c r="E10" i="10"/>
  <c r="G10" i="10"/>
  <c r="H10" i="10" s="1"/>
  <c r="K10" i="10"/>
  <c r="M10" i="10"/>
  <c r="E11" i="10"/>
  <c r="G11" i="10"/>
  <c r="H11" i="10" s="1"/>
  <c r="K11" i="10"/>
  <c r="E12" i="10"/>
  <c r="G12" i="10"/>
  <c r="H12" i="10" s="1"/>
  <c r="K12" i="10"/>
  <c r="M12" i="10"/>
  <c r="E13" i="10"/>
  <c r="G13" i="10"/>
  <c r="H13" i="10" s="1"/>
  <c r="K13" i="10"/>
  <c r="M13" i="10"/>
  <c r="E14" i="10"/>
  <c r="G14" i="10"/>
  <c r="H14" i="10" s="1"/>
  <c r="K14" i="10"/>
  <c r="M14" i="10"/>
  <c r="E15" i="10"/>
  <c r="G15" i="10"/>
  <c r="H15" i="10" s="1"/>
  <c r="K15" i="10"/>
  <c r="E16" i="10"/>
  <c r="G16" i="10"/>
  <c r="H16" i="10" s="1"/>
  <c r="K16" i="10"/>
  <c r="E17" i="10"/>
  <c r="G17" i="10"/>
  <c r="H17" i="10" s="1"/>
  <c r="K17" i="10"/>
  <c r="E18" i="10"/>
  <c r="G18" i="10"/>
  <c r="H18" i="10" s="1"/>
  <c r="K18" i="10"/>
  <c r="M18" i="10"/>
  <c r="E19" i="10"/>
  <c r="G19" i="10"/>
  <c r="H19" i="10" s="1"/>
  <c r="K19" i="10"/>
  <c r="M19" i="10"/>
  <c r="E20" i="10"/>
  <c r="G20" i="10"/>
  <c r="H20" i="10" s="1"/>
  <c r="K20" i="10"/>
  <c r="E21" i="10"/>
  <c r="G21" i="10"/>
  <c r="H21" i="10" s="1"/>
  <c r="K21" i="10"/>
  <c r="E22" i="10"/>
  <c r="G22" i="10"/>
  <c r="H22" i="10" s="1"/>
  <c r="K22" i="10"/>
  <c r="M22" i="10"/>
  <c r="E23" i="10"/>
  <c r="G23" i="10"/>
  <c r="H23" i="10" s="1"/>
  <c r="K23" i="10"/>
  <c r="E24" i="10"/>
  <c r="G24" i="10"/>
  <c r="H24" i="10" s="1"/>
  <c r="K24" i="10"/>
  <c r="E25" i="10"/>
  <c r="G25" i="10"/>
  <c r="H25" i="10" s="1"/>
  <c r="K25" i="10"/>
  <c r="E26" i="10"/>
  <c r="G26" i="10"/>
  <c r="H26" i="10" s="1"/>
  <c r="K26" i="10"/>
  <c r="M26" i="10"/>
  <c r="E27" i="10"/>
  <c r="G27" i="10"/>
  <c r="H27" i="10" s="1"/>
  <c r="K27" i="10"/>
  <c r="M27" i="10"/>
  <c r="E28" i="10"/>
  <c r="G28" i="10"/>
  <c r="H28" i="10" s="1"/>
  <c r="K28" i="10"/>
  <c r="E11" i="8"/>
  <c r="M6" i="14" l="1"/>
  <c r="M5" i="14"/>
  <c r="L30" i="11"/>
  <c r="L27" i="11"/>
  <c r="L26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28" i="11"/>
  <c r="L25" i="11"/>
  <c r="L29" i="11"/>
  <c r="L24" i="11"/>
  <c r="L7" i="11"/>
  <c r="M5" i="11" s="1"/>
  <c r="L6" i="11"/>
  <c r="M6" i="11" s="1"/>
  <c r="L24" i="10"/>
  <c r="M24" i="10" s="1"/>
  <c r="L17" i="10"/>
  <c r="M17" i="10" s="1"/>
  <c r="L9" i="10"/>
  <c r="M9" i="10" s="1"/>
  <c r="L25" i="10"/>
  <c r="M25" i="10" s="1"/>
  <c r="L20" i="10"/>
  <c r="L19" i="10"/>
  <c r="L11" i="10"/>
  <c r="L28" i="10"/>
  <c r="L26" i="10"/>
  <c r="L21" i="10"/>
  <c r="M21" i="10" s="1"/>
  <c r="L15" i="10"/>
  <c r="L14" i="10"/>
  <c r="L13" i="10"/>
  <c r="L12" i="10"/>
  <c r="L7" i="10"/>
  <c r="L6" i="10"/>
  <c r="L5" i="10"/>
  <c r="L18" i="10"/>
  <c r="L10" i="10"/>
  <c r="L27" i="10"/>
  <c r="L23" i="10"/>
  <c r="L22" i="10"/>
  <c r="L16" i="10"/>
  <c r="M16" i="10" s="1"/>
  <c r="L8" i="10"/>
  <c r="M8" i="10" s="1"/>
  <c r="D49" i="9"/>
  <c r="L32" i="10"/>
  <c r="M7" i="11" l="1"/>
  <c r="M11" i="10"/>
  <c r="M28" i="10"/>
  <c r="M7" i="10"/>
  <c r="M15" i="10"/>
  <c r="M23" i="10"/>
  <c r="M20" i="10"/>
  <c r="L35" i="14"/>
  <c r="L32" i="13"/>
  <c r="L31" i="12"/>
  <c r="L34" i="11"/>
  <c r="K31" i="14"/>
  <c r="G31" i="14"/>
  <c r="H31" i="14" s="1"/>
  <c r="E31" i="14"/>
  <c r="K30" i="14"/>
  <c r="G30" i="14"/>
  <c r="H30" i="14" s="1"/>
  <c r="E30" i="14"/>
  <c r="K29" i="14"/>
  <c r="G29" i="14"/>
  <c r="H29" i="14" s="1"/>
  <c r="E29" i="14"/>
  <c r="K28" i="14"/>
  <c r="G28" i="14"/>
  <c r="H28" i="14" s="1"/>
  <c r="E28" i="14"/>
  <c r="K27" i="14"/>
  <c r="G27" i="14"/>
  <c r="H27" i="14" s="1"/>
  <c r="E27" i="14"/>
  <c r="K26" i="14"/>
  <c r="G26" i="14"/>
  <c r="H26" i="14" s="1"/>
  <c r="E26" i="14"/>
  <c r="K25" i="14"/>
  <c r="G25" i="14"/>
  <c r="H25" i="14" s="1"/>
  <c r="E25" i="14"/>
  <c r="K24" i="14"/>
  <c r="G24" i="14"/>
  <c r="H24" i="14" s="1"/>
  <c r="E24" i="14"/>
  <c r="K23" i="14"/>
  <c r="G23" i="14"/>
  <c r="H23" i="14" s="1"/>
  <c r="E23" i="14"/>
  <c r="K22" i="14"/>
  <c r="G22" i="14"/>
  <c r="H22" i="14" s="1"/>
  <c r="E22" i="14"/>
  <c r="K21" i="14"/>
  <c r="G21" i="14"/>
  <c r="H21" i="14" s="1"/>
  <c r="E21" i="14"/>
  <c r="K20" i="14"/>
  <c r="G20" i="14"/>
  <c r="H20" i="14" s="1"/>
  <c r="E20" i="14"/>
  <c r="K19" i="14"/>
  <c r="G19" i="14"/>
  <c r="H19" i="14" s="1"/>
  <c r="E19" i="14"/>
  <c r="K18" i="14"/>
  <c r="G18" i="14"/>
  <c r="H18" i="14" s="1"/>
  <c r="E18" i="14"/>
  <c r="K17" i="14"/>
  <c r="G17" i="14"/>
  <c r="H17" i="14" s="1"/>
  <c r="E17" i="14"/>
  <c r="K16" i="14"/>
  <c r="G16" i="14"/>
  <c r="H16" i="14" s="1"/>
  <c r="E16" i="14"/>
  <c r="K15" i="14"/>
  <c r="G15" i="14"/>
  <c r="H15" i="14" s="1"/>
  <c r="E15" i="14"/>
  <c r="K14" i="14"/>
  <c r="G14" i="14"/>
  <c r="H14" i="14" s="1"/>
  <c r="E14" i="14"/>
  <c r="K13" i="14"/>
  <c r="G13" i="14"/>
  <c r="H13" i="14" s="1"/>
  <c r="E13" i="14"/>
  <c r="K12" i="14"/>
  <c r="G12" i="14"/>
  <c r="H12" i="14" s="1"/>
  <c r="E12" i="14"/>
  <c r="K11" i="14"/>
  <c r="G11" i="14"/>
  <c r="H11" i="14" s="1"/>
  <c r="E11" i="14"/>
  <c r="K10" i="14"/>
  <c r="G10" i="14"/>
  <c r="H10" i="14" s="1"/>
  <c r="E10" i="14"/>
  <c r="K9" i="14"/>
  <c r="G9" i="14"/>
  <c r="H9" i="14" s="1"/>
  <c r="E9" i="14"/>
  <c r="K8" i="14"/>
  <c r="G8" i="14"/>
  <c r="H8" i="14" s="1"/>
  <c r="E8" i="14"/>
  <c r="K7" i="14"/>
  <c r="G7" i="14"/>
  <c r="H7" i="14" s="1"/>
  <c r="E7" i="14"/>
  <c r="K28" i="13"/>
  <c r="G28" i="13"/>
  <c r="H28" i="13" s="1"/>
  <c r="E28" i="13"/>
  <c r="K27" i="13"/>
  <c r="G27" i="13"/>
  <c r="H27" i="13" s="1"/>
  <c r="E27" i="13"/>
  <c r="K26" i="13"/>
  <c r="G26" i="13"/>
  <c r="H26" i="13" s="1"/>
  <c r="E26" i="13"/>
  <c r="K25" i="13"/>
  <c r="G25" i="13"/>
  <c r="H25" i="13" s="1"/>
  <c r="E25" i="13"/>
  <c r="K24" i="13"/>
  <c r="G24" i="13"/>
  <c r="H24" i="13" s="1"/>
  <c r="E24" i="13"/>
  <c r="K23" i="13"/>
  <c r="G23" i="13"/>
  <c r="H23" i="13" s="1"/>
  <c r="E23" i="13"/>
  <c r="K22" i="13"/>
  <c r="G22" i="13"/>
  <c r="H22" i="13" s="1"/>
  <c r="E22" i="13"/>
  <c r="K21" i="13"/>
  <c r="G21" i="13"/>
  <c r="H21" i="13" s="1"/>
  <c r="E21" i="13"/>
  <c r="K20" i="13"/>
  <c r="G20" i="13"/>
  <c r="H20" i="13" s="1"/>
  <c r="E20" i="13"/>
  <c r="K19" i="13"/>
  <c r="G19" i="13"/>
  <c r="H19" i="13" s="1"/>
  <c r="E19" i="13"/>
  <c r="K18" i="13"/>
  <c r="G18" i="13"/>
  <c r="H18" i="13" s="1"/>
  <c r="E18" i="13"/>
  <c r="K17" i="13"/>
  <c r="G17" i="13"/>
  <c r="H17" i="13" s="1"/>
  <c r="E17" i="13"/>
  <c r="K16" i="13"/>
  <c r="G16" i="13"/>
  <c r="H16" i="13" s="1"/>
  <c r="E16" i="13"/>
  <c r="K15" i="13"/>
  <c r="G15" i="13"/>
  <c r="H15" i="13" s="1"/>
  <c r="E15" i="13"/>
  <c r="K14" i="13"/>
  <c r="G14" i="13"/>
  <c r="H14" i="13" s="1"/>
  <c r="E14" i="13"/>
  <c r="K13" i="13"/>
  <c r="G13" i="13"/>
  <c r="H13" i="13" s="1"/>
  <c r="E13" i="13"/>
  <c r="K12" i="13"/>
  <c r="G12" i="13"/>
  <c r="H12" i="13" s="1"/>
  <c r="E12" i="13"/>
  <c r="K11" i="13"/>
  <c r="G11" i="13"/>
  <c r="H11" i="13" s="1"/>
  <c r="E11" i="13"/>
  <c r="K10" i="13"/>
  <c r="G10" i="13"/>
  <c r="H10" i="13" s="1"/>
  <c r="E10" i="13"/>
  <c r="K9" i="13"/>
  <c r="G9" i="13"/>
  <c r="H9" i="13" s="1"/>
  <c r="E9" i="13"/>
  <c r="K8" i="13"/>
  <c r="G8" i="13"/>
  <c r="H8" i="13" s="1"/>
  <c r="E8" i="13"/>
  <c r="K7" i="13"/>
  <c r="G7" i="13"/>
  <c r="H7" i="13" s="1"/>
  <c r="E7" i="13"/>
  <c r="K6" i="13"/>
  <c r="G6" i="13"/>
  <c r="H6" i="13" s="1"/>
  <c r="E6" i="13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G5" i="12"/>
  <c r="H5" i="12" s="1"/>
  <c r="G6" i="12"/>
  <c r="H6" i="12" s="1"/>
  <c r="G7" i="12"/>
  <c r="H7" i="12" s="1"/>
  <c r="G8" i="12"/>
  <c r="H8" i="12" s="1"/>
  <c r="G9" i="12"/>
  <c r="H9" i="12" s="1"/>
  <c r="G10" i="12"/>
  <c r="H10" i="12" s="1"/>
  <c r="G11" i="12"/>
  <c r="H11" i="12" s="1"/>
  <c r="G12" i="12"/>
  <c r="H12" i="12" s="1"/>
  <c r="G13" i="12"/>
  <c r="H13" i="12" s="1"/>
  <c r="G14" i="12"/>
  <c r="H14" i="12" s="1"/>
  <c r="G15" i="12"/>
  <c r="H15" i="12" s="1"/>
  <c r="G16" i="12"/>
  <c r="H16" i="12" s="1"/>
  <c r="G17" i="12"/>
  <c r="H17" i="12" s="1"/>
  <c r="G18" i="12"/>
  <c r="H18" i="12" s="1"/>
  <c r="G19" i="12"/>
  <c r="H19" i="12" s="1"/>
  <c r="G20" i="12"/>
  <c r="H20" i="12" s="1"/>
  <c r="G21" i="12"/>
  <c r="H21" i="12" s="1"/>
  <c r="G22" i="12"/>
  <c r="H22" i="12" s="1"/>
  <c r="G23" i="12"/>
  <c r="H23" i="12" s="1"/>
  <c r="G24" i="12"/>
  <c r="H24" i="12" s="1"/>
  <c r="G25" i="12"/>
  <c r="H25" i="12" s="1"/>
  <c r="G26" i="12"/>
  <c r="H26" i="12" s="1"/>
  <c r="G27" i="12"/>
  <c r="H27" i="12" s="1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L30" i="13" l="1"/>
  <c r="L26" i="12"/>
  <c r="M26" i="12" s="1"/>
  <c r="L22" i="12"/>
  <c r="M22" i="12" s="1"/>
  <c r="L18" i="12"/>
  <c r="M18" i="12" s="1"/>
  <c r="L14" i="12"/>
  <c r="M14" i="12" s="1"/>
  <c r="L10" i="12"/>
  <c r="M10" i="12" s="1"/>
  <c r="L6" i="12"/>
  <c r="M6" i="12" s="1"/>
  <c r="L27" i="12"/>
  <c r="L23" i="12"/>
  <c r="M23" i="12" s="1"/>
  <c r="L19" i="12"/>
  <c r="M19" i="12" s="1"/>
  <c r="L15" i="12"/>
  <c r="M15" i="12" s="1"/>
  <c r="L11" i="12"/>
  <c r="M11" i="12" s="1"/>
  <c r="L7" i="12"/>
  <c r="M7" i="12" s="1"/>
  <c r="L16" i="14"/>
  <c r="M16" i="14" s="1"/>
  <c r="L17" i="14"/>
  <c r="M17" i="14" s="1"/>
  <c r="L18" i="14"/>
  <c r="M18" i="14" s="1"/>
  <c r="L30" i="14"/>
  <c r="M30" i="14" s="1"/>
  <c r="L31" i="14"/>
  <c r="L24" i="12"/>
  <c r="M24" i="12" s="1"/>
  <c r="L20" i="12"/>
  <c r="M20" i="12" s="1"/>
  <c r="L16" i="12"/>
  <c r="M16" i="12" s="1"/>
  <c r="L12" i="12"/>
  <c r="M12" i="12" s="1"/>
  <c r="L8" i="12"/>
  <c r="M8" i="12" s="1"/>
  <c r="L14" i="14"/>
  <c r="M14" i="14" s="1"/>
  <c r="L15" i="14"/>
  <c r="M15" i="14" s="1"/>
  <c r="L25" i="12"/>
  <c r="M25" i="12" s="1"/>
  <c r="L21" i="12"/>
  <c r="M21" i="12" s="1"/>
  <c r="L17" i="12"/>
  <c r="M17" i="12" s="1"/>
  <c r="L13" i="12"/>
  <c r="M13" i="12" s="1"/>
  <c r="L9" i="12"/>
  <c r="M9" i="12" s="1"/>
  <c r="L5" i="12"/>
  <c r="M5" i="12" s="1"/>
  <c r="L29" i="12"/>
  <c r="D25" i="9"/>
  <c r="L6" i="13"/>
  <c r="M6" i="13" s="1"/>
  <c r="L7" i="13"/>
  <c r="M7" i="13" s="1"/>
  <c r="L8" i="13"/>
  <c r="M8" i="13" s="1"/>
  <c r="L9" i="13"/>
  <c r="M9" i="13" s="1"/>
  <c r="L10" i="13"/>
  <c r="M10" i="13" s="1"/>
  <c r="L11" i="13"/>
  <c r="M11" i="13" s="1"/>
  <c r="L12" i="13"/>
  <c r="M12" i="13" s="1"/>
  <c r="L13" i="13"/>
  <c r="M13" i="13" s="1"/>
  <c r="L14" i="13"/>
  <c r="M14" i="13" s="1"/>
  <c r="L15" i="13"/>
  <c r="M15" i="13" s="1"/>
  <c r="L16" i="13"/>
  <c r="M16" i="13" s="1"/>
  <c r="L17" i="13"/>
  <c r="M17" i="13" s="1"/>
  <c r="L18" i="13"/>
  <c r="M18" i="13" s="1"/>
  <c r="L19" i="13"/>
  <c r="M19" i="13" s="1"/>
  <c r="L20" i="13"/>
  <c r="M20" i="13" s="1"/>
  <c r="L21" i="13"/>
  <c r="M21" i="13" s="1"/>
  <c r="L22" i="13"/>
  <c r="M22" i="13" s="1"/>
  <c r="L23" i="13"/>
  <c r="M23" i="13" s="1"/>
  <c r="L24" i="13"/>
  <c r="M24" i="13" s="1"/>
  <c r="L25" i="13"/>
  <c r="M25" i="13" s="1"/>
  <c r="L26" i="13"/>
  <c r="M26" i="13" s="1"/>
  <c r="L27" i="13"/>
  <c r="M27" i="13" s="1"/>
  <c r="L28" i="13"/>
  <c r="M28" i="13" s="1"/>
  <c r="L7" i="14"/>
  <c r="M7" i="14" s="1"/>
  <c r="L8" i="14"/>
  <c r="M8" i="14" s="1"/>
  <c r="L9" i="14"/>
  <c r="M9" i="14" s="1"/>
  <c r="L10" i="14"/>
  <c r="M10" i="14" s="1"/>
  <c r="L22" i="14"/>
  <c r="M22" i="14" s="1"/>
  <c r="L23" i="14"/>
  <c r="M23" i="14" s="1"/>
  <c r="L24" i="14"/>
  <c r="M24" i="14" s="1"/>
  <c r="L25" i="14"/>
  <c r="M25" i="14" s="1"/>
  <c r="L26" i="14"/>
  <c r="M26" i="14" s="1"/>
  <c r="L11" i="14"/>
  <c r="M11" i="14" s="1"/>
  <c r="L19" i="14"/>
  <c r="M19" i="14" s="1"/>
  <c r="L27" i="14"/>
  <c r="M27" i="14" s="1"/>
  <c r="L12" i="14"/>
  <c r="M12" i="14" s="1"/>
  <c r="L13" i="14"/>
  <c r="M13" i="14" s="1"/>
  <c r="L20" i="14"/>
  <c r="M20" i="14" s="1"/>
  <c r="L21" i="14"/>
  <c r="M21" i="14" s="1"/>
  <c r="L28" i="14"/>
  <c r="M28" i="14" s="1"/>
  <c r="L29" i="14"/>
  <c r="M29" i="14" s="1"/>
  <c r="L33" i="14"/>
  <c r="D52" i="9"/>
  <c r="L32" i="11"/>
  <c r="L30" i="10"/>
  <c r="M31" i="14" l="1"/>
  <c r="M27" i="12"/>
  <c r="L30" i="12"/>
  <c r="D12" i="9" s="1"/>
  <c r="D27" i="9"/>
  <c r="L34" i="14"/>
  <c r="D14" i="9" s="1"/>
  <c r="L31" i="13"/>
  <c r="D13" i="9" s="1"/>
  <c r="D51" i="9"/>
  <c r="L33" i="11"/>
  <c r="D11" i="9" s="1"/>
  <c r="D50" i="9"/>
  <c r="L31" i="10"/>
  <c r="D10" i="9" l="1"/>
  <c r="D16" i="9" s="1"/>
  <c r="D29" i="9"/>
  <c r="D53" i="9"/>
  <c r="D26" i="9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G5" i="6"/>
  <c r="I5" i="6" s="1"/>
  <c r="G6" i="6"/>
  <c r="I6" i="6" s="1"/>
  <c r="G7" i="6"/>
  <c r="I7" i="6" s="1"/>
  <c r="G8" i="6"/>
  <c r="I8" i="6" s="1"/>
  <c r="G9" i="6"/>
  <c r="I9" i="6" s="1"/>
  <c r="G10" i="6"/>
  <c r="I10" i="6" s="1"/>
  <c r="G11" i="6"/>
  <c r="I11" i="6" s="1"/>
  <c r="G12" i="6"/>
  <c r="I12" i="6" s="1"/>
  <c r="G13" i="6"/>
  <c r="I13" i="6" s="1"/>
  <c r="G14" i="6"/>
  <c r="I14" i="6" s="1"/>
  <c r="G15" i="6"/>
  <c r="I15" i="6" s="1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I22" i="6" s="1"/>
  <c r="G23" i="6"/>
  <c r="I23" i="6" s="1"/>
  <c r="G24" i="6"/>
  <c r="I24" i="6" s="1"/>
  <c r="G25" i="6"/>
  <c r="I25" i="6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5" i="7"/>
  <c r="F25" i="7" l="1"/>
  <c r="C17" i="7"/>
  <c r="F17" i="7"/>
  <c r="C5" i="7"/>
  <c r="F5" i="7"/>
  <c r="C21" i="7"/>
  <c r="F21" i="7"/>
  <c r="C13" i="7"/>
  <c r="F13" i="7"/>
  <c r="F9" i="7"/>
  <c r="F28" i="7"/>
  <c r="E20" i="7"/>
  <c r="F20" i="7"/>
  <c r="C16" i="7"/>
  <c r="F16" i="7"/>
  <c r="C8" i="7"/>
  <c r="F8" i="7"/>
  <c r="E27" i="7"/>
  <c r="F27" i="7"/>
  <c r="F23" i="7"/>
  <c r="E19" i="7"/>
  <c r="F19" i="7"/>
  <c r="C15" i="7"/>
  <c r="F15" i="7"/>
  <c r="E11" i="7"/>
  <c r="F11" i="7"/>
  <c r="C7" i="7"/>
  <c r="F7" i="7"/>
  <c r="F24" i="7"/>
  <c r="E12" i="7"/>
  <c r="F12" i="7"/>
  <c r="F26" i="7"/>
  <c r="F22" i="7"/>
  <c r="C18" i="7"/>
  <c r="F18" i="7"/>
  <c r="C14" i="7"/>
  <c r="F14" i="7"/>
  <c r="F10" i="7"/>
  <c r="C6" i="7"/>
  <c r="F6" i="7"/>
  <c r="C20" i="7"/>
  <c r="C12" i="7"/>
  <c r="E16" i="7"/>
  <c r="E28" i="7"/>
  <c r="E24" i="7"/>
  <c r="E8" i="7"/>
  <c r="C19" i="7"/>
  <c r="E23" i="7"/>
  <c r="E15" i="7"/>
  <c r="E7" i="7"/>
  <c r="E26" i="7"/>
  <c r="E22" i="7"/>
  <c r="E18" i="7"/>
  <c r="E14" i="7"/>
  <c r="E10" i="7"/>
  <c r="E6" i="7"/>
  <c r="E25" i="7"/>
  <c r="E21" i="7"/>
  <c r="E17" i="7"/>
  <c r="E13" i="7"/>
  <c r="E9" i="7"/>
  <c r="E5" i="7"/>
  <c r="I27" i="6"/>
  <c r="G5" i="7" l="1"/>
  <c r="H5" i="7" s="1"/>
  <c r="G21" i="7"/>
  <c r="H21" i="7" s="1"/>
  <c r="G7" i="7"/>
  <c r="H7" i="7" s="1"/>
  <c r="G14" i="7"/>
  <c r="H14" i="7" s="1"/>
  <c r="G28" i="7"/>
  <c r="H28" i="7" s="1"/>
  <c r="G13" i="7"/>
  <c r="H13" i="7" s="1"/>
  <c r="G25" i="7"/>
  <c r="H25" i="7" s="1"/>
  <c r="G9" i="7"/>
  <c r="H9" i="7" s="1"/>
  <c r="G18" i="7"/>
  <c r="H18" i="7" s="1"/>
  <c r="G15" i="7"/>
  <c r="H15" i="7" s="1"/>
  <c r="G16" i="7"/>
  <c r="H16" i="7" s="1"/>
  <c r="G12" i="7"/>
  <c r="H12" i="7" s="1"/>
  <c r="G20" i="7"/>
  <c r="H20" i="7" s="1"/>
  <c r="G22" i="7"/>
  <c r="H22" i="7" s="1"/>
  <c r="G6" i="7"/>
  <c r="H6" i="7" s="1"/>
  <c r="G23" i="7"/>
  <c r="H23" i="7" s="1"/>
  <c r="G8" i="7"/>
  <c r="H8" i="7" s="1"/>
  <c r="G17" i="7"/>
  <c r="H17" i="7" s="1"/>
  <c r="G10" i="7"/>
  <c r="H10" i="7" s="1"/>
  <c r="G26" i="7"/>
  <c r="H26" i="7" s="1"/>
  <c r="G24" i="7"/>
  <c r="H24" i="7" s="1"/>
  <c r="G11" i="7"/>
  <c r="H11" i="7" s="1"/>
  <c r="G19" i="7"/>
  <c r="H19" i="7" s="1"/>
  <c r="G27" i="7"/>
  <c r="H27" i="7" s="1"/>
  <c r="G32" i="2"/>
  <c r="G21" i="2"/>
  <c r="G14" i="2"/>
  <c r="G6" i="2" l="1"/>
  <c r="G31" i="2" s="1"/>
  <c r="G33" i="2" l="1"/>
</calcChain>
</file>

<file path=xl/sharedStrings.xml><?xml version="1.0" encoding="utf-8"?>
<sst xmlns="http://schemas.openxmlformats.org/spreadsheetml/2006/main" count="384" uniqueCount="155">
  <si>
    <t>Resultados</t>
  </si>
  <si>
    <t>Manutenção de Equipamentos</t>
  </si>
  <si>
    <t>Funcionários</t>
  </si>
  <si>
    <t>Impostos</t>
  </si>
  <si>
    <t>Limpeza</t>
  </si>
  <si>
    <t>Aluguel Loja</t>
  </si>
  <si>
    <t>Seguros</t>
  </si>
  <si>
    <t>Outros</t>
  </si>
  <si>
    <t>Vendas</t>
  </si>
  <si>
    <t>Receita Líquida</t>
  </si>
  <si>
    <t>Salários</t>
  </si>
  <si>
    <t>Vales (Refeição, Transporte)</t>
  </si>
  <si>
    <t>Escritório Advocacia</t>
  </si>
  <si>
    <t>Entregas</t>
  </si>
  <si>
    <t>Bonificações</t>
  </si>
  <si>
    <t>Marketing</t>
  </si>
  <si>
    <t>Informática</t>
  </si>
  <si>
    <t>Escritório Contábil</t>
  </si>
  <si>
    <t>Investimentos</t>
  </si>
  <si>
    <t>Controle de Estoque</t>
  </si>
  <si>
    <t>Arroz</t>
  </si>
  <si>
    <t>Feijão</t>
  </si>
  <si>
    <t>Tomate</t>
  </si>
  <si>
    <t>Alface</t>
  </si>
  <si>
    <t>Carne</t>
  </si>
  <si>
    <t>Frango</t>
  </si>
  <si>
    <t>Queijo</t>
  </si>
  <si>
    <t>Peixe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</si>
  <si>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</si>
  <si>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</si>
  <si>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</si>
  <si>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</si>
  <si>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</si>
  <si>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</si>
  <si>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</si>
  <si>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</si>
  <si>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Investimento Inicial</t>
  </si>
  <si>
    <t>Caixa de Fósforo</t>
  </si>
  <si>
    <t>Bala</t>
  </si>
  <si>
    <t>Chocolate</t>
  </si>
  <si>
    <t>Cigarro</t>
  </si>
  <si>
    <t>Barra de Cereal</t>
  </si>
  <si>
    <t>Despesas Funcionamento</t>
  </si>
  <si>
    <t>Serviços Terceirizados</t>
  </si>
  <si>
    <t>Água</t>
  </si>
  <si>
    <t>Energia</t>
  </si>
  <si>
    <t>Gás</t>
  </si>
  <si>
    <t>Telefone</t>
  </si>
  <si>
    <t>Valor Intermediário</t>
  </si>
  <si>
    <t>Valor Final</t>
  </si>
  <si>
    <t>Total de Despesas Fixas</t>
  </si>
  <si>
    <t>Compra de Mercadorias</t>
  </si>
  <si>
    <t>Total de Despesas</t>
  </si>
  <si>
    <t>Itens Despesas</t>
  </si>
  <si>
    <t>Férias, Licença Maternidade</t>
  </si>
  <si>
    <t>Mercadoria</t>
  </si>
  <si>
    <t>Quantidade</t>
  </si>
  <si>
    <t>Preço Unitário</t>
  </si>
  <si>
    <t>Desconto</t>
  </si>
  <si>
    <t>Produtos</t>
  </si>
  <si>
    <t>Id da Venda</t>
  </si>
  <si>
    <t>SubTotal</t>
  </si>
  <si>
    <t>Total</t>
  </si>
  <si>
    <t>Entrega</t>
  </si>
  <si>
    <t>Data</t>
  </si>
  <si>
    <t>Fornecedor</t>
  </si>
  <si>
    <t>Fornecedor de Verduras</t>
  </si>
  <si>
    <t>Fornecedor de Legumes</t>
  </si>
  <si>
    <t>Fornecedor de Carne</t>
  </si>
  <si>
    <t>Fornecedor de Bebidas</t>
  </si>
  <si>
    <t>Fornecedor de Cigarro</t>
  </si>
  <si>
    <t>Fornecedor de Grãos e Sementes</t>
  </si>
  <si>
    <t>Padaria</t>
  </si>
  <si>
    <t>Fornecedor de Doces</t>
  </si>
  <si>
    <t>Fornecedor de Frango</t>
  </si>
  <si>
    <t>Fornecedor de Peixe</t>
  </si>
  <si>
    <t>Preço de Compra Unitário</t>
  </si>
  <si>
    <t>Preço de Venda Unitário</t>
  </si>
  <si>
    <t>Unidade</t>
  </si>
  <si>
    <t>Kg</t>
  </si>
  <si>
    <t>Pacote</t>
  </si>
  <si>
    <t>Lata</t>
  </si>
  <si>
    <t>Barra</t>
  </si>
  <si>
    <t>Litro</t>
  </si>
  <si>
    <t>Garrafa</t>
  </si>
  <si>
    <t>Preço Pago</t>
  </si>
  <si>
    <t>Maço</t>
  </si>
  <si>
    <t>Refrigerante</t>
  </si>
  <si>
    <t>Pão de Forma</t>
  </si>
  <si>
    <t>Leite</t>
  </si>
  <si>
    <t>Medida</t>
  </si>
  <si>
    <t>Produto</t>
  </si>
  <si>
    <t>Quantidade Atual</t>
  </si>
  <si>
    <t>Data da última compra</t>
  </si>
  <si>
    <t>Quantidade Comprada</t>
  </si>
  <si>
    <t>Quantidade Vendida</t>
  </si>
  <si>
    <t>Quantidade Inicial</t>
  </si>
  <si>
    <t>Situação</t>
  </si>
  <si>
    <t>Regiões de Entrega</t>
  </si>
  <si>
    <t>Zona Norte</t>
  </si>
  <si>
    <t>Centro</t>
  </si>
  <si>
    <t>Zona Oeste</t>
  </si>
  <si>
    <t>Zona Sul</t>
  </si>
  <si>
    <t>Preço</t>
  </si>
  <si>
    <t>Loja</t>
  </si>
  <si>
    <t>Valor da Entrega</t>
  </si>
  <si>
    <t>Data da Venda</t>
  </si>
  <si>
    <t>Total Entregas</t>
  </si>
  <si>
    <t>Total Cliente</t>
  </si>
  <si>
    <t>Total venda Semana 1</t>
  </si>
  <si>
    <t>Total venda Semana 2</t>
  </si>
  <si>
    <t>Total venda Semana 3</t>
  </si>
  <si>
    <t>Total venda Semana 4</t>
  </si>
  <si>
    <t>Total venda Semana 5</t>
  </si>
  <si>
    <t>Ticket Médio</t>
  </si>
  <si>
    <t>Divisão de Clientes por Região</t>
  </si>
  <si>
    <t>Agosto</t>
  </si>
  <si>
    <t>Vendas por Entrega (%)</t>
  </si>
  <si>
    <t>Vendas por Entrega ($)</t>
  </si>
  <si>
    <t>Receita de Entregas ($)</t>
  </si>
  <si>
    <t>Total Vendas na Semana</t>
  </si>
  <si>
    <t>Número de Vendas na Semana</t>
  </si>
  <si>
    <t>Observação</t>
  </si>
  <si>
    <t>Investimento</t>
  </si>
  <si>
    <t>Valor</t>
  </si>
  <si>
    <t>Descrição</t>
  </si>
  <si>
    <t>Equipamentos</t>
  </si>
  <si>
    <t>Estrutura</t>
  </si>
  <si>
    <t>Total de Receitas</t>
  </si>
  <si>
    <t>Receita Mercadorias</t>
  </si>
  <si>
    <t>Receita Entregas</t>
  </si>
  <si>
    <t>Depreciação e Amortização</t>
  </si>
  <si>
    <t>Imposto</t>
  </si>
  <si>
    <t>Custo Mercadorias Vendidas</t>
  </si>
  <si>
    <t>Resultado Bruto</t>
  </si>
  <si>
    <t>Resultado Líquido</t>
  </si>
  <si>
    <t>Resultado antes de Imposto</t>
  </si>
  <si>
    <t>Imposto sobre Receita</t>
  </si>
  <si>
    <t>Despesas Fixas</t>
  </si>
  <si>
    <t>Controle de Mercadorias</t>
  </si>
  <si>
    <t>Documentação, Sistema de Informação, Estrutura Inicial, Sistema de Refrigeração, Equipamentos.</t>
  </si>
  <si>
    <t>Total de Investimento</t>
  </si>
  <si>
    <t>Nº de Clientes</t>
  </si>
  <si>
    <t>Serviços de Entrega e Ticket Médio</t>
  </si>
  <si>
    <t>Semana 1</t>
  </si>
  <si>
    <t>Semana 2</t>
  </si>
  <si>
    <t>Semana 4</t>
  </si>
  <si>
    <t>Semana 3</t>
  </si>
  <si>
    <t>Semana 5</t>
  </si>
  <si>
    <t>Rótulos de Linha</t>
  </si>
  <si>
    <t>Total Geral</t>
  </si>
  <si>
    <t>Soma de Total</t>
  </si>
  <si>
    <t>Soma de Valor da Entrega</t>
  </si>
  <si>
    <t>Soma de Quantidade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</si>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</sst>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theme="8" tint="-0.499984740745262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5">
    <xf numFmtId="0" fontId="0" fillId="0" borderId="0" xfId="0"/>
    <xf numFmtId="44" fontId="0" fillId="0" borderId="0" xfId="1" applyFont="1"/>
    <xf numFmtId="14" fontId="0" fillId="0" borderId="0" xfId="0" applyNumberFormat="1"/>
    <xf numFmtId="9" fontId="0" fillId="0" borderId="0" xfId="2" applyFont="1"/>
    <xf numFmtId="0" fontId="0" fillId="0" borderId="0" xfId="1" applyNumberFormat="1" applyFont="1"/>
    <xf numFmtId="0" fontId="3" fillId="0" borderId="0" xfId="0" applyFont="1"/>
    <xf numFmtId="0" fontId="5" fillId="0" borderId="0" xfId="0" applyFont="1"/>
    <xf numFmtId="44" fontId="5" fillId="0" borderId="0" xfId="1" applyFont="1"/>
    <xf numFmtId="0" fontId="5" fillId="0" borderId="2" xfId="0" applyFont="1" applyBorder="1"/>
    <xf numFmtId="44" fontId="5" fillId="0" borderId="2" xfId="1" applyFont="1" applyBorder="1"/>
    <xf numFmtId="0" fontId="5" fillId="0" borderId="3" xfId="0" applyFont="1" applyBorder="1"/>
    <xf numFmtId="44" fontId="5" fillId="0" borderId="3" xfId="1" applyFont="1" applyBorder="1"/>
    <xf numFmtId="0" fontId="5" fillId="0" borderId="4" xfId="0" applyFont="1" applyBorder="1"/>
    <xf numFmtId="44" fontId="5" fillId="0" borderId="4" xfId="1" applyFont="1" applyBorder="1"/>
    <xf numFmtId="0" fontId="0" fillId="2" borderId="0" xfId="0" applyFill="1"/>
    <xf numFmtId="0" fontId="6" fillId="3" borderId="0" xfId="0" applyFont="1" applyFill="1" applyAlignment="1">
      <alignment vertical="center"/>
    </xf>
    <xf numFmtId="0" fontId="0" fillId="3" borderId="0" xfId="0" applyFill="1"/>
    <xf numFmtId="0" fontId="7" fillId="0" borderId="5" xfId="0" applyFont="1" applyBorder="1"/>
    <xf numFmtId="44" fontId="7" fillId="0" borderId="5" xfId="1" applyFont="1" applyBorder="1" applyAlignment="1"/>
    <xf numFmtId="0" fontId="7" fillId="0" borderId="6" xfId="0" applyFont="1" applyBorder="1"/>
    <xf numFmtId="44" fontId="7" fillId="0" borderId="6" xfId="1" applyFont="1" applyBorder="1" applyAlignment="1"/>
    <xf numFmtId="44" fontId="7" fillId="0" borderId="6" xfId="0" applyNumberFormat="1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7" xfId="0" applyBorder="1"/>
    <xf numFmtId="44" fontId="0" fillId="0" borderId="7" xfId="1" applyFont="1" applyBorder="1"/>
    <xf numFmtId="44" fontId="0" fillId="0" borderId="12" xfId="1" applyFont="1" applyBorder="1"/>
    <xf numFmtId="44" fontId="3" fillId="0" borderId="7" xfId="1" applyFont="1" applyBorder="1"/>
    <xf numFmtId="0" fontId="3" fillId="0" borderId="7" xfId="0" applyFont="1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13" xfId="0" applyBorder="1"/>
    <xf numFmtId="0" fontId="3" fillId="0" borderId="14" xfId="0" applyFont="1" applyBorder="1"/>
    <xf numFmtId="0" fontId="0" fillId="0" borderId="14" xfId="0" applyBorder="1"/>
    <xf numFmtId="44" fontId="3" fillId="0" borderId="14" xfId="1" applyFont="1" applyBorder="1"/>
    <xf numFmtId="44" fontId="0" fillId="0" borderId="15" xfId="1" applyFont="1" applyBorder="1"/>
    <xf numFmtId="0" fontId="8" fillId="4" borderId="0" xfId="0" applyFont="1" applyFill="1"/>
    <xf numFmtId="0" fontId="6" fillId="5" borderId="0" xfId="0" applyFont="1" applyFill="1"/>
    <xf numFmtId="0" fontId="6" fillId="5" borderId="0" xfId="0" applyFont="1" applyFill="1" applyAlignment="1">
      <alignment vertical="center"/>
    </xf>
    <xf numFmtId="0" fontId="0" fillId="5" borderId="0" xfId="0" applyFill="1"/>
    <xf numFmtId="0" fontId="9" fillId="0" borderId="5" xfId="0" applyFont="1" applyBorder="1"/>
    <xf numFmtId="44" fontId="9" fillId="0" borderId="5" xfId="1" applyFont="1" applyBorder="1" applyAlignment="1"/>
    <xf numFmtId="44" fontId="9" fillId="0" borderId="5" xfId="1" applyFont="1" applyBorder="1"/>
    <xf numFmtId="0" fontId="0" fillId="6" borderId="0" xfId="0" applyFill="1"/>
    <xf numFmtId="0" fontId="6" fillId="6" borderId="0" xfId="0" applyFont="1" applyFill="1" applyAlignment="1">
      <alignment vertical="center"/>
    </xf>
    <xf numFmtId="0" fontId="0" fillId="7" borderId="0" xfId="0" applyFill="1"/>
    <xf numFmtId="0" fontId="10" fillId="0" borderId="0" xfId="0" applyFont="1"/>
    <xf numFmtId="0" fontId="0" fillId="0" borderId="0" xfId="0" applyAlignment="1">
      <alignment vertical="top"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11" fillId="0" borderId="1" xfId="0" applyFont="1" applyBorder="1"/>
    <xf numFmtId="0" fontId="10" fillId="0" borderId="1" xfId="0" applyFont="1" applyBorder="1"/>
    <xf numFmtId="44" fontId="11" fillId="0" borderId="1" xfId="1" applyFont="1" applyBorder="1"/>
    <xf numFmtId="0" fontId="6" fillId="8" borderId="0" xfId="0" applyFont="1" applyFill="1"/>
    <xf numFmtId="0" fontId="6" fillId="8" borderId="0" xfId="0" applyFont="1" applyFill="1" applyAlignment="1">
      <alignment vertical="center"/>
    </xf>
    <xf numFmtId="0" fontId="0" fillId="8" borderId="0" xfId="0" applyFill="1"/>
    <xf numFmtId="0" fontId="0" fillId="9" borderId="0" xfId="0" applyFill="1"/>
    <xf numFmtId="0" fontId="6" fillId="10" borderId="0" xfId="0" applyFont="1" applyFill="1"/>
    <xf numFmtId="0" fontId="6" fillId="10" borderId="0" xfId="0" applyFont="1" applyFill="1" applyAlignment="1">
      <alignment vertical="center"/>
    </xf>
    <xf numFmtId="0" fontId="0" fillId="10" borderId="0" xfId="0" applyFill="1"/>
    <xf numFmtId="44" fontId="5" fillId="0" borderId="0" xfId="1" applyFont="1" applyBorder="1"/>
    <xf numFmtId="0" fontId="12" fillId="0" borderId="0" xfId="0" applyFont="1"/>
    <xf numFmtId="0" fontId="2" fillId="10" borderId="0" xfId="0" applyFont="1" applyFill="1" applyAlignment="1">
      <alignment horizontal="center" vertical="center"/>
    </xf>
    <xf numFmtId="0" fontId="0" fillId="11" borderId="0" xfId="0" applyFill="1"/>
    <xf numFmtId="0" fontId="6" fillId="12" borderId="0" xfId="0" applyFont="1" applyFill="1"/>
    <xf numFmtId="0" fontId="6" fillId="12" borderId="0" xfId="0" applyFont="1" applyFill="1" applyAlignment="1">
      <alignment vertical="center"/>
    </xf>
    <xf numFmtId="0" fontId="0" fillId="12" borderId="0" xfId="0" applyFill="1"/>
    <xf numFmtId="0" fontId="6" fillId="12" borderId="5" xfId="0" applyFont="1" applyFill="1" applyBorder="1" applyAlignment="1">
      <alignment vertical="center"/>
    </xf>
    <xf numFmtId="0" fontId="4" fillId="0" borderId="0" xfId="0" applyFont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5" xfId="0" applyBorder="1"/>
    <xf numFmtId="0" fontId="0" fillId="0" borderId="25" xfId="0" applyBorder="1"/>
    <xf numFmtId="0" fontId="2" fillId="12" borderId="18" xfId="0" applyFont="1" applyFill="1" applyBorder="1" applyAlignment="1">
      <alignment horizontal="right"/>
    </xf>
    <xf numFmtId="0" fontId="2" fillId="12" borderId="17" xfId="0" applyFont="1" applyFill="1" applyBorder="1" applyAlignment="1">
      <alignment horizontal="right"/>
    </xf>
    <xf numFmtId="0" fontId="4" fillId="0" borderId="26" xfId="0" applyFont="1" applyBorder="1"/>
    <xf numFmtId="44" fontId="4" fillId="0" borderId="27" xfId="0" applyNumberFormat="1" applyFont="1" applyBorder="1"/>
    <xf numFmtId="0" fontId="4" fillId="0" borderId="28" xfId="0" applyFont="1" applyBorder="1"/>
    <xf numFmtId="44" fontId="4" fillId="0" borderId="29" xfId="0" applyNumberFormat="1" applyFont="1" applyBorder="1"/>
    <xf numFmtId="0" fontId="4" fillId="0" borderId="30" xfId="0" applyFont="1" applyBorder="1"/>
    <xf numFmtId="44" fontId="4" fillId="0" borderId="31" xfId="0" applyNumberFormat="1" applyFont="1" applyBorder="1"/>
    <xf numFmtId="44" fontId="13" fillId="0" borderId="16" xfId="0" applyNumberFormat="1" applyFont="1" applyBorder="1"/>
    <xf numFmtId="0" fontId="15" fillId="12" borderId="18" xfId="0" applyFont="1" applyFill="1" applyBorder="1"/>
    <xf numFmtId="44" fontId="0" fillId="0" borderId="0" xfId="0" applyNumberFormat="1"/>
    <xf numFmtId="0" fontId="4" fillId="0" borderId="7" xfId="0" applyFont="1" applyBorder="1"/>
    <xf numFmtId="0" fontId="15" fillId="12" borderId="7" xfId="0" applyFont="1" applyFill="1" applyBorder="1"/>
    <xf numFmtId="0" fontId="13" fillId="13" borderId="0" xfId="0" applyFont="1" applyFill="1"/>
    <xf numFmtId="44" fontId="13" fillId="13" borderId="0" xfId="0" applyNumberFormat="1" applyFont="1" applyFill="1"/>
    <xf numFmtId="9" fontId="4" fillId="0" borderId="7" xfId="2" applyFont="1" applyBorder="1"/>
    <xf numFmtId="44" fontId="4" fillId="0" borderId="7" xfId="0" applyNumberFormat="1" applyFont="1" applyBorder="1"/>
    <xf numFmtId="0" fontId="16" fillId="12" borderId="16" xfId="0" applyFont="1" applyFill="1" applyBorder="1" applyAlignment="1">
      <alignment horizontal="right"/>
    </xf>
    <xf numFmtId="0" fontId="2" fillId="12" borderId="0" xfId="0" applyFont="1" applyFill="1" applyAlignment="1">
      <alignment horizontal="center" vertical="center"/>
    </xf>
    <xf numFmtId="0" fontId="14" fillId="0" borderId="0" xfId="0" applyFont="1"/>
    <xf numFmtId="0" fontId="14" fillId="0" borderId="5" xfId="0" applyFont="1" applyBorder="1"/>
    <xf numFmtId="44" fontId="14" fillId="0" borderId="5" xfId="1" applyFont="1" applyBorder="1" applyAlignment="1"/>
    <xf numFmtId="44" fontId="14" fillId="0" borderId="5" xfId="1" applyFont="1" applyBorder="1"/>
    <xf numFmtId="0" fontId="14" fillId="0" borderId="0" xfId="1" applyNumberFormat="1" applyFont="1" applyBorder="1"/>
    <xf numFmtId="0" fontId="14" fillId="0" borderId="6" xfId="0" applyFont="1" applyBorder="1"/>
    <xf numFmtId="0" fontId="0" fillId="0" borderId="6" xfId="0" applyBorder="1"/>
    <xf numFmtId="44" fontId="14" fillId="0" borderId="6" xfId="1" applyFont="1" applyBorder="1"/>
    <xf numFmtId="9" fontId="0" fillId="0" borderId="7" xfId="2" applyFont="1" applyBorder="1"/>
    <xf numFmtId="14" fontId="0" fillId="0" borderId="14" xfId="0" applyNumberFormat="1" applyBorder="1"/>
    <xf numFmtId="44" fontId="0" fillId="0" borderId="14" xfId="1" applyFont="1" applyBorder="1"/>
    <xf numFmtId="9" fontId="0" fillId="0" borderId="14" xfId="2" applyFont="1" applyBorder="1"/>
    <xf numFmtId="0" fontId="5" fillId="0" borderId="12" xfId="0" applyFont="1" applyBorder="1"/>
    <xf numFmtId="0" fontId="5" fillId="0" borderId="32" xfId="0" applyFont="1" applyBorder="1"/>
    <xf numFmtId="44" fontId="5" fillId="0" borderId="11" xfId="1" applyFont="1" applyBorder="1"/>
    <xf numFmtId="0" fontId="5" fillId="0" borderId="5" xfId="0" applyFont="1" applyBorder="1"/>
    <xf numFmtId="44" fontId="5" fillId="0" borderId="5" xfId="1" applyFont="1" applyBorder="1"/>
    <xf numFmtId="0" fontId="17" fillId="14" borderId="7" xfId="0" applyFont="1" applyFill="1" applyBorder="1"/>
    <xf numFmtId="0" fontId="5" fillId="15" borderId="5" xfId="0" applyFont="1" applyFill="1" applyBorder="1"/>
    <xf numFmtId="44" fontId="5" fillId="15" borderId="5" xfId="0" applyNumberFormat="1" applyFont="1" applyFill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15" fillId="12" borderId="7" xfId="0" applyFont="1" applyFill="1" applyBorder="1" applyAlignment="1">
      <alignment horizontal="center"/>
    </xf>
    <xf numFmtId="0" fontId="18" fillId="0" borderId="0" xfId="0" applyFont="1"/>
  </cellXfs>
  <cellStyles count="3">
    <cellStyle name="Moeda" xfId="1" builtinId="4"/>
    <cellStyle name="Normal" xfId="0" builtinId="0"/>
    <cellStyle name="Porcentagem" xfId="2" builtinId="5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9"/>
      </font>
      <fill>
        <patternFill>
          <bgColor theme="9" tint="0.79998168889431442"/>
        </patternFill>
      </fill>
    </dxf>
    <dxf>
      <font>
        <color rgb="FFFF5050"/>
      </font>
      <fill>
        <patternFill>
          <bgColor theme="5" tint="0.79998168889431442"/>
        </patternFill>
      </fill>
    </dxf>
    <dxf>
      <font>
        <color rgb="FFFF5050"/>
      </font>
      <fill>
        <patternFill>
          <bgColor theme="5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/>
      </font>
    </dxf>
    <dxf>
      <font>
        <color theme="0"/>
      </font>
      <fill>
        <patternFill>
          <bgColor theme="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456758530183728"/>
          <c:y val="0.18560185185185185"/>
          <c:w val="0.81543241469816274"/>
          <c:h val="0.67003098571011954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dk1">
                    <a:tint val="8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Vendas!$C$10:$C$14</c:f>
              <c:strCache>
                <c:ptCount val="5"/>
                <c:pt idx="0">
                  <c:v>Total venda Semana 1</c:v>
                </c:pt>
                <c:pt idx="1">
                  <c:v>Total venda Semana 2</c:v>
                </c:pt>
                <c:pt idx="2">
                  <c:v>Total venda Semana 3</c:v>
                </c:pt>
                <c:pt idx="3">
                  <c:v>Total venda Semana 4</c:v>
                </c:pt>
                <c:pt idx="4">
                  <c:v>Total venda Semana 5</c:v>
                </c:pt>
              </c:strCache>
            </c:strRef>
          </c:cat>
          <c:val>
            <c:numRef>
              <c:f>Vendas!$D$10:$D$14</c:f>
              <c:numCache>
                <c:formatCode>_("R$"* #,##0.00_);_("R$"* \(#,##0.00\);_("R$"* "-"??_);_(@_)</c:formatCode>
                <c:ptCount val="5"/>
                <c:pt idx="0">
                  <c:v>603.33881999999994</c:v>
                </c:pt>
                <c:pt idx="1">
                  <c:v>46.896999999999998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B3-408E-938B-502AAEE01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31036192"/>
        <c:axId val="1231030432"/>
      </c:barChart>
      <c:catAx>
        <c:axId val="123103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1030432"/>
        <c:crosses val="autoZero"/>
        <c:auto val="1"/>
        <c:lblAlgn val="ctr"/>
        <c:lblOffset val="100"/>
        <c:noMultiLvlLbl val="0"/>
      </c:catAx>
      <c:valAx>
        <c:axId val="123103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103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>
      <a:softEdge rad="7620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</c:spPr>
          <c:dPt>
            <c:idx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EA-4FD2-80F6-5AE737B247DB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EA-4FD2-80F6-5AE737B247DB}"/>
              </c:ext>
            </c:extLst>
          </c:dPt>
          <c:dPt>
            <c:idx val="2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8C7-470D-A208-A71758C83A1B}"/>
              </c:ext>
            </c:extLst>
          </c:dPt>
          <c:cat>
            <c:strRef>
              <c:f>Vendas!$C$25:$C$27</c:f>
              <c:strCache>
                <c:ptCount val="3"/>
                <c:pt idx="0">
                  <c:v>Vendas por Entrega (%)</c:v>
                </c:pt>
                <c:pt idx="1">
                  <c:v>Vendas por Entrega ($)</c:v>
                </c:pt>
                <c:pt idx="2">
                  <c:v>Receita de Entregas ($)</c:v>
                </c:pt>
              </c:strCache>
            </c:strRef>
          </c:cat>
          <c:val>
            <c:numRef>
              <c:f>Vendas!$D$25:$D$27</c:f>
              <c:numCache>
                <c:formatCode>_("R$"* #,##0.00_);_("R$"* \(#,##0.00\);_("R$"* "-"??_);_(@_)</c:formatCode>
                <c:ptCount val="3"/>
                <c:pt idx="0" formatCode="0%">
                  <c:v>6.741573033707865E-2</c:v>
                </c:pt>
                <c:pt idx="1">
                  <c:v>300.57982000000004</c:v>
                </c:pt>
                <c:pt idx="2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C7-470D-A208-A71758C83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cat>
            <c:strRef>
              <c:f>Vendas!$C$49:$C$53</c:f>
              <c:strCache>
                <c:ptCount val="5"/>
                <c:pt idx="0">
                  <c:v>Centro</c:v>
                </c:pt>
                <c:pt idx="1">
                  <c:v>Loja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Vendas!$D$49:$D$53</c:f>
              <c:numCache>
                <c:formatCode>General</c:formatCode>
                <c:ptCount val="5"/>
                <c:pt idx="0">
                  <c:v>0</c:v>
                </c:pt>
                <c:pt idx="1">
                  <c:v>9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0B-44D6-B7ED-53FF84073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7436320"/>
        <c:axId val="677420480"/>
      </c:barChart>
      <c:catAx>
        <c:axId val="67743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7420480"/>
        <c:crosses val="autoZero"/>
        <c:auto val="1"/>
        <c:lblAlgn val="ctr"/>
        <c:lblOffset val="100"/>
        <c:noMultiLvlLbl val="0"/>
      </c:catAx>
      <c:valAx>
        <c:axId val="67742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743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Vendas!A1"/><Relationship Id="rId3" Type="http://schemas.openxmlformats.org/officeDocument/2006/relationships/hyperlink" Target="#'Despesas Fixas'!A1"/><Relationship Id="rId7" Type="http://schemas.openxmlformats.org/officeDocument/2006/relationships/hyperlink" Target="#Resultados!A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'Controle de Estoque'!A1"/><Relationship Id="rId5" Type="http://schemas.openxmlformats.org/officeDocument/2006/relationships/hyperlink" Target="#Investimentos!A1"/><Relationship Id="rId4" Type="http://schemas.openxmlformats.org/officeDocument/2006/relationships/hyperlink" Target="#'Controle de Mercadoria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Mercadorias'!A1"/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vestimentos!A1"/><Relationship Id="rId2" Type="http://schemas.openxmlformats.org/officeDocument/2006/relationships/hyperlink" Target="#Menu!A1"/><Relationship Id="rId1" Type="http://schemas.openxmlformats.org/officeDocument/2006/relationships/hyperlink" Target="#'Despesas Fixa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Mercadorias'!A1"/><Relationship Id="rId2" Type="http://schemas.openxmlformats.org/officeDocument/2006/relationships/hyperlink" Target="#Menu!A1"/><Relationship Id="rId1" Type="http://schemas.openxmlformats.org/officeDocument/2006/relationships/hyperlink" Target="#'Controle de Estoque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2" Type="http://schemas.openxmlformats.org/officeDocument/2006/relationships/hyperlink" Target="#Menu!A1"/><Relationship Id="rId1" Type="http://schemas.openxmlformats.org/officeDocument/2006/relationships/hyperlink" Target="#Investimento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1"/><Relationship Id="rId1" Type="http://schemas.openxmlformats.org/officeDocument/2006/relationships/hyperlink" Target="#'Controle de Estoque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2'!A1"/><Relationship Id="rId3" Type="http://schemas.openxmlformats.org/officeDocument/2006/relationships/chart" Target="../charts/chart3.xml"/><Relationship Id="rId7" Type="http://schemas.openxmlformats.org/officeDocument/2006/relationships/hyperlink" Target="#'Sem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Menu!A1"/><Relationship Id="rId11" Type="http://schemas.openxmlformats.org/officeDocument/2006/relationships/hyperlink" Target="#'Sem5'!A1"/><Relationship Id="rId5" Type="http://schemas.openxmlformats.org/officeDocument/2006/relationships/hyperlink" Target="#Vendas!B66"/><Relationship Id="rId10" Type="http://schemas.openxmlformats.org/officeDocument/2006/relationships/hyperlink" Target="#'Sem4'!A1"/><Relationship Id="rId4" Type="http://schemas.openxmlformats.org/officeDocument/2006/relationships/hyperlink" Target="#Resultados!A1"/><Relationship Id="rId9" Type="http://schemas.openxmlformats.org/officeDocument/2006/relationships/hyperlink" Target="#'Sem3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Vendas!B66"/><Relationship Id="rId1" Type="http://schemas.openxmlformats.org/officeDocument/2006/relationships/hyperlink" Target="#'Sem2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Vendas!B66"/><Relationship Id="rId2" Type="http://schemas.openxmlformats.org/officeDocument/2006/relationships/hyperlink" Target="#Menu!A1"/><Relationship Id="rId1" Type="http://schemas.openxmlformats.org/officeDocument/2006/relationships/hyperlink" Target="#'Sem3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Vendas!B66"/><Relationship Id="rId2" Type="http://schemas.openxmlformats.org/officeDocument/2006/relationships/hyperlink" Target="#Menu!A1"/><Relationship Id="rId1" Type="http://schemas.openxmlformats.org/officeDocument/2006/relationships/hyperlink" Target="#'Sem4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Vendas!B66"/><Relationship Id="rId2" Type="http://schemas.openxmlformats.org/officeDocument/2006/relationships/hyperlink" Target="#Menu!A1"/><Relationship Id="rId1" Type="http://schemas.openxmlformats.org/officeDocument/2006/relationships/hyperlink" Target="#'Sem5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Vendas!B66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220870</xdr:colOff>
      <xdr:row>44</xdr:row>
      <xdr:rowOff>192063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B8034EB-A5AF-C9BB-6E91-05CD3EAEC2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" t="32323" r="36554"/>
        <a:stretch/>
      </xdr:blipFill>
      <xdr:spPr>
        <a:xfrm>
          <a:off x="0" y="0"/>
          <a:ext cx="14798261" cy="8695541"/>
        </a:xfrm>
        <a:prstGeom prst="rect">
          <a:avLst/>
        </a:prstGeom>
      </xdr:spPr>
    </xdr:pic>
    <xdr:clientData/>
  </xdr:twoCellAnchor>
  <xdr:twoCellAnchor>
    <xdr:from>
      <xdr:col>1</xdr:col>
      <xdr:colOff>168673</xdr:colOff>
      <xdr:row>11</xdr:row>
      <xdr:rowOff>89296</xdr:rowOff>
    </xdr:from>
    <xdr:to>
      <xdr:col>3</xdr:col>
      <xdr:colOff>486172</xdr:colOff>
      <xdr:row>13</xdr:row>
      <xdr:rowOff>99219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890194-C72C-97ED-4322-450F4CE4C68F}"/>
            </a:ext>
          </a:extLst>
        </xdr:cNvPr>
        <xdr:cNvSpPr/>
      </xdr:nvSpPr>
      <xdr:spPr>
        <a:xfrm>
          <a:off x="773907" y="2162968"/>
          <a:ext cx="1527968" cy="38695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 Fixas</a:t>
          </a:r>
        </a:p>
      </xdr:txBody>
    </xdr:sp>
    <xdr:clientData/>
  </xdr:twoCellAnchor>
  <xdr:twoCellAnchor>
    <xdr:from>
      <xdr:col>4</xdr:col>
      <xdr:colOff>43258</xdr:colOff>
      <xdr:row>11</xdr:row>
      <xdr:rowOff>92868</xdr:rowOff>
    </xdr:from>
    <xdr:to>
      <xdr:col>6</xdr:col>
      <xdr:colOff>486171</xdr:colOff>
      <xdr:row>13</xdr:row>
      <xdr:rowOff>102791</xdr:rowOff>
    </xdr:to>
    <xdr:sp macro="" textlink="">
      <xdr:nvSpPr>
        <xdr:cNvPr id="8" name="Retângulo: Cantos Arredond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EC15019-99EC-4419-9E2F-035F1EB04F75}"/>
            </a:ext>
          </a:extLst>
        </xdr:cNvPr>
        <xdr:cNvSpPr/>
      </xdr:nvSpPr>
      <xdr:spPr>
        <a:xfrm>
          <a:off x="2464196" y="2166540"/>
          <a:ext cx="1653381" cy="38695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</a:t>
          </a:r>
          <a:r>
            <a:rPr lang="pt-BR" sz="1100" baseline="0"/>
            <a:t> de Mercadorias</a:t>
          </a:r>
          <a:endParaRPr lang="pt-BR" sz="1100"/>
        </a:p>
      </xdr:txBody>
    </xdr:sp>
    <xdr:clientData/>
  </xdr:twoCellAnchor>
  <xdr:twoCellAnchor>
    <xdr:from>
      <xdr:col>7</xdr:col>
      <xdr:colOff>49610</xdr:colOff>
      <xdr:row>11</xdr:row>
      <xdr:rowOff>89297</xdr:rowOff>
    </xdr:from>
    <xdr:to>
      <xdr:col>9</xdr:col>
      <xdr:colOff>367110</xdr:colOff>
      <xdr:row>13</xdr:row>
      <xdr:rowOff>99220</xdr:rowOff>
    </xdr:to>
    <xdr:sp macro="" textlink="">
      <xdr:nvSpPr>
        <xdr:cNvPr id="9" name="Retângulo: Cantos Arredondados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5A07157-EB97-4923-A299-AA1A6605101E}"/>
            </a:ext>
          </a:extLst>
        </xdr:cNvPr>
        <xdr:cNvSpPr/>
      </xdr:nvSpPr>
      <xdr:spPr>
        <a:xfrm>
          <a:off x="4286251" y="2162969"/>
          <a:ext cx="1527968" cy="38695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Investimentos</a:t>
          </a:r>
        </a:p>
      </xdr:txBody>
    </xdr:sp>
    <xdr:clientData/>
  </xdr:twoCellAnchor>
  <xdr:twoCellAnchor>
    <xdr:from>
      <xdr:col>9</xdr:col>
      <xdr:colOff>555626</xdr:colOff>
      <xdr:row>11</xdr:row>
      <xdr:rowOff>89296</xdr:rowOff>
    </xdr:from>
    <xdr:to>
      <xdr:col>12</xdr:col>
      <xdr:colOff>267890</xdr:colOff>
      <xdr:row>13</xdr:row>
      <xdr:rowOff>99219</xdr:rowOff>
    </xdr:to>
    <xdr:sp macro="" textlink="">
      <xdr:nvSpPr>
        <xdr:cNvPr id="10" name="Retângulo: Cantos Arredondado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EA1D4F1-39B6-4391-B2CE-9B89A5AA4D68}"/>
            </a:ext>
          </a:extLst>
        </xdr:cNvPr>
        <xdr:cNvSpPr/>
      </xdr:nvSpPr>
      <xdr:spPr>
        <a:xfrm>
          <a:off x="6002735" y="2162968"/>
          <a:ext cx="1527968" cy="38695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12</xdr:col>
      <xdr:colOff>466328</xdr:colOff>
      <xdr:row>11</xdr:row>
      <xdr:rowOff>79374</xdr:rowOff>
    </xdr:from>
    <xdr:to>
      <xdr:col>15</xdr:col>
      <xdr:colOff>178593</xdr:colOff>
      <xdr:row>13</xdr:row>
      <xdr:rowOff>89297</xdr:rowOff>
    </xdr:to>
    <xdr:sp macro="" textlink="">
      <xdr:nvSpPr>
        <xdr:cNvPr id="11" name="Retângulo: Cantos Arredondados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CDAC4C5-7446-4711-98DB-0861E5B8C956}"/>
            </a:ext>
          </a:extLst>
        </xdr:cNvPr>
        <xdr:cNvSpPr/>
      </xdr:nvSpPr>
      <xdr:spPr>
        <a:xfrm>
          <a:off x="7729141" y="2153046"/>
          <a:ext cx="1527968" cy="38695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15</xdr:col>
      <xdr:colOff>377031</xdr:colOff>
      <xdr:row>11</xdr:row>
      <xdr:rowOff>79374</xdr:rowOff>
    </xdr:from>
    <xdr:to>
      <xdr:col>18</xdr:col>
      <xdr:colOff>89296</xdr:colOff>
      <xdr:row>13</xdr:row>
      <xdr:rowOff>89297</xdr:rowOff>
    </xdr:to>
    <xdr:sp macro="" textlink="">
      <xdr:nvSpPr>
        <xdr:cNvPr id="12" name="Retângulo: Cantos Arredondado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3399F4F-F837-4052-B5AE-68AA0D4AFACB}"/>
            </a:ext>
          </a:extLst>
        </xdr:cNvPr>
        <xdr:cNvSpPr/>
      </xdr:nvSpPr>
      <xdr:spPr>
        <a:xfrm>
          <a:off x="9455547" y="2153046"/>
          <a:ext cx="1527968" cy="38695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95250</xdr:rowOff>
    </xdr:from>
    <xdr:to>
      <xdr:col>5</xdr:col>
      <xdr:colOff>1343025</xdr:colOff>
      <xdr:row>1</xdr:row>
      <xdr:rowOff>342900</xdr:rowOff>
    </xdr:to>
    <xdr:sp macro="" textlink="">
      <xdr:nvSpPr>
        <xdr:cNvPr id="11" name="Retângulo: Cantos Arredondado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9DEE4B-2BD9-41A8-B94E-125C8C6878B0}"/>
            </a:ext>
          </a:extLst>
        </xdr:cNvPr>
        <xdr:cNvSpPr/>
      </xdr:nvSpPr>
      <xdr:spPr>
        <a:xfrm>
          <a:off x="9001125" y="285750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6</xdr:col>
      <xdr:colOff>47625</xdr:colOff>
      <xdr:row>1</xdr:row>
      <xdr:rowOff>95250</xdr:rowOff>
    </xdr:from>
    <xdr:to>
      <xdr:col>6</xdr:col>
      <xdr:colOff>1238250</xdr:colOff>
      <xdr:row>1</xdr:row>
      <xdr:rowOff>342900</xdr:rowOff>
    </xdr:to>
    <xdr:sp macro="" textlink="">
      <xdr:nvSpPr>
        <xdr:cNvPr id="12" name="Retângulo: Cantos Arredondado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FA7F3C-782D-493D-A592-A5526C0D6F0C}"/>
            </a:ext>
          </a:extLst>
        </xdr:cNvPr>
        <xdr:cNvSpPr/>
      </xdr:nvSpPr>
      <xdr:spPr>
        <a:xfrm>
          <a:off x="10267950" y="285750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4</xdr:col>
      <xdr:colOff>95250</xdr:colOff>
      <xdr:row>1</xdr:row>
      <xdr:rowOff>95250</xdr:rowOff>
    </xdr:from>
    <xdr:to>
      <xdr:col>5</xdr:col>
      <xdr:colOff>66675</xdr:colOff>
      <xdr:row>1</xdr:row>
      <xdr:rowOff>342900</xdr:rowOff>
    </xdr:to>
    <xdr:sp macro="" textlink="">
      <xdr:nvSpPr>
        <xdr:cNvPr id="13" name="Retângulo: Cantos Arredondado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682323-DBEE-440E-9A7A-460A6BDCF77A}"/>
            </a:ext>
          </a:extLst>
        </xdr:cNvPr>
        <xdr:cNvSpPr/>
      </xdr:nvSpPr>
      <xdr:spPr>
        <a:xfrm>
          <a:off x="7096125" y="285750"/>
          <a:ext cx="181927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Controle de</a:t>
          </a:r>
          <a:r>
            <a:rPr lang="pt-BR" sz="1100" baseline="0">
              <a:solidFill>
                <a:schemeClr val="bg1"/>
              </a:solidFill>
            </a:rPr>
            <a:t> Mercadorias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333375</xdr:colOff>
      <xdr:row>1</xdr:row>
      <xdr:rowOff>123825</xdr:rowOff>
    </xdr:from>
    <xdr:to>
      <xdr:col>8</xdr:col>
      <xdr:colOff>409575</xdr:colOff>
      <xdr:row>1</xdr:row>
      <xdr:rowOff>371475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48FE95-D2B4-4BE5-8F4D-6275A3C95130}"/>
            </a:ext>
          </a:extLst>
        </xdr:cNvPr>
        <xdr:cNvSpPr/>
      </xdr:nvSpPr>
      <xdr:spPr>
        <a:xfrm>
          <a:off x="8439150" y="31432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Despesas Fixas</a:t>
          </a:r>
        </a:p>
      </xdr:txBody>
    </xdr:sp>
    <xdr:clientData/>
  </xdr:twoCellAnchor>
  <xdr:twoCellAnchor>
    <xdr:from>
      <xdr:col>8</xdr:col>
      <xdr:colOff>485775</xdr:colOff>
      <xdr:row>1</xdr:row>
      <xdr:rowOff>123825</xdr:rowOff>
    </xdr:from>
    <xdr:to>
      <xdr:col>9</xdr:col>
      <xdr:colOff>600075</xdr:colOff>
      <xdr:row>1</xdr:row>
      <xdr:rowOff>371475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B36C480-41C1-4EA2-90BD-61B0976F219D}"/>
            </a:ext>
          </a:extLst>
        </xdr:cNvPr>
        <xdr:cNvSpPr/>
      </xdr:nvSpPr>
      <xdr:spPr>
        <a:xfrm>
          <a:off x="9705975" y="31432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6</xdr:col>
      <xdr:colOff>95249</xdr:colOff>
      <xdr:row>1</xdr:row>
      <xdr:rowOff>123825</xdr:rowOff>
    </xdr:from>
    <xdr:to>
      <xdr:col>7</xdr:col>
      <xdr:colOff>247649</xdr:colOff>
      <xdr:row>1</xdr:row>
      <xdr:rowOff>371475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4C92775-323E-45F2-BE64-523B9B780C3F}"/>
            </a:ext>
          </a:extLst>
        </xdr:cNvPr>
        <xdr:cNvSpPr/>
      </xdr:nvSpPr>
      <xdr:spPr>
        <a:xfrm>
          <a:off x="7124699" y="314325"/>
          <a:ext cx="12287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Investimentos</a:t>
          </a:r>
        </a:p>
      </xdr:txBody>
    </xdr:sp>
    <xdr:clientData/>
  </xdr:twoCellAnchor>
  <xdr:twoCellAnchor>
    <xdr:from>
      <xdr:col>9</xdr:col>
      <xdr:colOff>161924</xdr:colOff>
      <xdr:row>3</xdr:row>
      <xdr:rowOff>1</xdr:rowOff>
    </xdr:from>
    <xdr:to>
      <xdr:col>10</xdr:col>
      <xdr:colOff>495299</xdr:colOff>
      <xdr:row>4</xdr:row>
      <xdr:rowOff>76201</xdr:rowOff>
    </xdr:to>
    <xdr:sp macro="inserir_compr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3D2ED21-7AC0-D2F9-81DE-4BA3D6BD56BE}"/>
            </a:ext>
          </a:extLst>
        </xdr:cNvPr>
        <xdr:cNvSpPr/>
      </xdr:nvSpPr>
      <xdr:spPr>
        <a:xfrm>
          <a:off x="10620374" y="1066801"/>
          <a:ext cx="1285875" cy="2667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9</xdr:col>
      <xdr:colOff>152400</xdr:colOff>
      <xdr:row>5</xdr:row>
      <xdr:rowOff>38100</xdr:rowOff>
    </xdr:from>
    <xdr:to>
      <xdr:col>10</xdr:col>
      <xdr:colOff>485775</xdr:colOff>
      <xdr:row>6</xdr:row>
      <xdr:rowOff>114300</xdr:rowOff>
    </xdr:to>
    <xdr:sp macro="[0]!excluir_compr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167D694-194A-4192-BAA6-8A6BEF00BA2A}"/>
            </a:ext>
          </a:extLst>
        </xdr:cNvPr>
        <xdr:cNvSpPr/>
      </xdr:nvSpPr>
      <xdr:spPr>
        <a:xfrm>
          <a:off x="10610850" y="1485900"/>
          <a:ext cx="1285875" cy="2667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1778000</xdr:colOff>
      <xdr:row>1</xdr:row>
      <xdr:rowOff>95250</xdr:rowOff>
    </xdr:from>
    <xdr:to>
      <xdr:col>3</xdr:col>
      <xdr:colOff>3562350</xdr:colOff>
      <xdr:row>1</xdr:row>
      <xdr:rowOff>352425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D8A5D5-B446-430D-B6FA-E590B078FAA5}"/>
            </a:ext>
          </a:extLst>
        </xdr:cNvPr>
        <xdr:cNvSpPr/>
      </xdr:nvSpPr>
      <xdr:spPr>
        <a:xfrm>
          <a:off x="6879167" y="275167"/>
          <a:ext cx="1784350" cy="257175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Controle de Estoque</a:t>
          </a:r>
        </a:p>
      </xdr:txBody>
    </xdr:sp>
    <xdr:clientData/>
  </xdr:twoCellAnchor>
  <xdr:twoCellAnchor>
    <xdr:from>
      <xdr:col>4</xdr:col>
      <xdr:colOff>28575</xdr:colOff>
      <xdr:row>1</xdr:row>
      <xdr:rowOff>104775</xdr:rowOff>
    </xdr:from>
    <xdr:to>
      <xdr:col>4</xdr:col>
      <xdr:colOff>1219200</xdr:colOff>
      <xdr:row>1</xdr:row>
      <xdr:rowOff>352425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B93E2E0-F718-4A27-8265-09693D63974F}"/>
            </a:ext>
          </a:extLst>
        </xdr:cNvPr>
        <xdr:cNvSpPr/>
      </xdr:nvSpPr>
      <xdr:spPr>
        <a:xfrm>
          <a:off x="10477500" y="285750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3</xdr:col>
      <xdr:colOff>3667125</xdr:colOff>
      <xdr:row>1</xdr:row>
      <xdr:rowOff>104775</xdr:rowOff>
    </xdr:from>
    <xdr:to>
      <xdr:col>3</xdr:col>
      <xdr:colOff>5295900</xdr:colOff>
      <xdr:row>1</xdr:row>
      <xdr:rowOff>352425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D82E7B-2FDB-4345-98CC-D342F74C607E}"/>
            </a:ext>
          </a:extLst>
        </xdr:cNvPr>
        <xdr:cNvSpPr/>
      </xdr:nvSpPr>
      <xdr:spPr>
        <a:xfrm>
          <a:off x="8763000" y="285750"/>
          <a:ext cx="162877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Controle de Mercadorias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47626</xdr:colOff>
      <xdr:row>1</xdr:row>
      <xdr:rowOff>104775</xdr:rowOff>
    </xdr:from>
    <xdr:to>
      <xdr:col>6</xdr:col>
      <xdr:colOff>1238251</xdr:colOff>
      <xdr:row>1</xdr:row>
      <xdr:rowOff>352425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D7D329-6075-4B35-961E-DF7268AC1942}"/>
            </a:ext>
          </a:extLst>
        </xdr:cNvPr>
        <xdr:cNvSpPr/>
      </xdr:nvSpPr>
      <xdr:spPr>
        <a:xfrm>
          <a:off x="8324851" y="29527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Investimentos</a:t>
          </a:r>
        </a:p>
      </xdr:txBody>
    </xdr:sp>
    <xdr:clientData/>
  </xdr:twoCellAnchor>
  <xdr:twoCellAnchor>
    <xdr:from>
      <xdr:col>7</xdr:col>
      <xdr:colOff>95251</xdr:colOff>
      <xdr:row>1</xdr:row>
      <xdr:rowOff>104775</xdr:rowOff>
    </xdr:from>
    <xdr:to>
      <xdr:col>8</xdr:col>
      <xdr:colOff>95251</xdr:colOff>
      <xdr:row>1</xdr:row>
      <xdr:rowOff>352425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ACA6726-BFED-4385-BCB5-CFCDA43D2789}"/>
            </a:ext>
          </a:extLst>
        </xdr:cNvPr>
        <xdr:cNvSpPr/>
      </xdr:nvSpPr>
      <xdr:spPr>
        <a:xfrm>
          <a:off x="9163051" y="295275"/>
          <a:ext cx="70485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5</xdr:col>
      <xdr:colOff>257175</xdr:colOff>
      <xdr:row>1</xdr:row>
      <xdr:rowOff>104775</xdr:rowOff>
    </xdr:from>
    <xdr:to>
      <xdr:col>5</xdr:col>
      <xdr:colOff>1485900</xdr:colOff>
      <xdr:row>1</xdr:row>
      <xdr:rowOff>352425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39B681F-C007-4F6E-BB16-5733F69F192F}"/>
            </a:ext>
          </a:extLst>
        </xdr:cNvPr>
        <xdr:cNvSpPr/>
      </xdr:nvSpPr>
      <xdr:spPr>
        <a:xfrm>
          <a:off x="7010400" y="295275"/>
          <a:ext cx="12287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Resultados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1828800</xdr:colOff>
      <xdr:row>1</xdr:row>
      <xdr:rowOff>104775</xdr:rowOff>
    </xdr:from>
    <xdr:to>
      <xdr:col>5</xdr:col>
      <xdr:colOff>885825</xdr:colOff>
      <xdr:row>1</xdr:row>
      <xdr:rowOff>352425</xdr:rowOff>
    </xdr:to>
    <xdr:sp macro="" textlink="">
      <xdr:nvSpPr>
        <xdr:cNvPr id="17" name="Retângulo: Cantos Arredondados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D2B012-892C-4316-B31E-A947B94AFAF6}"/>
            </a:ext>
          </a:extLst>
        </xdr:cNvPr>
        <xdr:cNvSpPr/>
      </xdr:nvSpPr>
      <xdr:spPr>
        <a:xfrm>
          <a:off x="8286750" y="295275"/>
          <a:ext cx="15621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Controle de Estoque</a:t>
          </a:r>
        </a:p>
      </xdr:txBody>
    </xdr:sp>
    <xdr:clientData/>
  </xdr:twoCellAnchor>
  <xdr:twoCellAnchor>
    <xdr:from>
      <xdr:col>4</xdr:col>
      <xdr:colOff>504825</xdr:colOff>
      <xdr:row>1</xdr:row>
      <xdr:rowOff>104775</xdr:rowOff>
    </xdr:from>
    <xdr:to>
      <xdr:col>4</xdr:col>
      <xdr:colOff>1733550</xdr:colOff>
      <xdr:row>1</xdr:row>
      <xdr:rowOff>352425</xdr:rowOff>
    </xdr:to>
    <xdr:sp macro="" textlink="">
      <xdr:nvSpPr>
        <xdr:cNvPr id="19" name="Retângulo: Cantos Arredondados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83A4C20-F471-4E74-B83E-268A6B39C839}"/>
            </a:ext>
          </a:extLst>
        </xdr:cNvPr>
        <xdr:cNvSpPr/>
      </xdr:nvSpPr>
      <xdr:spPr>
        <a:xfrm>
          <a:off x="6962775" y="295275"/>
          <a:ext cx="12287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6</xdr:col>
      <xdr:colOff>95250</xdr:colOff>
      <xdr:row>1</xdr:row>
      <xdr:rowOff>104775</xdr:rowOff>
    </xdr:from>
    <xdr:to>
      <xdr:col>7</xdr:col>
      <xdr:colOff>190500</xdr:colOff>
      <xdr:row>1</xdr:row>
      <xdr:rowOff>352425</xdr:rowOff>
    </xdr:to>
    <xdr:sp macro="" textlink="">
      <xdr:nvSpPr>
        <xdr:cNvPr id="20" name="Retângulo: Cantos Arredondados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28BE951-7E1E-456C-A928-F56CB7070455}"/>
            </a:ext>
          </a:extLst>
        </xdr:cNvPr>
        <xdr:cNvSpPr/>
      </xdr:nvSpPr>
      <xdr:spPr>
        <a:xfrm>
          <a:off x="10306050" y="409575"/>
          <a:ext cx="70485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6</xdr:row>
      <xdr:rowOff>0</xdr:rowOff>
    </xdr:from>
    <xdr:to>
      <xdr:col>9</xdr:col>
      <xdr:colOff>428625</xdr:colOff>
      <xdr:row>16</xdr:row>
      <xdr:rowOff>233362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F8829C0-C39D-031A-F484-28DFD8E025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581025</xdr:colOff>
      <xdr:row>22</xdr:row>
      <xdr:rowOff>28574</xdr:rowOff>
    </xdr:from>
    <xdr:to>
      <xdr:col>8</xdr:col>
      <xdr:colOff>609600</xdr:colOff>
      <xdr:row>34</xdr:row>
      <xdr:rowOff>33336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E1DE95-CA1D-E65C-8557-93B16787DA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504825</xdr:colOff>
      <xdr:row>43</xdr:row>
      <xdr:rowOff>95250</xdr:rowOff>
    </xdr:from>
    <xdr:to>
      <xdr:col>8</xdr:col>
      <xdr:colOff>1019175</xdr:colOff>
      <xdr:row>54</xdr:row>
      <xdr:rowOff>138112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A474B64-BA39-705C-41B3-67E2EB4AF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1047750</xdr:colOff>
      <xdr:row>1</xdr:row>
      <xdr:rowOff>95250</xdr:rowOff>
    </xdr:from>
    <xdr:to>
      <xdr:col>8</xdr:col>
      <xdr:colOff>171450</xdr:colOff>
      <xdr:row>1</xdr:row>
      <xdr:rowOff>342900</xdr:rowOff>
    </xdr:to>
    <xdr:sp macro="" textlink="">
      <xdr:nvSpPr>
        <xdr:cNvPr id="19" name="Retângulo: Cantos Arredondados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A6CFBC-E2E7-45B4-B1B3-49012D4BDCE4}"/>
            </a:ext>
          </a:extLst>
        </xdr:cNvPr>
        <xdr:cNvSpPr/>
      </xdr:nvSpPr>
      <xdr:spPr>
        <a:xfrm>
          <a:off x="7915275" y="285750"/>
          <a:ext cx="10668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5</xdr:col>
      <xdr:colOff>314325</xdr:colOff>
      <xdr:row>1</xdr:row>
      <xdr:rowOff>95250</xdr:rowOff>
    </xdr:from>
    <xdr:to>
      <xdr:col>6</xdr:col>
      <xdr:colOff>933450</xdr:colOff>
      <xdr:row>1</xdr:row>
      <xdr:rowOff>342900</xdr:rowOff>
    </xdr:to>
    <xdr:sp macro="" textlink="">
      <xdr:nvSpPr>
        <xdr:cNvPr id="20" name="Retângulo: Cantos Arredondados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D16959D-1D8B-49C8-AE3A-8EC907874925}"/>
            </a:ext>
          </a:extLst>
        </xdr:cNvPr>
        <xdr:cNvSpPr/>
      </xdr:nvSpPr>
      <xdr:spPr>
        <a:xfrm>
          <a:off x="6391275" y="285750"/>
          <a:ext cx="14097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Ir para Semanas</a:t>
          </a:r>
        </a:p>
      </xdr:txBody>
    </xdr:sp>
    <xdr:clientData/>
  </xdr:twoCellAnchor>
  <xdr:twoCellAnchor>
    <xdr:from>
      <xdr:col>8</xdr:col>
      <xdr:colOff>295275</xdr:colOff>
      <xdr:row>1</xdr:row>
      <xdr:rowOff>95250</xdr:rowOff>
    </xdr:from>
    <xdr:to>
      <xdr:col>9</xdr:col>
      <xdr:colOff>161925</xdr:colOff>
      <xdr:row>1</xdr:row>
      <xdr:rowOff>352425</xdr:rowOff>
    </xdr:to>
    <xdr:sp macro="" textlink="">
      <xdr:nvSpPr>
        <xdr:cNvPr id="21" name="Retângulo: Cantos Arredondados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C4CB2ED-B322-499D-9CF8-B6C25ED44389}"/>
            </a:ext>
          </a:extLst>
        </xdr:cNvPr>
        <xdr:cNvSpPr/>
      </xdr:nvSpPr>
      <xdr:spPr>
        <a:xfrm>
          <a:off x="9105900" y="285750"/>
          <a:ext cx="1009650" cy="257175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2</xdr:col>
      <xdr:colOff>1000125</xdr:colOff>
      <xdr:row>57</xdr:row>
      <xdr:rowOff>142875</xdr:rowOff>
    </xdr:from>
    <xdr:to>
      <xdr:col>2</xdr:col>
      <xdr:colOff>2209800</xdr:colOff>
      <xdr:row>59</xdr:row>
      <xdr:rowOff>57150</xdr:rowOff>
    </xdr:to>
    <xdr:sp macro="" textlink="">
      <xdr:nvSpPr>
        <xdr:cNvPr id="22" name="Retângulo: Cantos Arredondado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0A6C277-2E70-8255-F91E-F3F27D054FE1}"/>
            </a:ext>
          </a:extLst>
        </xdr:cNvPr>
        <xdr:cNvSpPr/>
      </xdr:nvSpPr>
      <xdr:spPr>
        <a:xfrm>
          <a:off x="2543175" y="12487275"/>
          <a:ext cx="1209675" cy="29527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1</a:t>
          </a:r>
        </a:p>
      </xdr:txBody>
    </xdr:sp>
    <xdr:clientData/>
  </xdr:twoCellAnchor>
  <xdr:twoCellAnchor>
    <xdr:from>
      <xdr:col>2</xdr:col>
      <xdr:colOff>2333625</xdr:colOff>
      <xdr:row>57</xdr:row>
      <xdr:rowOff>142875</xdr:rowOff>
    </xdr:from>
    <xdr:to>
      <xdr:col>3</xdr:col>
      <xdr:colOff>1114425</xdr:colOff>
      <xdr:row>59</xdr:row>
      <xdr:rowOff>57150</xdr:rowOff>
    </xdr:to>
    <xdr:sp macro="" textlink="">
      <xdr:nvSpPr>
        <xdr:cNvPr id="23" name="Retângulo: Cantos Arredondados 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D8D3B4-C436-4732-A77E-06823CCCE675}"/>
            </a:ext>
          </a:extLst>
        </xdr:cNvPr>
        <xdr:cNvSpPr/>
      </xdr:nvSpPr>
      <xdr:spPr>
        <a:xfrm>
          <a:off x="3876675" y="12487275"/>
          <a:ext cx="1209675" cy="29527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2</a:t>
          </a:r>
        </a:p>
      </xdr:txBody>
    </xdr:sp>
    <xdr:clientData/>
  </xdr:twoCellAnchor>
  <xdr:twoCellAnchor>
    <xdr:from>
      <xdr:col>3</xdr:col>
      <xdr:colOff>1238250</xdr:colOff>
      <xdr:row>57</xdr:row>
      <xdr:rowOff>142875</xdr:rowOff>
    </xdr:from>
    <xdr:to>
      <xdr:col>5</xdr:col>
      <xdr:colOff>342900</xdr:colOff>
      <xdr:row>59</xdr:row>
      <xdr:rowOff>57150</xdr:rowOff>
    </xdr:to>
    <xdr:sp macro="" textlink="">
      <xdr:nvSpPr>
        <xdr:cNvPr id="24" name="Retângulo: Cantos Arredondados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03D5C7F-843C-4302-9041-75B366B05E2D}"/>
            </a:ext>
          </a:extLst>
        </xdr:cNvPr>
        <xdr:cNvSpPr/>
      </xdr:nvSpPr>
      <xdr:spPr>
        <a:xfrm>
          <a:off x="5210175" y="12487275"/>
          <a:ext cx="1209675" cy="29527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3</a:t>
          </a:r>
        </a:p>
      </xdr:txBody>
    </xdr:sp>
    <xdr:clientData/>
  </xdr:twoCellAnchor>
  <xdr:twoCellAnchor>
    <xdr:from>
      <xdr:col>5</xdr:col>
      <xdr:colOff>485775</xdr:colOff>
      <xdr:row>57</xdr:row>
      <xdr:rowOff>142875</xdr:rowOff>
    </xdr:from>
    <xdr:to>
      <xdr:col>6</xdr:col>
      <xdr:colOff>904875</xdr:colOff>
      <xdr:row>59</xdr:row>
      <xdr:rowOff>57150</xdr:rowOff>
    </xdr:to>
    <xdr:sp macro="" textlink="">
      <xdr:nvSpPr>
        <xdr:cNvPr id="25" name="Retângulo: Cantos Arredondados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67095C7-B23C-487B-B09F-79552FB70101}"/>
            </a:ext>
          </a:extLst>
        </xdr:cNvPr>
        <xdr:cNvSpPr/>
      </xdr:nvSpPr>
      <xdr:spPr>
        <a:xfrm>
          <a:off x="6562725" y="12487275"/>
          <a:ext cx="1209675" cy="29527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4</a:t>
          </a:r>
        </a:p>
      </xdr:txBody>
    </xdr:sp>
    <xdr:clientData/>
  </xdr:twoCellAnchor>
  <xdr:twoCellAnchor>
    <xdr:from>
      <xdr:col>6</xdr:col>
      <xdr:colOff>1028700</xdr:colOff>
      <xdr:row>57</xdr:row>
      <xdr:rowOff>142875</xdr:rowOff>
    </xdr:from>
    <xdr:to>
      <xdr:col>8</xdr:col>
      <xdr:colOff>295275</xdr:colOff>
      <xdr:row>59</xdr:row>
      <xdr:rowOff>57150</xdr:rowOff>
    </xdr:to>
    <xdr:sp macro="" textlink="">
      <xdr:nvSpPr>
        <xdr:cNvPr id="26" name="Retângulo: Cantos Arredondados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E65C968-56F7-41CC-BE2F-994B2F0AA7A7}"/>
            </a:ext>
          </a:extLst>
        </xdr:cNvPr>
        <xdr:cNvSpPr/>
      </xdr:nvSpPr>
      <xdr:spPr>
        <a:xfrm>
          <a:off x="7896225" y="12487275"/>
          <a:ext cx="1209675" cy="29527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619126</xdr:colOff>
      <xdr:row>1</xdr:row>
      <xdr:rowOff>104775</xdr:rowOff>
    </xdr:from>
    <xdr:to>
      <xdr:col>10</xdr:col>
      <xdr:colOff>542926</xdr:colOff>
      <xdr:row>1</xdr:row>
      <xdr:rowOff>352425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1938BC-8ACD-4D16-B634-8A96B53818A5}"/>
            </a:ext>
          </a:extLst>
        </xdr:cNvPr>
        <xdr:cNvSpPr/>
      </xdr:nvSpPr>
      <xdr:spPr>
        <a:xfrm>
          <a:off x="8515351" y="29527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2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619126</xdr:colOff>
      <xdr:row>1</xdr:row>
      <xdr:rowOff>104775</xdr:rowOff>
    </xdr:from>
    <xdr:to>
      <xdr:col>11</xdr:col>
      <xdr:colOff>628651</xdr:colOff>
      <xdr:row>1</xdr:row>
      <xdr:rowOff>352425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BF03905A-DB15-4AF1-A4F0-8568F1471411}"/>
            </a:ext>
          </a:extLst>
        </xdr:cNvPr>
        <xdr:cNvSpPr/>
      </xdr:nvSpPr>
      <xdr:spPr>
        <a:xfrm>
          <a:off x="9782176" y="29527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8</xdr:col>
      <xdr:colOff>66675</xdr:colOff>
      <xdr:row>1</xdr:row>
      <xdr:rowOff>104775</xdr:rowOff>
    </xdr:from>
    <xdr:to>
      <xdr:col>9</xdr:col>
      <xdr:colOff>533400</xdr:colOff>
      <xdr:row>1</xdr:row>
      <xdr:rowOff>352425</xdr:rowOff>
    </xdr:to>
    <xdr:sp macro="" textlink="">
      <xdr:nvSpPr>
        <xdr:cNvPr id="10" name="Retângulo: Cantos Arredondado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EC15E95-8CB2-4DCF-965A-44D61A98A528}"/>
            </a:ext>
          </a:extLst>
        </xdr:cNvPr>
        <xdr:cNvSpPr/>
      </xdr:nvSpPr>
      <xdr:spPr>
        <a:xfrm>
          <a:off x="7200900" y="295275"/>
          <a:ext cx="12287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Ir para Semanas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Excluir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2860DD5-242B-4D81-89AE-E0F8042F95A2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3498F4B-B600-48FF-ABC2-E8660C4992B9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DE554121-8572-4E6B-8BE5-D73AE997DB0E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  <xdr:twoCellAnchor>
    <xdr:from>
      <xdr:col>0</xdr:col>
      <xdr:colOff>85724</xdr:colOff>
      <xdr:row>2</xdr:row>
      <xdr:rowOff>400050</xdr:rowOff>
    </xdr:from>
    <xdr:to>
      <xdr:col>0</xdr:col>
      <xdr:colOff>1371599</xdr:colOff>
      <xdr:row>4</xdr:row>
      <xdr:rowOff>66675</xdr:rowOff>
    </xdr:to>
    <xdr:sp macro="[0]!Macro9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93F47D4-4953-4CC6-B8D1-E285165A7402}"/>
            </a:ext>
          </a:extLst>
        </xdr:cNvPr>
        <xdr:cNvSpPr/>
      </xdr:nvSpPr>
      <xdr:spPr>
        <a:xfrm>
          <a:off x="85724" y="1057275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43BAF6C-15A8-4837-9718-8036DB22273D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619126</xdr:colOff>
      <xdr:row>1</xdr:row>
      <xdr:rowOff>104775</xdr:rowOff>
    </xdr:from>
    <xdr:to>
      <xdr:col>10</xdr:col>
      <xdr:colOff>542926</xdr:colOff>
      <xdr:row>1</xdr:row>
      <xdr:rowOff>352425</xdr:rowOff>
    </xdr:to>
    <xdr:sp macro="" textlink="">
      <xdr:nvSpPr>
        <xdr:cNvPr id="11" name="Retângulo: Cantos Arredondado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26B93C-7BD4-4D02-AA79-B83EE01D2C70}"/>
            </a:ext>
          </a:extLst>
        </xdr:cNvPr>
        <xdr:cNvSpPr/>
      </xdr:nvSpPr>
      <xdr:spPr>
        <a:xfrm>
          <a:off x="8515351" y="29527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3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619126</xdr:colOff>
      <xdr:row>1</xdr:row>
      <xdr:rowOff>104775</xdr:rowOff>
    </xdr:from>
    <xdr:to>
      <xdr:col>11</xdr:col>
      <xdr:colOff>628651</xdr:colOff>
      <xdr:row>1</xdr:row>
      <xdr:rowOff>352425</xdr:rowOff>
    </xdr:to>
    <xdr:sp macro="" textlink="">
      <xdr:nvSpPr>
        <xdr:cNvPr id="12" name="Retângulo: Cantos Arredondado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ED420DF-0B02-4515-94B1-E9C6239C69B6}"/>
            </a:ext>
          </a:extLst>
        </xdr:cNvPr>
        <xdr:cNvSpPr/>
      </xdr:nvSpPr>
      <xdr:spPr>
        <a:xfrm>
          <a:off x="9782176" y="29527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8</xdr:col>
      <xdr:colOff>28575</xdr:colOff>
      <xdr:row>1</xdr:row>
      <xdr:rowOff>95250</xdr:rowOff>
    </xdr:from>
    <xdr:to>
      <xdr:col>9</xdr:col>
      <xdr:colOff>495300</xdr:colOff>
      <xdr:row>1</xdr:row>
      <xdr:rowOff>342900</xdr:rowOff>
    </xdr:to>
    <xdr:sp macro="" textlink="">
      <xdr:nvSpPr>
        <xdr:cNvPr id="14" name="Retângulo: Cantos Arredondados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BFFC7F3-BF8F-45BB-96C0-3C9EDBEDC58E}"/>
            </a:ext>
          </a:extLst>
        </xdr:cNvPr>
        <xdr:cNvSpPr/>
      </xdr:nvSpPr>
      <xdr:spPr>
        <a:xfrm>
          <a:off x="7600950" y="285750"/>
          <a:ext cx="13335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Ir para Semanas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7E0EC1-0AB2-484E-BCB3-ED306FAED192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65D2B87-813F-464E-8F0F-8615929DF876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  <xdr:twoCellAnchor>
    <xdr:from>
      <xdr:col>0</xdr:col>
      <xdr:colOff>85724</xdr:colOff>
      <xdr:row>2</xdr:row>
      <xdr:rowOff>400050</xdr:rowOff>
    </xdr:from>
    <xdr:to>
      <xdr:col>0</xdr:col>
      <xdr:colOff>1371599</xdr:colOff>
      <xdr:row>4</xdr:row>
      <xdr:rowOff>66675</xdr:rowOff>
    </xdr:to>
    <xdr:sp macro="[0]!Macro9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EB1BBA13-3186-4A56-A769-BF15A032BB94}"/>
            </a:ext>
          </a:extLst>
        </xdr:cNvPr>
        <xdr:cNvSpPr/>
      </xdr:nvSpPr>
      <xdr:spPr>
        <a:xfrm>
          <a:off x="85724" y="1057275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5BF8117E-E03F-4BC9-AE52-E992C198F9C1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619126</xdr:colOff>
      <xdr:row>1</xdr:row>
      <xdr:rowOff>104775</xdr:rowOff>
    </xdr:from>
    <xdr:to>
      <xdr:col>10</xdr:col>
      <xdr:colOff>542926</xdr:colOff>
      <xdr:row>1</xdr:row>
      <xdr:rowOff>352425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DF842C-4D98-4B14-AA9B-BDFBC285086D}"/>
            </a:ext>
          </a:extLst>
        </xdr:cNvPr>
        <xdr:cNvSpPr/>
      </xdr:nvSpPr>
      <xdr:spPr>
        <a:xfrm>
          <a:off x="9058276" y="295275"/>
          <a:ext cx="11144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4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619126</xdr:colOff>
      <xdr:row>1</xdr:row>
      <xdr:rowOff>104775</xdr:rowOff>
    </xdr:from>
    <xdr:to>
      <xdr:col>11</xdr:col>
      <xdr:colOff>628651</xdr:colOff>
      <xdr:row>1</xdr:row>
      <xdr:rowOff>352425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8CABB53-5047-444B-A49C-13E0346D4669}"/>
            </a:ext>
          </a:extLst>
        </xdr:cNvPr>
        <xdr:cNvSpPr/>
      </xdr:nvSpPr>
      <xdr:spPr>
        <a:xfrm>
          <a:off x="10248901" y="295275"/>
          <a:ext cx="120015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8</xdr:col>
      <xdr:colOff>28575</xdr:colOff>
      <xdr:row>1</xdr:row>
      <xdr:rowOff>95250</xdr:rowOff>
    </xdr:from>
    <xdr:to>
      <xdr:col>9</xdr:col>
      <xdr:colOff>495300</xdr:colOff>
      <xdr:row>1</xdr:row>
      <xdr:rowOff>342900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B347B63-64F5-4893-95E6-C1F807335BC0}"/>
            </a:ext>
          </a:extLst>
        </xdr:cNvPr>
        <xdr:cNvSpPr/>
      </xdr:nvSpPr>
      <xdr:spPr>
        <a:xfrm>
          <a:off x="7600950" y="285750"/>
          <a:ext cx="13335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Ir para Semanas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81A6E89E-7CE8-4EC2-8081-9A02D5B8CE86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  <xdr:twoCellAnchor>
    <xdr:from>
      <xdr:col>0</xdr:col>
      <xdr:colOff>85724</xdr:colOff>
      <xdr:row>2</xdr:row>
      <xdr:rowOff>400050</xdr:rowOff>
    </xdr:from>
    <xdr:to>
      <xdr:col>0</xdr:col>
      <xdr:colOff>1371599</xdr:colOff>
      <xdr:row>4</xdr:row>
      <xdr:rowOff>66675</xdr:rowOff>
    </xdr:to>
    <xdr:sp macro="[0]!Macro9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6CAF0A70-D401-4CAC-AD74-D40DCBD8A95E}"/>
            </a:ext>
          </a:extLst>
        </xdr:cNvPr>
        <xdr:cNvSpPr/>
      </xdr:nvSpPr>
      <xdr:spPr>
        <a:xfrm>
          <a:off x="85724" y="1057275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D22FA648-144A-4ECE-9778-4381C9EDF560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619126</xdr:colOff>
      <xdr:row>1</xdr:row>
      <xdr:rowOff>104775</xdr:rowOff>
    </xdr:from>
    <xdr:to>
      <xdr:col>10</xdr:col>
      <xdr:colOff>542926</xdr:colOff>
      <xdr:row>1</xdr:row>
      <xdr:rowOff>352425</xdr:rowOff>
    </xdr:to>
    <xdr:sp macro="" textlink="">
      <xdr:nvSpPr>
        <xdr:cNvPr id="13" name="Retângulo: Cantos Arredondados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B99E28-C9AD-42C9-A29A-F84A8D91A2F2}"/>
            </a:ext>
          </a:extLst>
        </xdr:cNvPr>
        <xdr:cNvSpPr/>
      </xdr:nvSpPr>
      <xdr:spPr>
        <a:xfrm>
          <a:off x="9067801" y="295275"/>
          <a:ext cx="11144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5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619126</xdr:colOff>
      <xdr:row>1</xdr:row>
      <xdr:rowOff>104775</xdr:rowOff>
    </xdr:from>
    <xdr:to>
      <xdr:col>11</xdr:col>
      <xdr:colOff>628651</xdr:colOff>
      <xdr:row>1</xdr:row>
      <xdr:rowOff>352425</xdr:rowOff>
    </xdr:to>
    <xdr:sp macro="" textlink="">
      <xdr:nvSpPr>
        <xdr:cNvPr id="14" name="Retângulo: Cantos Arredondados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BC2A542-D97D-4BCC-AEA3-8B7E3B1085BD}"/>
            </a:ext>
          </a:extLst>
        </xdr:cNvPr>
        <xdr:cNvSpPr/>
      </xdr:nvSpPr>
      <xdr:spPr>
        <a:xfrm>
          <a:off x="10258426" y="295275"/>
          <a:ext cx="120015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8</xdr:col>
      <xdr:colOff>28575</xdr:colOff>
      <xdr:row>1</xdr:row>
      <xdr:rowOff>95250</xdr:rowOff>
    </xdr:from>
    <xdr:to>
      <xdr:col>9</xdr:col>
      <xdr:colOff>495300</xdr:colOff>
      <xdr:row>1</xdr:row>
      <xdr:rowOff>342900</xdr:rowOff>
    </xdr:to>
    <xdr:sp macro="" textlink="">
      <xdr:nvSpPr>
        <xdr:cNvPr id="15" name="Retângulo: Cantos Arredondados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28A7851-6BE2-40B8-AFC4-D0B7A41B9377}"/>
            </a:ext>
          </a:extLst>
        </xdr:cNvPr>
        <xdr:cNvSpPr/>
      </xdr:nvSpPr>
      <xdr:spPr>
        <a:xfrm>
          <a:off x="7610475" y="285750"/>
          <a:ext cx="13335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Ir para Semanas</a:t>
          </a:r>
        </a:p>
      </xdr:txBody>
    </xdr:sp>
    <xdr:clientData/>
  </xdr:twoCellAnchor>
  <xdr:twoCellAnchor>
    <xdr:from>
      <xdr:col>0</xdr:col>
      <xdr:colOff>85724</xdr:colOff>
      <xdr:row>2</xdr:row>
      <xdr:rowOff>400050</xdr:rowOff>
    </xdr:from>
    <xdr:to>
      <xdr:col>0</xdr:col>
      <xdr:colOff>1371599</xdr:colOff>
      <xdr:row>4</xdr:row>
      <xdr:rowOff>66675</xdr:rowOff>
    </xdr:to>
    <xdr:sp macro="[0]!Nova_Venda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521CEF84-45F5-49A6-9205-0DBFCE087C43}"/>
            </a:ext>
          </a:extLst>
        </xdr:cNvPr>
        <xdr:cNvSpPr/>
      </xdr:nvSpPr>
      <xdr:spPr>
        <a:xfrm>
          <a:off x="85724" y="1057275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0</xdr:col>
      <xdr:colOff>85724</xdr:colOff>
      <xdr:row>2</xdr:row>
      <xdr:rowOff>400050</xdr:rowOff>
    </xdr:from>
    <xdr:to>
      <xdr:col>0</xdr:col>
      <xdr:colOff>1371599</xdr:colOff>
      <xdr:row>4</xdr:row>
      <xdr:rowOff>66675</xdr:rowOff>
    </xdr:to>
    <xdr:sp macro="[0]!Macro9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77A40566-819F-4256-A0DE-2B80ADBCD563}"/>
            </a:ext>
          </a:extLst>
        </xdr:cNvPr>
        <xdr:cNvSpPr/>
      </xdr:nvSpPr>
      <xdr:spPr>
        <a:xfrm>
          <a:off x="85724" y="1057275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BCC144E1-7735-4C8B-8E3F-9D004E844DA5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619126</xdr:colOff>
      <xdr:row>1</xdr:row>
      <xdr:rowOff>95250</xdr:rowOff>
    </xdr:from>
    <xdr:to>
      <xdr:col>10</xdr:col>
      <xdr:colOff>628651</xdr:colOff>
      <xdr:row>1</xdr:row>
      <xdr:rowOff>342900</xdr:rowOff>
    </xdr:to>
    <xdr:sp macro="" textlink="">
      <xdr:nvSpPr>
        <xdr:cNvPr id="10" name="Retângulo: Cantos Arredondados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1793FE-0E05-43F3-A583-4CFB6693831C}"/>
            </a:ext>
          </a:extLst>
        </xdr:cNvPr>
        <xdr:cNvSpPr/>
      </xdr:nvSpPr>
      <xdr:spPr>
        <a:xfrm>
          <a:off x="9029701" y="285750"/>
          <a:ext cx="120015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8</xdr:col>
      <xdr:colOff>28575</xdr:colOff>
      <xdr:row>1</xdr:row>
      <xdr:rowOff>95250</xdr:rowOff>
    </xdr:from>
    <xdr:to>
      <xdr:col>9</xdr:col>
      <xdr:colOff>495300</xdr:colOff>
      <xdr:row>1</xdr:row>
      <xdr:rowOff>342900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CB2A677-D96E-4FF1-999A-B8555CAB2D06}"/>
            </a:ext>
          </a:extLst>
        </xdr:cNvPr>
        <xdr:cNvSpPr/>
      </xdr:nvSpPr>
      <xdr:spPr>
        <a:xfrm>
          <a:off x="7639050" y="285750"/>
          <a:ext cx="13335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Ir para Semanas</a:t>
          </a:r>
        </a:p>
      </xdr:txBody>
    </xdr:sp>
    <xdr:clientData/>
  </xdr:twoCellAnchor>
  <xdr:twoCellAnchor>
    <xdr:from>
      <xdr:col>0</xdr:col>
      <xdr:colOff>85724</xdr:colOff>
      <xdr:row>2</xdr:row>
      <xdr:rowOff>400050</xdr:rowOff>
    </xdr:from>
    <xdr:to>
      <xdr:col>0</xdr:col>
      <xdr:colOff>1371599</xdr:colOff>
      <xdr:row>4</xdr:row>
      <xdr:rowOff>66675</xdr:rowOff>
    </xdr:to>
    <xdr:sp macro="[0]!Macro9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AEEB3DAB-B280-4BA0-B4B5-E962EE4B78D5}"/>
            </a:ext>
          </a:extLst>
        </xdr:cNvPr>
        <xdr:cNvSpPr/>
      </xdr:nvSpPr>
      <xdr:spPr>
        <a:xfrm>
          <a:off x="85724" y="1057275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5C8EB93-8B1D-4647-9928-0C0A05F0FFAA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ayla%20&amp;%20Laysa\Downloads\Controle+Mercado_base%20(3).xlsm" TargetMode="External"/><Relationship Id="rId1" Type="http://schemas.openxmlformats.org/officeDocument/2006/relationships/externalLinkPath" Target="/Users/Layla%20&amp;%20Laysa/Downloads/Controle+Mercado_base%20(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espesas"/>
      <sheetName val="Compras Mercadorias"/>
      <sheetName val="Controle de Estoque"/>
      <sheetName val="Investimentos"/>
      <sheetName val="Resultados"/>
      <sheetName val="Vendas"/>
      <sheetName val="Sem1"/>
      <sheetName val="Análise Sem1"/>
      <sheetName val="Sem2"/>
      <sheetName val="Análise Sem2"/>
      <sheetName val="Sem3"/>
      <sheetName val="Sem4"/>
      <sheetName val="Sem5"/>
      <sheetName val="cálculos"/>
    </sheetNames>
    <sheetDataSet>
      <sheetData sheetId="0"/>
      <sheetData sheetId="1">
        <row r="31">
          <cell r="G31">
            <v>45907</v>
          </cell>
        </row>
      </sheetData>
      <sheetData sheetId="2">
        <row r="28">
          <cell r="I28">
            <v>13996.532499999999</v>
          </cell>
        </row>
      </sheetData>
      <sheetData sheetId="3"/>
      <sheetData sheetId="4">
        <row r="11">
          <cell r="E11">
            <v>0</v>
          </cell>
        </row>
      </sheetData>
      <sheetData sheetId="5"/>
      <sheetData sheetId="6">
        <row r="18">
          <cell r="D18">
            <v>616.1038199999997</v>
          </cell>
        </row>
        <row r="27">
          <cell r="D27">
            <v>40.5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wner" refreshedDate="45139.688472222224" createdVersion="8" refreshedVersion="8" minRefreshableVersion="3" recordCount="24" xr:uid="{A035ED50-C112-4868-BA68-40360583B0C7}">
  <cacheSource type="worksheet">
    <worksheetSource name="Tabela46"/>
  </cacheSource>
  <cacheFields count="12">
    <cacheField name="Id da Venda" numFmtId="0">
      <sharedItems containsSemiMixedTypes="0" containsString="0" containsNumber="1" containsInteger="1" minValue="1" maxValue="13"/>
    </cacheField>
    <cacheField name="Data da Vend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s" numFmtId="0">
      <sharedItems count="13"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  <s v="Amendoim"/>
      </sharedItems>
    </cacheField>
    <cacheField name="Unidade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4260000000000004" maxValue="23.827999999999999"/>
    </cacheField>
    <cacheField name="SubTotal" numFmtId="44">
      <sharedItems containsSemiMixedTypes="0" containsString="0" containsNumber="1" minValue="0.74260000000000004" maxValue="144.69"/>
    </cacheField>
    <cacheField name="Desconto" numFmtId="9">
      <sharedItems containsString="0" containsBlank="1" containsNumber="1" minValue="0.05" maxValue="0.05"/>
    </cacheField>
    <cacheField name="Entrega" numFmtId="0">
      <sharedItems count="4">
        <s v="Zona Sul"/>
        <s v="Loja"/>
        <s v="Zona Norte"/>
        <s v="Zona Oeste"/>
      </sharedItems>
    </cacheField>
    <cacheField name="Valor da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4260000000000004" maxValue="137.4555"/>
    </cacheField>
    <cacheField name="Total Cliente" numFmtId="44">
      <sharedItems containsMixedTypes="1" containsNumber="1" minValue="2.1023999999999998" maxValue="192.63282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wner" refreshedDate="45139.700872685185" createdVersion="8" refreshedVersion="8" minRefreshableVersion="3" recordCount="3" xr:uid="{487B83A6-6822-4D70-BE34-67BF43A1C93D}">
  <cacheSource type="worksheet">
    <worksheetSource ref="B4:M7" sheet="Sem2"/>
  </cacheSource>
  <cacheFields count="12">
    <cacheField name="Id da Venda" numFmtId="0">
      <sharedItems containsSemiMixedTypes="0" containsString="0" containsNumber="1" containsInteger="1" minValue="1" maxValue="2"/>
    </cacheField>
    <cacheField name="Data da Venda" numFmtId="14">
      <sharedItems containsSemiMixedTypes="0" containsNonDate="0" containsDate="1" containsString="0" minDate="2015-07-05T00:00:00" maxDate="2023-08-02T00:00:00" count="2">
        <d v="2023-08-01T00:00:00"/>
        <d v="2015-07-05T00:00:00"/>
      </sharedItems>
    </cacheField>
    <cacheField name="Produtos" numFmtId="0">
      <sharedItems count="2">
        <s v="Amendoim"/>
        <s v="Barra de Cereal"/>
      </sharedItems>
    </cacheField>
    <cacheField name="Unidade" numFmtId="0">
      <sharedItems/>
    </cacheField>
    <cacheField name="Quantidade" numFmtId="0">
      <sharedItems containsSemiMixedTypes="0" containsString="0" containsNumber="1" containsInteger="1" minValue="10" maxValue="22"/>
    </cacheField>
    <cacheField name="Preço Unitário" numFmtId="44">
      <sharedItems containsSemiMixedTypes="0" containsString="0" containsNumber="1" minValue="1.0580000000000001" maxValue="1.0924999999999998"/>
    </cacheField>
    <cacheField name="SubTotal" numFmtId="44">
      <sharedItems containsSemiMixedTypes="0" containsString="0" containsNumber="1" minValue="10.924999999999997" maxValue="23.276"/>
    </cacheField>
    <cacheField name="Desconto" numFmtId="9">
      <sharedItems containsNonDate="0" containsString="0" containsBlank="1"/>
    </cacheField>
    <cacheField name="Entrega" numFmtId="0">
      <sharedItems containsBlank="1"/>
    </cacheField>
    <cacheField name="Valor da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10.924999999999997" maxValue="23.276"/>
    </cacheField>
    <cacheField name="Total Cliente" numFmtId="44">
      <sharedItems containsSemiMixedTypes="0" containsString="0" containsNumber="1" minValue="10.924999999999997" maxValue="35.972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wner" refreshedDate="45139.700996412037" createdVersion="8" refreshedVersion="8" minRefreshableVersion="3" recordCount="26" xr:uid="{276304B1-E2A5-4841-87CF-42D5950143E2}">
  <cacheSource type="worksheet">
    <worksheetSource name="Tabela47"/>
  </cacheSource>
  <cacheFields count="12">
    <cacheField name="Id da Venda" numFmtId="0">
      <sharedItems containsString="0" containsBlank="1" containsNumber="1" containsInteger="1" minValue="1" maxValue="2"/>
    </cacheField>
    <cacheField name="Data da Venda" numFmtId="0">
      <sharedItems containsNonDate="0" containsDate="1" containsString="0" containsBlank="1" minDate="2015-07-05T00:00:00" maxDate="2023-08-02T00:00:00"/>
    </cacheField>
    <cacheField name="Produtos" numFmtId="0">
      <sharedItems containsBlank="1" count="3">
        <s v="Amendoim"/>
        <s v="Barra de Cereal"/>
        <m/>
      </sharedItems>
    </cacheField>
    <cacheField name="Unidade" numFmtId="0">
      <sharedItems/>
    </cacheField>
    <cacheField name="Quantidade" numFmtId="0">
      <sharedItems containsString="0" containsBlank="1" containsNumber="1" containsInteger="1" minValue="10" maxValue="22"/>
    </cacheField>
    <cacheField name="Preço Unitário" numFmtId="44">
      <sharedItems containsSemiMixedTypes="0" containsString="0" containsNumber="1" minValue="0" maxValue="1.0924999999999998"/>
    </cacheField>
    <cacheField name="SubTotal" numFmtId="44">
      <sharedItems containsSemiMixedTypes="0" containsString="0" containsNumber="1" minValue="0" maxValue="23.276"/>
    </cacheField>
    <cacheField name="Desconto" numFmtId="9">
      <sharedItems containsNonDate="0" containsString="0" containsBlank="1"/>
    </cacheField>
    <cacheField name="Entrega" numFmtId="0">
      <sharedItems containsBlank="1" count="2">
        <s v="Loja"/>
        <m/>
      </sharedItems>
    </cacheField>
    <cacheField name="Valor da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3.276"/>
    </cacheField>
    <cacheField name="Total Cliente" numFmtId="44">
      <sharedItems containsMixedTypes="1" containsNumber="1" minValue="10.924999999999997" maxValue="35.972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3"/>
    <x v="0"/>
    <x v="0"/>
    <s v="Pacote"/>
    <n v="1"/>
    <n v="0.74260000000000004"/>
    <n v="0.74260000000000004"/>
    <m/>
    <x v="0"/>
    <n v="0"/>
    <n v="0.74260000000000004"/>
    <s v=""/>
  </r>
  <r>
    <n v="13"/>
    <x v="0"/>
    <x v="1"/>
    <s v="Kg"/>
    <n v="10"/>
    <n v="14.469000000000001"/>
    <n v="144.69"/>
    <n v="0.05"/>
    <x v="0"/>
    <n v="0"/>
    <n v="137.4555"/>
    <s v=""/>
  </r>
  <r>
    <n v="13"/>
    <x v="0"/>
    <x v="2"/>
    <s v="Lata"/>
    <n v="24"/>
    <n v="2.1023999999999998"/>
    <n v="50.457599999999999"/>
    <n v="0.05"/>
    <x v="0"/>
    <n v="6.5"/>
    <n v="54.434719999999999"/>
    <n v="192.63282000000001"/>
  </r>
  <r>
    <n v="12"/>
    <x v="1"/>
    <x v="2"/>
    <s v="Lata"/>
    <n v="1"/>
    <n v="2.1023999999999998"/>
    <n v="2.1023999999999998"/>
    <m/>
    <x v="1"/>
    <n v="0"/>
    <n v="2.1023999999999998"/>
    <n v="2.1023999999999998"/>
  </r>
  <r>
    <n v="11"/>
    <x v="1"/>
    <x v="2"/>
    <s v="Lata"/>
    <n v="10"/>
    <n v="2.1023999999999998"/>
    <n v="21.023999999999997"/>
    <m/>
    <x v="1"/>
    <n v="0"/>
    <n v="21.023999999999997"/>
    <n v="21.023999999999997"/>
  </r>
  <r>
    <n v="10"/>
    <x v="1"/>
    <x v="3"/>
    <s v="Kg"/>
    <n v="6"/>
    <n v="4.0659999999999998"/>
    <n v="24.396000000000001"/>
    <m/>
    <x v="1"/>
    <n v="0"/>
    <n v="24.396000000000001"/>
    <s v=""/>
  </r>
  <r>
    <n v="10"/>
    <x v="1"/>
    <x v="4"/>
    <s v="Litro"/>
    <n v="4"/>
    <n v="2.1749000000000001"/>
    <n v="8.6996000000000002"/>
    <m/>
    <x v="1"/>
    <n v="0"/>
    <n v="8.6996000000000002"/>
    <n v="33.095600000000005"/>
  </r>
  <r>
    <n v="9"/>
    <x v="2"/>
    <x v="5"/>
    <s v="Unidade"/>
    <n v="5"/>
    <n v="2.6299000000000001"/>
    <n v="13.1495"/>
    <m/>
    <x v="1"/>
    <n v="0"/>
    <n v="13.1495"/>
    <s v=""/>
  </r>
  <r>
    <n v="9"/>
    <x v="2"/>
    <x v="6"/>
    <s v="Kg"/>
    <n v="2"/>
    <n v="9.1009999999999991"/>
    <n v="18.201999999999998"/>
    <m/>
    <x v="1"/>
    <n v="0"/>
    <n v="18.201999999999998"/>
    <s v=""/>
  </r>
  <r>
    <n v="9"/>
    <x v="2"/>
    <x v="7"/>
    <s v="Kg"/>
    <n v="1.5"/>
    <n v="23.827999999999999"/>
    <n v="35.741999999999997"/>
    <m/>
    <x v="1"/>
    <n v="0"/>
    <n v="35.741999999999997"/>
    <s v=""/>
  </r>
  <r>
    <n v="9"/>
    <x v="2"/>
    <x v="3"/>
    <s v="Kg"/>
    <n v="4"/>
    <n v="4.0659999999999998"/>
    <n v="16.263999999999999"/>
    <m/>
    <x v="1"/>
    <n v="0"/>
    <n v="16.263999999999999"/>
    <n v="83.357499999999987"/>
  </r>
  <r>
    <n v="8"/>
    <x v="2"/>
    <x v="2"/>
    <s v="Lata"/>
    <n v="20"/>
    <n v="2.1023999999999998"/>
    <n v="42.047999999999995"/>
    <n v="0.05"/>
    <x v="0"/>
    <n v="6.5"/>
    <n v="46.445599999999992"/>
    <n v="46.445599999999992"/>
  </r>
  <r>
    <n v="7"/>
    <x v="2"/>
    <x v="2"/>
    <s v="Lata"/>
    <n v="20"/>
    <n v="2.1023999999999998"/>
    <n v="42.047999999999995"/>
    <n v="0.05"/>
    <x v="1"/>
    <n v="0"/>
    <n v="39.945599999999992"/>
    <n v="39.945599999999992"/>
  </r>
  <r>
    <n v="6"/>
    <x v="2"/>
    <x v="0"/>
    <s v="Pacote"/>
    <n v="2"/>
    <n v="0.74260000000000004"/>
    <n v="1.4852000000000001"/>
    <m/>
    <x v="1"/>
    <n v="0"/>
    <n v="1.4852000000000001"/>
    <s v=""/>
  </r>
  <r>
    <n v="6"/>
    <x v="2"/>
    <x v="1"/>
    <s v="Kg"/>
    <n v="6"/>
    <n v="14.469000000000001"/>
    <n v="86.814000000000007"/>
    <m/>
    <x v="1"/>
    <n v="0"/>
    <n v="86.814000000000007"/>
    <s v=""/>
  </r>
  <r>
    <n v="6"/>
    <x v="2"/>
    <x v="2"/>
    <s v="Lata"/>
    <n v="12"/>
    <n v="2.1023999999999998"/>
    <n v="25.2288"/>
    <m/>
    <x v="1"/>
    <n v="0"/>
    <n v="25.2288"/>
    <n v="113.52800000000002"/>
  </r>
  <r>
    <n v="5"/>
    <x v="3"/>
    <x v="8"/>
    <s v="Unidade"/>
    <n v="3"/>
    <n v="2.8405"/>
    <n v="8.5214999999999996"/>
    <m/>
    <x v="0"/>
    <n v="6.5"/>
    <n v="15.0215"/>
    <n v="15.0215"/>
  </r>
  <r>
    <n v="4"/>
    <x v="3"/>
    <x v="9"/>
    <s v="Pacote"/>
    <n v="2"/>
    <n v="1.8506999999999998"/>
    <n v="3.7013999999999996"/>
    <m/>
    <x v="2"/>
    <n v="0"/>
    <n v="3.7013999999999996"/>
    <s v=""/>
  </r>
  <r>
    <n v="4"/>
    <x v="3"/>
    <x v="10"/>
    <s v="Kg"/>
    <n v="5"/>
    <n v="2.3406000000000002"/>
    <n v="11.703000000000001"/>
    <m/>
    <x v="2"/>
    <n v="6.5"/>
    <n v="18.203000000000003"/>
    <n v="21.904400000000003"/>
  </r>
  <r>
    <n v="3"/>
    <x v="3"/>
    <x v="11"/>
    <s v="Litro"/>
    <n v="6"/>
    <n v="1.3708"/>
    <n v="8.2248000000000001"/>
    <m/>
    <x v="3"/>
    <n v="8"/>
    <n v="16.224800000000002"/>
    <n v="16.224800000000002"/>
  </r>
  <r>
    <n v="2"/>
    <x v="3"/>
    <x v="9"/>
    <s v="Pacote"/>
    <n v="1"/>
    <n v="1.8506999999999998"/>
    <n v="1.8506999999999998"/>
    <m/>
    <x v="2"/>
    <n v="6.5"/>
    <n v="8.3506999999999998"/>
    <n v="8.3506999999999998"/>
  </r>
  <r>
    <n v="1"/>
    <x v="3"/>
    <x v="10"/>
    <s v="Kg"/>
    <n v="2"/>
    <n v="2.3406000000000002"/>
    <n v="4.6812000000000005"/>
    <m/>
    <x v="1"/>
    <n v="0"/>
    <n v="4.6812000000000005"/>
    <s v=""/>
  </r>
  <r>
    <n v="1"/>
    <x v="3"/>
    <x v="12"/>
    <s v="Pacote"/>
    <n v="3"/>
    <n v="1.0580000000000001"/>
    <n v="3.1740000000000004"/>
    <m/>
    <x v="1"/>
    <n v="0"/>
    <n v="3.1740000000000004"/>
    <s v=""/>
  </r>
  <r>
    <n v="1"/>
    <x v="3"/>
    <x v="9"/>
    <s v="Pacote"/>
    <n v="1"/>
    <n v="1.8506999999999998"/>
    <n v="1.8506999999999998"/>
    <m/>
    <x v="1"/>
    <n v="0"/>
    <n v="1.8506999999999998"/>
    <n v="9.70589999999999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2"/>
    <x v="0"/>
    <x v="0"/>
    <s v="Pacote"/>
    <n v="12"/>
    <n v="1.0580000000000001"/>
    <n v="12.696000000000002"/>
    <m/>
    <s v="Loja"/>
    <n v="0"/>
    <n v="12.696000000000002"/>
    <n v="35.972000000000001"/>
  </r>
  <r>
    <n v="1"/>
    <x v="1"/>
    <x v="1"/>
    <s v="Pacote"/>
    <n v="10"/>
    <n v="1.0924999999999998"/>
    <n v="10.924999999999997"/>
    <m/>
    <s v="Loja"/>
    <n v="0"/>
    <n v="10.924999999999997"/>
    <n v="10.924999999999997"/>
  </r>
  <r>
    <n v="2"/>
    <x v="1"/>
    <x v="0"/>
    <s v="Pacote"/>
    <n v="22"/>
    <n v="1.0580000000000001"/>
    <n v="23.276"/>
    <m/>
    <m/>
    <n v="0"/>
    <n v="23.276"/>
    <n v="35.97200000000000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2"/>
    <d v="2023-08-01T00:00:00"/>
    <x v="0"/>
    <s v="Pacote"/>
    <n v="12"/>
    <n v="1.0580000000000001"/>
    <n v="12.696000000000002"/>
    <m/>
    <x v="0"/>
    <n v="0"/>
    <n v="12.696000000000002"/>
    <n v="35.972000000000001"/>
  </r>
  <r>
    <n v="1"/>
    <d v="2015-07-05T00:00:00"/>
    <x v="1"/>
    <s v="Pacote"/>
    <n v="10"/>
    <n v="1.0924999999999998"/>
    <n v="10.924999999999997"/>
    <m/>
    <x v="0"/>
    <n v="0"/>
    <n v="10.924999999999997"/>
    <n v="10.924999999999997"/>
  </r>
  <r>
    <n v="2"/>
    <d v="2015-07-05T00:00:00"/>
    <x v="0"/>
    <s v="Pacote"/>
    <n v="22"/>
    <n v="1.0580000000000001"/>
    <n v="23.276"/>
    <m/>
    <x v="1"/>
    <n v="0"/>
    <n v="23.276"/>
    <n v="35.972000000000001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ABE958-769D-4F45-8C12-625F9717B731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8" firstHeaderRow="0" firstDataRow="1" firstDataCol="1"/>
  <pivotFields count="12">
    <pivotField showAll="0"/>
    <pivotField numFmtId="14" showAll="0"/>
    <pivotField axis="axisRow" showAll="0">
      <items count="14">
        <item x="8"/>
        <item x="12"/>
        <item x="10"/>
        <item x="9"/>
        <item x="0"/>
        <item x="1"/>
        <item x="2"/>
        <item x="3"/>
        <item x="11"/>
        <item x="5"/>
        <item x="7"/>
        <item x="4"/>
        <item x="6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sd="0" x="1"/>
        <item sd="0" x="2"/>
        <item sd="0" x="3"/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B6ABB2-3546-434F-9FE7-D2B6BEAF3ECE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26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14">
        <item x="8"/>
        <item x="12"/>
        <item x="10"/>
        <item x="9"/>
        <item x="0"/>
        <item x="1"/>
        <item x="2"/>
        <item x="3"/>
        <item x="11"/>
        <item x="5"/>
        <item x="7"/>
        <item x="4"/>
        <item x="6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23">
    <i>
      <x/>
    </i>
    <i r="1">
      <x/>
    </i>
    <i r="1">
      <x v="1"/>
    </i>
    <i r="1">
      <x v="2"/>
    </i>
    <i r="1">
      <x v="3"/>
    </i>
    <i r="1">
      <x v="8"/>
    </i>
    <i>
      <x v="1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>
      <x v="2"/>
    </i>
    <i r="1">
      <x v="6"/>
    </i>
    <i r="1">
      <x v="7"/>
    </i>
    <i r="1">
      <x v="11"/>
    </i>
    <i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7506C7-14BF-41D2-974F-457605061875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9" firstHeaderRow="0" firstDataRow="1" firstDataCol="1"/>
  <pivotFields count="12">
    <pivotField showAll="0"/>
    <pivotField axis="axisRow" numFmtId="14" showAll="0">
      <items count="3">
        <item x="1"/>
        <item x="0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6">
    <i>
      <x/>
    </i>
    <i r="1">
      <x/>
    </i>
    <i r="1">
      <x v="1"/>
    </i>
    <i>
      <x v="1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C7A26D-BFDC-4B24-B3A7-4D982C59883D}" name="Tabela dinâmica3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10" firstHeaderRow="0" firstDataRow="1" firstDataCol="1"/>
  <pivotFields count="12">
    <pivotField showAll="0"/>
    <pivotField numFmtId="14" showAll="0"/>
    <pivotField axis="axisRow" showAll="0">
      <items count="4">
        <item x="0"/>
        <item x="1"/>
        <item x="2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7">
    <i>
      <x/>
    </i>
    <i r="1">
      <x/>
    </i>
    <i r="1">
      <x v="1"/>
    </i>
    <i>
      <x v="1"/>
    </i>
    <i r="1">
      <x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4:G29" totalsRowShown="0" headerRowDxfId="107" headerRowBorderDxfId="106" tableBorderDxfId="105" totalsRowBorderDxfId="104">
  <tableColumns count="6">
    <tableColumn id="1" xr3:uid="{00000000-0010-0000-0000-000001000000}" name="Despesas Funcionamento" dataDxfId="103"/>
    <tableColumn id="2" xr3:uid="{00000000-0010-0000-0000-000002000000}" name="Itens Despesas" dataDxfId="102"/>
    <tableColumn id="4" xr3:uid="{00000000-0010-0000-0000-000004000000}" name="Data" dataDxfId="101"/>
    <tableColumn id="3" xr3:uid="{00000000-0010-0000-0000-000003000000}" name="Observação" dataDxfId="100"/>
    <tableColumn id="6" xr3:uid="{00000000-0010-0000-0000-000006000000}" name="Valor Intermediário" dataDxfId="99" dataCellStyle="Moeda"/>
    <tableColumn id="7" xr3:uid="{00000000-0010-0000-0000-000007000000}" name="Valor Final" dataDxfId="98" dataCellStyle="Moeda"/>
  </tableColumns>
  <tableStyleInfo name="TableStyleMedium6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B4:I25" totalsRowShown="0">
  <sortState xmlns:xlrd2="http://schemas.microsoft.com/office/spreadsheetml/2017/richdata2" ref="B5:I25">
    <sortCondition descending="1" ref="B5"/>
  </sortState>
  <tableColumns count="8">
    <tableColumn id="1" xr3:uid="{00000000-0010-0000-0100-000001000000}" name="Data" dataDxfId="97"/>
    <tableColumn id="2" xr3:uid="{00000000-0010-0000-0100-000002000000}" name="Fornecedor"/>
    <tableColumn id="3" xr3:uid="{00000000-0010-0000-0100-000003000000}" name="Mercadoria"/>
    <tableColumn id="8" xr3:uid="{00000000-0010-0000-0100-000008000000}" name="Unidade" dataDxfId="96">
      <calculatedColumnFormula>IFERROR(VLOOKUP(Tabela2[[#This Row],[Mercadoria]],cálculos!$E$3:$H$26,4,0),"")</calculatedColumnFormula>
    </tableColumn>
    <tableColumn id="4" xr3:uid="{00000000-0010-0000-0100-000004000000}" name="Quantidade"/>
    <tableColumn id="5" xr3:uid="{00000000-0010-0000-0100-000005000000}" name="Preço Unitário" dataDxfId="95" dataCellStyle="Moeda">
      <calculatedColumnFormula>IFERROR(VLOOKUP(Tabela2[[#This Row],[Mercadoria]],cálculos!$E$3:$G$26,2,0),0)</calculatedColumnFormula>
    </tableColumn>
    <tableColumn id="6" xr3:uid="{00000000-0010-0000-0100-000006000000}" name="Desconto" dataCellStyle="Porcentagem"/>
    <tableColumn id="7" xr3:uid="{00000000-0010-0000-0100-000007000000}" name="Preço Pago" dataDxfId="94" dataCellStyle="Moeda">
      <calculatedColumnFormula>Tabela2[[#This Row],[Quantidade]]*Tabela2[[#This Row],[Preço Unitário]]*(1-Tabela2[[#This Row],[Desconto]])</calculatedColumnFormula>
    </tableColumn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B4:E9" totalsRowShown="0">
  <tableColumns count="4">
    <tableColumn id="1" xr3:uid="{00000000-0010-0000-0300-000001000000}" name="Investimento"/>
    <tableColumn id="2" xr3:uid="{00000000-0010-0000-0300-000002000000}" name="Data" dataDxfId="93"/>
    <tableColumn id="5" xr3:uid="{00000000-0010-0000-0300-000005000000}" name="Descrição" dataDxfId="92"/>
    <tableColumn id="4" xr3:uid="{00000000-0010-0000-0300-000004000000}" name="Valor" dataDxfId="91" dataCellStyle="Moeda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B4:H28" totalsRowShown="0">
  <tableColumns count="7">
    <tableColumn id="1" xr3:uid="{00000000-0010-0000-0200-000001000000}" name="Produto" dataDxfId="88">
      <calculatedColumnFormula>cálculos!E3</calculatedColumnFormula>
    </tableColumn>
    <tableColumn id="2" xr3:uid="{00000000-0010-0000-0200-000002000000}" name="Data da última compra" dataDxfId="87">
      <calculatedColumnFormula>IFERROR(INDEX(Tabela2[],MATCH(Tabela3[[#This Row],[Produto]],Tabela2[Mercadoria],0),1),"")</calculatedColumnFormula>
    </tableColumn>
    <tableColumn id="3" xr3:uid="{00000000-0010-0000-0200-000003000000}" name="Quantidade Inicial"/>
    <tableColumn id="5" xr3:uid="{00000000-0010-0000-0200-000005000000}" name="Quantidade Comprada" dataDxfId="86">
      <calculatedColumnFormula>SUMIF(Tabela2[Mercadoria],Tabela3[[#This Row],[Produto]],Tabela2[Quantidade])</calculatedColumnFormula>
    </tableColumn>
    <tableColumn id="4" xr3:uid="{00000000-0010-0000-0200-000004000000}" name="Quantidade Vendida" dataDxfId="85">
      <calculatedColumnFormula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calculatedColumnFormula>
    </tableColumn>
    <tableColumn id="6" xr3:uid="{00000000-0010-0000-0200-000006000000}" name="Quantidade Atual" dataDxfId="84">
      <calculatedColumnFormula>Tabela3[[#This Row],[Quantidade Inicial]]+Tabela3[[#This Row],[Quantidade Comprada]]-Tabela3[[#This Row],[Quantidade Vendida]]</calculatedColumnFormula>
    </tableColumn>
    <tableColumn id="7" xr3:uid="{00000000-0010-0000-0200-000007000000}" name="Situação" dataDxfId="83">
      <calculatedColumnFormula>IF(Tabela3[[#This Row],[Quantidade Atual]]&lt;50,IF(Tabela3[[#This Row],[Quantidade Atual]]&lt;20,"Comprar","Atenção"),"OK")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46" displayName="Tabela46" ref="B4:M28" totalsRowShown="0" headerRowDxfId="79" headerRowBorderDxfId="78" tableBorderDxfId="77" totalsRowBorderDxfId="76">
  <tableColumns count="12">
    <tableColumn id="1" xr3:uid="{00000000-0010-0000-0400-000001000000}" name="Id da Venda" dataDxfId="75"/>
    <tableColumn id="12" xr3:uid="{00000000-0010-0000-0400-00000C000000}" name="Data da Venda" dataDxfId="74"/>
    <tableColumn id="3" xr3:uid="{00000000-0010-0000-0400-000003000000}" name="Produtos" dataDxfId="73"/>
    <tableColumn id="11" xr3:uid="{00000000-0010-0000-0400-00000B000000}" name="Unidade" dataDxfId="72">
      <calculatedColumnFormula>IFERROR(VLOOKUP(Tabela46[[#This Row],[Produtos]],cálculos!$E$3:$H$26,4,0),"")</calculatedColumnFormula>
    </tableColumn>
    <tableColumn id="4" xr3:uid="{00000000-0010-0000-0400-000004000000}" name="Quantidade" dataDxfId="71"/>
    <tableColumn id="5" xr3:uid="{00000000-0010-0000-0400-000005000000}" name="Preço Unitário" dataDxfId="70" dataCellStyle="Moeda">
      <calculatedColumnFormula>IFERROR(VLOOKUP(Tabela46[[#This Row],[Produtos]],cálculos!$E$3:$H$26,2,0),0)</calculatedColumnFormula>
    </tableColumn>
    <tableColumn id="6" xr3:uid="{00000000-0010-0000-0400-000006000000}" name="SubTotal" dataDxfId="69" dataCellStyle="Moeda">
      <calculatedColumnFormula>Tabela46[[#This Row],[Preço Unitário]]*Tabela46[[#This Row],[Quantidade]]</calculatedColumnFormula>
    </tableColumn>
    <tableColumn id="7" xr3:uid="{00000000-0010-0000-0400-000007000000}" name="Desconto" dataDxfId="68" dataCellStyle="Porcentagem"/>
    <tableColumn id="8" xr3:uid="{00000000-0010-0000-0400-000008000000}" name="Entrega" dataDxfId="67"/>
    <tableColumn id="10" xr3:uid="{00000000-0010-0000-0400-00000A000000}" name="Valor da Entrega" dataDxfId="66" dataCellStyle="Moeda">
      <calculatedColumnFormula>IFERROR(IF(Tabela46[[#This Row],[Id da Venda]]=B6,0,VLOOKUP(Tabela46[[#This Row],[Entrega]],cálculos!$B$3:$C$7,2,0)),0)</calculatedColumnFormula>
    </tableColumn>
    <tableColumn id="9" xr3:uid="{00000000-0010-0000-0400-000009000000}" name="Total" dataDxfId="65" dataCellStyle="Moeda">
      <calculatedColumnFormula>Tabela46[[#This Row],[SubTotal]]*(1-Tabela46[[#This Row],[Desconto]])+Tabela46[[#This Row],[Valor da Entrega]]</calculatedColumnFormula>
    </tableColumn>
    <tableColumn id="13" xr3:uid="{00000000-0010-0000-0400-00000D000000}" name="Total Cliente" dataDxfId="64" dataCellStyle="Moeda">
      <calculatedColumnFormula>IF(Tabela46[[#This Row],[Id da Venda]]=B6,"",SUMIF(Tabela46[Id da Venda],Tabela46[[#This Row],[Id da Venda]],Tabela46[Total]))</calculatedColumnFormula>
    </tableColumn>
  </tableColumns>
  <tableStyleInfo name="TableStyleMedium1" showFirstColumn="0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47" displayName="Tabela47" ref="B4:M30" totalsRowShown="0" headerRowDxfId="63" headerRowBorderDxfId="62" tableBorderDxfId="61" totalsRowBorderDxfId="60">
  <sortState xmlns:xlrd2="http://schemas.microsoft.com/office/spreadsheetml/2017/richdata2" ref="B5:L27">
    <sortCondition descending="1" ref="B6"/>
  </sortState>
  <tableColumns count="12">
    <tableColumn id="1" xr3:uid="{00000000-0010-0000-0500-000001000000}" name="Id da Venda" dataDxfId="59"/>
    <tableColumn id="12" xr3:uid="{00000000-0010-0000-0500-00000C000000}" name="Data da Venda" dataDxfId="58"/>
    <tableColumn id="3" xr3:uid="{00000000-0010-0000-0500-000003000000}" name="Produtos" dataDxfId="57"/>
    <tableColumn id="11" xr3:uid="{00000000-0010-0000-0500-00000B000000}" name="Unidade" dataDxfId="56">
      <calculatedColumnFormula>IFERROR(VLOOKUP(Tabela47[[#This Row],[Produtos]],cálculos!$E$3:$H$26,4,0),"")</calculatedColumnFormula>
    </tableColumn>
    <tableColumn id="4" xr3:uid="{00000000-0010-0000-0500-000004000000}" name="Quantidade" dataDxfId="55"/>
    <tableColumn id="5" xr3:uid="{00000000-0010-0000-0500-000005000000}" name="Preço Unitário" dataDxfId="54" dataCellStyle="Moeda">
      <calculatedColumnFormula>IFERROR(VLOOKUP(Tabela47[[#This Row],[Produtos]],cálculos!$E$3:$H$26,2,0),0)</calculatedColumnFormula>
    </tableColumn>
    <tableColumn id="6" xr3:uid="{00000000-0010-0000-0500-000006000000}" name="SubTotal" dataDxfId="53" dataCellStyle="Moeda">
      <calculatedColumnFormula>Tabela47[[#This Row],[Preço Unitário]]*Tabela47[[#This Row],[Quantidade]]</calculatedColumnFormula>
    </tableColumn>
    <tableColumn id="7" xr3:uid="{00000000-0010-0000-0500-000007000000}" name="Desconto" dataDxfId="52" dataCellStyle="Porcentagem"/>
    <tableColumn id="8" xr3:uid="{00000000-0010-0000-0500-000008000000}" name="Entrega" dataDxfId="51"/>
    <tableColumn id="10" xr3:uid="{00000000-0010-0000-0500-00000A000000}" name="Valor da Entrega" dataDxfId="50" dataCellStyle="Moeda">
      <calculatedColumnFormula>IFERROR(VLOOKUP(Tabela47[[#This Row],[Entrega]],cálculos!$B$3:$C$7,2,0),0)</calculatedColumnFormula>
    </tableColumn>
    <tableColumn id="9" xr3:uid="{00000000-0010-0000-0500-000009000000}" name="Total" dataDxfId="49" dataCellStyle="Moeda">
      <calculatedColumnFormula>Tabela47[[#This Row],[SubTotal]]*(1-Tabela47[[#This Row],[Desconto]])+Tabela47[[#This Row],[Valor da Entrega]]</calculatedColumnFormula>
    </tableColumn>
    <tableColumn id="13" xr3:uid="{00000000-0010-0000-0500-00000D000000}" name="Total Cliente" dataDxfId="48" dataCellStyle="Moeda">
      <calculatedColumnFormula>IF(Tabela47[[#This Row],[Id da Venda]]=B6,"",SUMIF(Tabela47[Id da Venda],Tabela47[[#This Row],[Id da Venda]],Tabela47[Total]))</calculatedColumnFormula>
    </tableColumn>
  </tableColumns>
  <tableStyleInfo name="TableStyleMedium1" showFirstColumn="0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48" displayName="Tabela48" ref="B4:M27" totalsRowShown="0" headerRowDxfId="47" headerRowBorderDxfId="46" tableBorderDxfId="45" totalsRowBorderDxfId="44">
  <tableColumns count="12">
    <tableColumn id="1" xr3:uid="{00000000-0010-0000-0600-000001000000}" name="Id da Venda" dataDxfId="43">
      <calculatedColumnFormula>B6+1</calculatedColumnFormula>
    </tableColumn>
    <tableColumn id="12" xr3:uid="{00000000-0010-0000-0600-00000C000000}" name="Data da Venda" dataDxfId="42"/>
    <tableColumn id="3" xr3:uid="{00000000-0010-0000-0600-000003000000}" name="Produtos" dataDxfId="41"/>
    <tableColumn id="11" xr3:uid="{00000000-0010-0000-0600-00000B000000}" name="Unidade" dataDxfId="40">
      <calculatedColumnFormula>IFERROR(VLOOKUP(Tabela48[[#This Row],[Produtos]],cálculos!$E$3:$H$26,4,0),"")</calculatedColumnFormula>
    </tableColumn>
    <tableColumn id="4" xr3:uid="{00000000-0010-0000-0600-000004000000}" name="Quantidade" dataDxfId="39"/>
    <tableColumn id="5" xr3:uid="{00000000-0010-0000-0600-000005000000}" name="Preço Unitário" dataDxfId="38" dataCellStyle="Moeda">
      <calculatedColumnFormula>IFERROR(VLOOKUP(Tabela48[[#This Row],[Produtos]],cálculos!$E$3:$H$26,2,0),0)</calculatedColumnFormula>
    </tableColumn>
    <tableColumn id="6" xr3:uid="{00000000-0010-0000-0600-000006000000}" name="SubTotal" dataDxfId="37" dataCellStyle="Moeda">
      <calculatedColumnFormula>Tabela48[[#This Row],[Preço Unitário]]*Tabela48[[#This Row],[Quantidade]]</calculatedColumnFormula>
    </tableColumn>
    <tableColumn id="7" xr3:uid="{00000000-0010-0000-0600-000007000000}" name="Desconto" dataDxfId="36" dataCellStyle="Porcentagem"/>
    <tableColumn id="8" xr3:uid="{00000000-0010-0000-0600-000008000000}" name="Entrega" dataDxfId="35"/>
    <tableColumn id="10" xr3:uid="{00000000-0010-0000-0600-00000A000000}" name="Valor da Entrega" dataDxfId="34" dataCellStyle="Moeda">
      <calculatedColumnFormula>IFERROR(VLOOKUP(Tabela48[[#This Row],[Entrega]],cálculos!$B$3:$C$7,2,0),0)</calculatedColumnFormula>
    </tableColumn>
    <tableColumn id="9" xr3:uid="{00000000-0010-0000-0600-000009000000}" name="Total" dataDxfId="33" dataCellStyle="Moeda">
      <calculatedColumnFormula>Tabela48[[#This Row],[SubTotal]]*(1-Tabela48[[#This Row],[Desconto]])+Tabela48[[#This Row],[Valor da Entrega]]</calculatedColumnFormula>
    </tableColumn>
    <tableColumn id="13" xr3:uid="{00000000-0010-0000-0600-00000D000000}" name="Total Cliente" dataDxfId="32" dataCellStyle="Moeda">
      <calculatedColumnFormula>IF(Tabela48[[#This Row],[Id da Venda]]=B6,"",SUMIF(Tabela48[Id da Venda],Tabela48[[#This Row],[Id da Venda]],Tabela48[Total]))</calculatedColumnFormula>
    </tableColumn>
  </tableColumns>
  <tableStyleInfo name="TableStyleMedium1" showFirstColumn="0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abela4811" displayName="Tabela4811" ref="B4:M28" totalsRowShown="0" headerRowDxfId="31" headerRowBorderDxfId="30" tableBorderDxfId="29" totalsRowBorderDxfId="28">
  <tableColumns count="12">
    <tableColumn id="1" xr3:uid="{00000000-0010-0000-0700-000001000000}" name="Id da Venda" dataDxfId="27">
      <calculatedColumnFormula>B6+1</calculatedColumnFormula>
    </tableColumn>
    <tableColumn id="12" xr3:uid="{00000000-0010-0000-0700-00000C000000}" name="Data da Venda" dataDxfId="26"/>
    <tableColumn id="3" xr3:uid="{00000000-0010-0000-0700-000003000000}" name="Produtos" dataDxfId="25"/>
    <tableColumn id="11" xr3:uid="{00000000-0010-0000-0700-00000B000000}" name="Unidade" dataDxfId="24">
      <calculatedColumnFormula>IFERROR(VLOOKUP(Tabela4811[[#This Row],[Produtos]],cálculos!$E$3:$H$26,4,0),"")</calculatedColumnFormula>
    </tableColumn>
    <tableColumn id="4" xr3:uid="{00000000-0010-0000-0700-000004000000}" name="Quantidade" dataDxfId="23"/>
    <tableColumn id="5" xr3:uid="{00000000-0010-0000-0700-000005000000}" name="Preço Unitário" dataDxfId="22" dataCellStyle="Moeda">
      <calculatedColumnFormula>IFERROR(VLOOKUP(Tabela4811[[#This Row],[Produtos]],cálculos!$E$3:$H$26,2,0),0)</calculatedColumnFormula>
    </tableColumn>
    <tableColumn id="6" xr3:uid="{00000000-0010-0000-0700-000006000000}" name="SubTotal" dataDxfId="21" dataCellStyle="Moeda">
      <calculatedColumnFormula>Tabela4811[[#This Row],[Preço Unitário]]*Tabela4811[[#This Row],[Quantidade]]</calculatedColumnFormula>
    </tableColumn>
    <tableColumn id="7" xr3:uid="{00000000-0010-0000-0700-000007000000}" name="Desconto" dataDxfId="20" dataCellStyle="Porcentagem"/>
    <tableColumn id="8" xr3:uid="{00000000-0010-0000-0700-000008000000}" name="Entrega" dataDxfId="19"/>
    <tableColumn id="10" xr3:uid="{00000000-0010-0000-0700-00000A000000}" name="Valor da Entrega" dataDxfId="18" dataCellStyle="Moeda">
      <calculatedColumnFormula>IFERROR(VLOOKUP(Tabela4811[[#This Row],[Entrega]],cálculos!$B$3:$C$7,2,0),0)</calculatedColumnFormula>
    </tableColumn>
    <tableColumn id="9" xr3:uid="{00000000-0010-0000-0700-000009000000}" name="Total" dataDxfId="17" dataCellStyle="Moeda">
      <calculatedColumnFormula>Tabela4811[[#This Row],[SubTotal]]*(1-Tabela4811[[#This Row],[Desconto]])+Tabela4811[[#This Row],[Valor da Entrega]]</calculatedColumnFormula>
    </tableColumn>
    <tableColumn id="13" xr3:uid="{00000000-0010-0000-0700-00000D000000}" name="Total Cliente" dataDxfId="16" dataCellStyle="Moeda">
      <calculatedColumnFormula>IF(Tabela4811[[#This Row],[Id da Venda]]=B6,"",SUMIF(Tabela4811[Id da Venda],Tabela4811[[#This Row],[Id da Venda]],Tabela4811[Total]))</calculatedColumnFormula>
    </tableColumn>
  </tableColumns>
  <tableStyleInfo name="TableStyleMedium1" showFirstColumn="0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abela4812" displayName="Tabela4812" ref="B4:M31" totalsRowShown="0" headerRowDxfId="15" headerRowBorderDxfId="14" tableBorderDxfId="13" totalsRowBorderDxfId="12">
  <sortState xmlns:xlrd2="http://schemas.microsoft.com/office/spreadsheetml/2017/richdata2" ref="B5:L28">
    <sortCondition descending="1" ref="B7"/>
  </sortState>
  <tableColumns count="12">
    <tableColumn id="1" xr3:uid="{00000000-0010-0000-0800-000001000000}" name="Id da Venda" dataDxfId="11">
      <calculatedColumnFormula>B6+1</calculatedColumnFormula>
    </tableColumn>
    <tableColumn id="12" xr3:uid="{00000000-0010-0000-0800-00000C000000}" name="Data da Venda" dataDxfId="10"/>
    <tableColumn id="3" xr3:uid="{00000000-0010-0000-0800-000003000000}" name="Produtos" dataDxfId="9"/>
    <tableColumn id="11" xr3:uid="{00000000-0010-0000-0800-00000B000000}" name="Unidade" dataDxfId="8">
      <calculatedColumnFormula>IFERROR(VLOOKUP(Tabela4812[[#This Row],[Produtos]],cálculos!$E$3:$H$26,4,0),"")</calculatedColumnFormula>
    </tableColumn>
    <tableColumn id="4" xr3:uid="{00000000-0010-0000-0800-000004000000}" name="Quantidade" dataDxfId="7"/>
    <tableColumn id="5" xr3:uid="{00000000-0010-0000-0800-000005000000}" name="Preço Unitário" dataDxfId="6" dataCellStyle="Moeda">
      <calculatedColumnFormula>IFERROR(VLOOKUP(Tabela4812[[#This Row],[Produtos]],cálculos!$E$3:$H$26,2,0),0)</calculatedColumnFormula>
    </tableColumn>
    <tableColumn id="6" xr3:uid="{00000000-0010-0000-0800-000006000000}" name="SubTotal" dataDxfId="5" dataCellStyle="Moeda">
      <calculatedColumnFormula>Tabela4812[[#This Row],[Preço Unitário]]*Tabela4812[[#This Row],[Quantidade]]</calculatedColumnFormula>
    </tableColumn>
    <tableColumn id="7" xr3:uid="{00000000-0010-0000-0800-000007000000}" name="Desconto" dataDxfId="4" dataCellStyle="Porcentagem"/>
    <tableColumn id="8" xr3:uid="{00000000-0010-0000-0800-000008000000}" name="Entrega" dataDxfId="3"/>
    <tableColumn id="10" xr3:uid="{00000000-0010-0000-0800-00000A000000}" name="Valor da Entrega" dataDxfId="2" dataCellStyle="Moeda">
      <calculatedColumnFormula>IFERROR(VLOOKUP(Tabela4812[[#This Row],[Entrega]],cálculos!$B$3:$C$7,2,0),0)</calculatedColumnFormula>
    </tableColumn>
    <tableColumn id="9" xr3:uid="{00000000-0010-0000-0800-000009000000}" name="Total" dataDxfId="1" dataCellStyle="Moeda">
      <calculatedColumnFormula>Tabela4812[[#This Row],[SubTotal]]*(1-Tabela4812[[#This Row],[Desconto]])+Tabela4812[[#This Row],[Valor da Entrega]]</calculatedColumnFormula>
    </tableColumn>
    <tableColumn id="13" xr3:uid="{00000000-0010-0000-0800-00000D000000}" name="Total Cliente" dataDxfId="0" dataCellStyle="Moeda">
      <calculatedColumnFormula>IF(Tabela4812[[#This Row],[Id da Venda]]=B6,"",SUMIF(Tabela4812[Id da Venda],Tabela4812[[#This Row],[Id da Venda]],Tabela4812[Total]))</calculatedColumnFormula>
    </tableColumn>
  </tableColumns>
  <tableStyleInfo name="TableStyleMedium1" showFirstColumn="0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tabSelected="1" zoomScaleNormal="100" workbookViewId="0"/>
  </sheetViews>
  <sheetFormatPr defaultRowHeight="15" x14ac:dyDescent="0.25"/>
  <sheetData>
    <row r="1" spans="1:1" x14ac:dyDescent="0.25">
      <c r="A1" s="124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G33"/>
  <sheetViews>
    <sheetView showGridLines="0" zoomScaleNormal="100" workbookViewId="0">
      <selection activeCell="A2" sqref="A2"/>
    </sheetView>
  </sheetViews>
  <sheetFormatPr defaultRowHeight="15" x14ac:dyDescent="0.25"/>
  <cols>
    <col min="1" max="1" width="8.5703125" customWidth="1"/>
    <col min="2" max="2" width="42.42578125" bestFit="1" customWidth="1"/>
    <col min="3" max="3" width="26.5703125" bestFit="1" customWidth="1"/>
    <col min="4" max="4" width="15" customWidth="1"/>
    <col min="5" max="5" width="31.140625" customWidth="1"/>
    <col min="6" max="6" width="21" bestFit="1" customWidth="1"/>
    <col min="7" max="7" width="20" customWidth="1"/>
  </cols>
  <sheetData>
    <row r="1" spans="1:7" ht="14.25" customHeight="1" x14ac:dyDescent="0.25"/>
    <row r="2" spans="1:7" s="16" customFormat="1" ht="36" x14ac:dyDescent="0.25">
      <c r="A2" s="14"/>
      <c r="B2" s="15" t="s">
        <v>138</v>
      </c>
      <c r="C2" s="15"/>
    </row>
    <row r="3" spans="1:7" ht="32.25" customHeight="1" x14ac:dyDescent="0.25"/>
    <row r="4" spans="1:7" x14ac:dyDescent="0.25">
      <c r="B4" s="22" t="s">
        <v>42</v>
      </c>
      <c r="C4" s="23" t="s">
        <v>53</v>
      </c>
      <c r="D4" s="23" t="s">
        <v>64</v>
      </c>
      <c r="E4" s="23" t="s">
        <v>122</v>
      </c>
      <c r="F4" s="23" t="s">
        <v>48</v>
      </c>
      <c r="G4" s="24" t="s">
        <v>49</v>
      </c>
    </row>
    <row r="5" spans="1:7" x14ac:dyDescent="0.25">
      <c r="B5" s="25" t="s">
        <v>5</v>
      </c>
      <c r="C5" s="26"/>
      <c r="D5" s="26"/>
      <c r="E5" s="26"/>
      <c r="F5" s="27"/>
      <c r="G5" s="28">
        <v>1000</v>
      </c>
    </row>
    <row r="6" spans="1:7" x14ac:dyDescent="0.25">
      <c r="B6" s="25" t="s">
        <v>2</v>
      </c>
      <c r="C6" s="26"/>
      <c r="D6" s="26"/>
      <c r="E6" s="26"/>
      <c r="F6" s="29"/>
      <c r="G6" s="28">
        <f>SUM(F7:F11)</f>
        <v>18000</v>
      </c>
    </row>
    <row r="7" spans="1:7" x14ac:dyDescent="0.25">
      <c r="B7" s="25"/>
      <c r="C7" s="30" t="s">
        <v>10</v>
      </c>
      <c r="D7" s="31">
        <v>42129</v>
      </c>
      <c r="E7" s="26"/>
      <c r="F7" s="29">
        <v>10000</v>
      </c>
      <c r="G7" s="28"/>
    </row>
    <row r="8" spans="1:7" x14ac:dyDescent="0.25">
      <c r="B8" s="25"/>
      <c r="C8" s="30" t="s">
        <v>14</v>
      </c>
      <c r="D8" s="31">
        <v>42129</v>
      </c>
      <c r="E8" s="26"/>
      <c r="F8" s="29">
        <v>500</v>
      </c>
      <c r="G8" s="28"/>
    </row>
    <row r="9" spans="1:7" x14ac:dyDescent="0.25">
      <c r="B9" s="25"/>
      <c r="C9" s="30" t="s">
        <v>3</v>
      </c>
      <c r="D9" s="31">
        <v>42129</v>
      </c>
      <c r="E9" s="26"/>
      <c r="F9" s="29">
        <v>3000</v>
      </c>
      <c r="G9" s="28"/>
    </row>
    <row r="10" spans="1:7" x14ac:dyDescent="0.25">
      <c r="B10" s="25"/>
      <c r="C10" s="30" t="s">
        <v>11</v>
      </c>
      <c r="D10" s="31">
        <v>42129</v>
      </c>
      <c r="E10" s="26"/>
      <c r="F10" s="29">
        <v>3000</v>
      </c>
      <c r="G10" s="28"/>
    </row>
    <row r="11" spans="1:7" x14ac:dyDescent="0.25">
      <c r="B11" s="25"/>
      <c r="C11" s="30" t="s">
        <v>7</v>
      </c>
      <c r="D11" s="31">
        <v>42127</v>
      </c>
      <c r="E11" s="32" t="s">
        <v>54</v>
      </c>
      <c r="F11" s="29">
        <v>1500</v>
      </c>
      <c r="G11" s="28"/>
    </row>
    <row r="12" spans="1:7" x14ac:dyDescent="0.25">
      <c r="B12" s="25" t="s">
        <v>1</v>
      </c>
      <c r="C12" s="30"/>
      <c r="D12" s="31">
        <v>42136</v>
      </c>
      <c r="E12" s="26"/>
      <c r="F12" s="29"/>
      <c r="G12" s="28">
        <v>900</v>
      </c>
    </row>
    <row r="13" spans="1:7" x14ac:dyDescent="0.25">
      <c r="B13" s="25" t="s">
        <v>3</v>
      </c>
      <c r="C13" s="30"/>
      <c r="D13" s="31">
        <v>42154</v>
      </c>
      <c r="E13" s="26"/>
      <c r="F13" s="29"/>
      <c r="G13" s="28">
        <v>6000</v>
      </c>
    </row>
    <row r="14" spans="1:7" x14ac:dyDescent="0.25">
      <c r="B14" s="25" t="s">
        <v>42</v>
      </c>
      <c r="C14" s="30"/>
      <c r="D14" s="26"/>
      <c r="E14" s="26"/>
      <c r="F14" s="29"/>
      <c r="G14" s="28">
        <f>SUM(F15:F19)</f>
        <v>5300</v>
      </c>
    </row>
    <row r="15" spans="1:7" x14ac:dyDescent="0.25">
      <c r="B15" s="25"/>
      <c r="C15" s="30" t="s">
        <v>44</v>
      </c>
      <c r="D15" s="31">
        <v>42127</v>
      </c>
      <c r="E15" s="26"/>
      <c r="F15" s="29">
        <v>800</v>
      </c>
      <c r="G15" s="28"/>
    </row>
    <row r="16" spans="1:7" x14ac:dyDescent="0.25">
      <c r="B16" s="25"/>
      <c r="C16" s="30" t="s">
        <v>45</v>
      </c>
      <c r="D16" s="31">
        <v>42127</v>
      </c>
      <c r="E16" s="26"/>
      <c r="F16" s="29">
        <v>3200</v>
      </c>
      <c r="G16" s="28"/>
    </row>
    <row r="17" spans="2:7" x14ac:dyDescent="0.25">
      <c r="B17" s="25"/>
      <c r="C17" s="30" t="s">
        <v>46</v>
      </c>
      <c r="D17" s="31">
        <v>42127</v>
      </c>
      <c r="E17" s="26"/>
      <c r="F17" s="29">
        <v>500</v>
      </c>
      <c r="G17" s="28"/>
    </row>
    <row r="18" spans="2:7" x14ac:dyDescent="0.25">
      <c r="B18" s="25"/>
      <c r="C18" s="30" t="s">
        <v>47</v>
      </c>
      <c r="D18" s="31">
        <v>42127</v>
      </c>
      <c r="E18" s="26"/>
      <c r="F18" s="29">
        <v>800</v>
      </c>
      <c r="G18" s="28"/>
    </row>
    <row r="19" spans="2:7" x14ac:dyDescent="0.25">
      <c r="B19" s="25"/>
      <c r="C19" s="30" t="s">
        <v>7</v>
      </c>
      <c r="D19" s="26"/>
      <c r="E19" s="26"/>
      <c r="F19" s="29">
        <v>0</v>
      </c>
      <c r="G19" s="28"/>
    </row>
    <row r="20" spans="2:7" x14ac:dyDescent="0.25">
      <c r="B20" s="25" t="s">
        <v>4</v>
      </c>
      <c r="C20" s="30"/>
      <c r="D20" s="31">
        <v>42149</v>
      </c>
      <c r="E20" s="26"/>
      <c r="F20" s="29"/>
      <c r="G20" s="28">
        <v>300</v>
      </c>
    </row>
    <row r="21" spans="2:7" x14ac:dyDescent="0.25">
      <c r="B21" s="25" t="s">
        <v>43</v>
      </c>
      <c r="C21" s="30"/>
      <c r="D21" s="26"/>
      <c r="E21" s="26"/>
      <c r="F21" s="29"/>
      <c r="G21" s="28">
        <f>SUM(F22:F27)</f>
        <v>11950</v>
      </c>
    </row>
    <row r="22" spans="2:7" x14ac:dyDescent="0.25">
      <c r="B22" s="25"/>
      <c r="C22" s="30" t="s">
        <v>17</v>
      </c>
      <c r="D22" s="31">
        <v>42134</v>
      </c>
      <c r="E22" s="26"/>
      <c r="F22" s="29">
        <v>1650</v>
      </c>
      <c r="G22" s="28"/>
    </row>
    <row r="23" spans="2:7" x14ac:dyDescent="0.25">
      <c r="B23" s="25"/>
      <c r="C23" s="30" t="s">
        <v>12</v>
      </c>
      <c r="D23" s="31">
        <v>42134</v>
      </c>
      <c r="E23" s="26"/>
      <c r="F23" s="29">
        <v>3000</v>
      </c>
      <c r="G23" s="28"/>
    </row>
    <row r="24" spans="2:7" x14ac:dyDescent="0.25">
      <c r="B24" s="25"/>
      <c r="C24" s="30" t="s">
        <v>13</v>
      </c>
      <c r="D24" s="31">
        <v>42132</v>
      </c>
      <c r="E24" s="26"/>
      <c r="F24" s="29">
        <v>3000</v>
      </c>
      <c r="G24" s="28"/>
    </row>
    <row r="25" spans="2:7" x14ac:dyDescent="0.25">
      <c r="B25" s="25"/>
      <c r="C25" s="30" t="s">
        <v>15</v>
      </c>
      <c r="D25" s="31">
        <v>42126</v>
      </c>
      <c r="E25" s="26"/>
      <c r="F25" s="29">
        <v>2700</v>
      </c>
      <c r="G25" s="28"/>
    </row>
    <row r="26" spans="2:7" x14ac:dyDescent="0.25">
      <c r="B26" s="25"/>
      <c r="C26" s="30" t="s">
        <v>16</v>
      </c>
      <c r="D26" s="31">
        <v>42126</v>
      </c>
      <c r="E26" s="26"/>
      <c r="F26" s="29">
        <v>1500</v>
      </c>
      <c r="G26" s="28"/>
    </row>
    <row r="27" spans="2:7" x14ac:dyDescent="0.25">
      <c r="B27" s="25"/>
      <c r="C27" s="30" t="s">
        <v>7</v>
      </c>
      <c r="D27" s="31">
        <v>42126</v>
      </c>
      <c r="E27" s="26"/>
      <c r="F27" s="29">
        <v>100</v>
      </c>
      <c r="G27" s="28"/>
    </row>
    <row r="28" spans="2:7" x14ac:dyDescent="0.25">
      <c r="B28" s="25" t="s">
        <v>6</v>
      </c>
      <c r="C28" s="30"/>
      <c r="D28" s="31">
        <v>42126</v>
      </c>
      <c r="E28" s="26"/>
      <c r="F28" s="29"/>
      <c r="G28" s="28">
        <v>1500</v>
      </c>
    </row>
    <row r="29" spans="2:7" x14ac:dyDescent="0.25">
      <c r="B29" s="33" t="s">
        <v>7</v>
      </c>
      <c r="C29" s="34"/>
      <c r="D29" s="35"/>
      <c r="E29" s="35"/>
      <c r="F29" s="36"/>
      <c r="G29" s="37">
        <v>957</v>
      </c>
    </row>
    <row r="31" spans="2:7" ht="21.75" thickBot="1" x14ac:dyDescent="0.4">
      <c r="B31" s="17" t="s">
        <v>50</v>
      </c>
      <c r="C31" s="17"/>
      <c r="D31" s="17"/>
      <c r="E31" s="17"/>
      <c r="F31" s="18"/>
      <c r="G31" s="18">
        <f>SUM(Tabela1[Valor Final])</f>
        <v>45907</v>
      </c>
    </row>
    <row r="32" spans="2:7" ht="21.75" thickBot="1" x14ac:dyDescent="0.4">
      <c r="B32" s="19" t="s">
        <v>51</v>
      </c>
      <c r="C32" s="19"/>
      <c r="D32" s="19"/>
      <c r="E32" s="19"/>
      <c r="F32" s="20"/>
      <c r="G32" s="20">
        <f>'Controle de Mercadorias'!I27</f>
        <v>13814.782499999999</v>
      </c>
    </row>
    <row r="33" spans="2:7" ht="21.75" thickBot="1" x14ac:dyDescent="0.4">
      <c r="B33" s="19" t="s">
        <v>52</v>
      </c>
      <c r="C33" s="19"/>
      <c r="D33" s="19"/>
      <c r="E33" s="19"/>
      <c r="F33" s="21"/>
      <c r="G33" s="21">
        <f>SUM(G31:G32)</f>
        <v>59721.782500000001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I27"/>
  <sheetViews>
    <sheetView showGridLines="0" zoomScaleNormal="100" workbookViewId="0">
      <selection activeCell="A2" sqref="A2"/>
    </sheetView>
  </sheetViews>
  <sheetFormatPr defaultRowHeight="15" x14ac:dyDescent="0.25"/>
  <cols>
    <col min="1" max="1" width="8.7109375" customWidth="1"/>
    <col min="2" max="2" width="13.85546875" customWidth="1"/>
    <col min="3" max="3" width="37.140625" customWidth="1"/>
    <col min="4" max="4" width="13.140625" customWidth="1"/>
    <col min="5" max="5" width="11" customWidth="1"/>
    <col min="6" max="6" width="15.7109375" customWidth="1"/>
    <col min="7" max="7" width="16.140625" bestFit="1" customWidth="1"/>
    <col min="8" max="8" width="17.5703125" customWidth="1"/>
    <col min="9" max="9" width="23.5703125" bestFit="1" customWidth="1"/>
    <col min="10" max="10" width="14.28515625" bestFit="1" customWidth="1"/>
    <col min="13" max="13" width="23.5703125" bestFit="1" customWidth="1"/>
    <col min="14" max="14" width="14.28515625" bestFit="1" customWidth="1"/>
  </cols>
  <sheetData>
    <row r="2" spans="1:9" s="41" customFormat="1" ht="36.75" customHeight="1" x14ac:dyDescent="0.55000000000000004">
      <c r="A2" s="38"/>
      <c r="B2" s="39" t="s">
        <v>139</v>
      </c>
      <c r="C2" s="40"/>
    </row>
    <row r="3" spans="1:9" ht="32.25" customHeight="1" x14ac:dyDescent="0.25"/>
    <row r="4" spans="1:9" x14ac:dyDescent="0.25">
      <c r="B4" t="s">
        <v>64</v>
      </c>
      <c r="C4" t="s">
        <v>65</v>
      </c>
      <c r="D4" t="s">
        <v>55</v>
      </c>
      <c r="E4" t="s">
        <v>78</v>
      </c>
      <c r="F4" t="s">
        <v>56</v>
      </c>
      <c r="G4" t="s">
        <v>57</v>
      </c>
      <c r="H4" t="s">
        <v>58</v>
      </c>
      <c r="I4" t="s">
        <v>85</v>
      </c>
    </row>
    <row r="5" spans="1:9" x14ac:dyDescent="0.25">
      <c r="B5" s="2">
        <v>42190</v>
      </c>
      <c r="C5" t="s">
        <v>71</v>
      </c>
      <c r="D5" t="s">
        <v>21</v>
      </c>
      <c r="E5" t="str">
        <f>IFERROR(VLOOKUP(Tabela2[[#This Row],[Mercadoria]],cálculos!$E$3:$H$26,4,0),"")</f>
        <v>Kg</v>
      </c>
      <c r="F5">
        <v>120</v>
      </c>
      <c r="G5" s="1">
        <f>IFERROR(VLOOKUP(Tabela2[[#This Row],[Mercadoria]],cálculos!$E$3:$G$26,2,0),0)</f>
        <v>4.0659999999999998</v>
      </c>
      <c r="H5" s="3"/>
      <c r="I5" s="1">
        <f>Tabela2[[#This Row],[Quantidade]]*Tabela2[[#This Row],[Preço Unitário]]*(1-Tabela2[[#This Row],[Desconto]])</f>
        <v>487.91999999999996</v>
      </c>
    </row>
    <row r="6" spans="1:9" x14ac:dyDescent="0.25">
      <c r="B6" s="2">
        <v>42189</v>
      </c>
      <c r="C6" t="s">
        <v>71</v>
      </c>
      <c r="D6" t="s">
        <v>21</v>
      </c>
      <c r="E6" t="str">
        <f>IFERROR(VLOOKUP(Tabela2[[#This Row],[Mercadoria]],cálculos!$E$3:$H$26,4,0),"")</f>
        <v>Kg</v>
      </c>
      <c r="F6">
        <v>150</v>
      </c>
      <c r="G6" s="1">
        <f>IFERROR(VLOOKUP(Tabela2[[#This Row],[Mercadoria]],cálculos!$E$3:$G$26,2,0),0)</f>
        <v>4.0659999999999998</v>
      </c>
      <c r="H6" s="3"/>
      <c r="I6" s="1">
        <f>Tabela2[[#This Row],[Quantidade]]*Tabela2[[#This Row],[Preço Unitário]]*(1-Tabela2[[#This Row],[Desconto]])</f>
        <v>609.9</v>
      </c>
    </row>
    <row r="7" spans="1:9" x14ac:dyDescent="0.25">
      <c r="B7" s="2">
        <v>42189</v>
      </c>
      <c r="C7" t="s">
        <v>71</v>
      </c>
      <c r="D7" t="s">
        <v>20</v>
      </c>
      <c r="E7" t="str">
        <f>IFERROR(VLOOKUP(Tabela2[[#This Row],[Mercadoria]],cálculos!$E$3:$H$26,4,0),"")</f>
        <v>Kg</v>
      </c>
      <c r="F7">
        <v>150</v>
      </c>
      <c r="G7" s="1">
        <f>IFERROR(VLOOKUP(Tabela2[[#This Row],[Mercadoria]],cálculos!$E$3:$G$26,2,0),0)</f>
        <v>2.3406000000000002</v>
      </c>
      <c r="H7" s="3"/>
      <c r="I7" s="1">
        <f>Tabela2[[#This Row],[Quantidade]]*Tabela2[[#This Row],[Preço Unitário]]*(1-Tabela2[[#This Row],[Desconto]])</f>
        <v>351.09000000000003</v>
      </c>
    </row>
    <row r="8" spans="1:9" x14ac:dyDescent="0.25">
      <c r="B8" s="2">
        <v>42189</v>
      </c>
      <c r="C8" t="s">
        <v>69</v>
      </c>
      <c r="D8" t="s">
        <v>33</v>
      </c>
      <c r="E8" t="str">
        <f>IFERROR(VLOOKUP(Tabela2[[#This Row],[Mercadoria]],cálculos!$E$3:$H$26,4,0),"")</f>
        <v>Lata</v>
      </c>
      <c r="F8">
        <v>100</v>
      </c>
      <c r="G8" s="1">
        <f>IFERROR(VLOOKUP(Tabela2[[#This Row],[Mercadoria]],cálculos!$E$3:$G$26,2,0),0)</f>
        <v>2.1023999999999998</v>
      </c>
      <c r="H8" s="3"/>
      <c r="I8" s="1">
        <f>Tabela2[[#This Row],[Quantidade]]*Tabela2[[#This Row],[Preço Unitário]]*(1-Tabela2[[#This Row],[Desconto]])</f>
        <v>210.23999999999998</v>
      </c>
    </row>
    <row r="9" spans="1:9" x14ac:dyDescent="0.25">
      <c r="B9" s="2">
        <v>42189</v>
      </c>
      <c r="C9" t="s">
        <v>69</v>
      </c>
      <c r="D9" t="s">
        <v>29</v>
      </c>
      <c r="E9" t="str">
        <f>IFERROR(VLOOKUP(Tabela2[[#This Row],[Mercadoria]],cálculos!$E$3:$H$26,4,0),"")</f>
        <v>Litro</v>
      </c>
      <c r="F9">
        <v>200</v>
      </c>
      <c r="G9" s="1">
        <f>IFERROR(VLOOKUP(Tabela2[[#This Row],[Mercadoria]],cálculos!$E$3:$G$26,2,0),0)</f>
        <v>3.2084999999999999</v>
      </c>
      <c r="H9" s="3">
        <v>1.4999999999999999E-2</v>
      </c>
      <c r="I9" s="1">
        <f>Tabela2[[#This Row],[Quantidade]]*Tabela2[[#This Row],[Preço Unitário]]*(1-Tabela2[[#This Row],[Desconto]])</f>
        <v>632.07449999999994</v>
      </c>
    </row>
    <row r="10" spans="1:9" x14ac:dyDescent="0.25">
      <c r="B10" s="2">
        <v>42188</v>
      </c>
      <c r="C10" t="s">
        <v>70</v>
      </c>
      <c r="D10" t="s">
        <v>40</v>
      </c>
      <c r="E10" t="str">
        <f>IFERROR(VLOOKUP(Tabela2[[#This Row],[Mercadoria]],cálculos!$E$3:$H$26,4,0),"")</f>
        <v>Maço</v>
      </c>
      <c r="F10">
        <v>100</v>
      </c>
      <c r="G10" s="1">
        <f>IFERROR(VLOOKUP(Tabela2[[#This Row],[Mercadoria]],cálculos!$E$3:$G$26,2,0),0)</f>
        <v>6.3449999999999998</v>
      </c>
      <c r="H10" s="3">
        <v>0.1</v>
      </c>
      <c r="I10" s="1">
        <f>Tabela2[[#This Row],[Quantidade]]*Tabela2[[#This Row],[Preço Unitário]]*(1-Tabela2[[#This Row],[Desconto]])</f>
        <v>571.05000000000007</v>
      </c>
    </row>
    <row r="11" spans="1:9" x14ac:dyDescent="0.25">
      <c r="B11" s="2">
        <v>42188</v>
      </c>
      <c r="C11" t="s">
        <v>73</v>
      </c>
      <c r="D11" t="s">
        <v>39</v>
      </c>
      <c r="E11" t="str">
        <f>IFERROR(VLOOKUP(Tabela2[[#This Row],[Mercadoria]],cálculos!$E$3:$H$26,4,0),"")</f>
        <v>Barra</v>
      </c>
      <c r="F11">
        <v>100</v>
      </c>
      <c r="G11" s="1">
        <f>IFERROR(VLOOKUP(Tabela2[[#This Row],[Mercadoria]],cálculos!$E$3:$G$26,2,0),0)</f>
        <v>4.5409000000000006</v>
      </c>
      <c r="H11" s="3"/>
      <c r="I11" s="1">
        <f>Tabela2[[#This Row],[Quantidade]]*Tabela2[[#This Row],[Preço Unitário]]*(1-Tabela2[[#This Row],[Desconto]])</f>
        <v>454.09000000000003</v>
      </c>
    </row>
    <row r="12" spans="1:9" x14ac:dyDescent="0.25">
      <c r="B12" s="2">
        <v>42188</v>
      </c>
      <c r="C12" t="s">
        <v>71</v>
      </c>
      <c r="D12" t="s">
        <v>21</v>
      </c>
      <c r="E12" t="str">
        <f>IFERROR(VLOOKUP(Tabela2[[#This Row],[Mercadoria]],cálculos!$E$3:$H$26,4,0),"")</f>
        <v>Kg</v>
      </c>
      <c r="F12">
        <v>300</v>
      </c>
      <c r="G12" s="1">
        <f>IFERROR(VLOOKUP(Tabela2[[#This Row],[Mercadoria]],cálculos!$E$3:$G$26,2,0),0)</f>
        <v>4.0659999999999998</v>
      </c>
      <c r="H12" s="3">
        <v>0.03</v>
      </c>
      <c r="I12" s="1">
        <f>Tabela2[[#This Row],[Quantidade]]*Tabela2[[#This Row],[Preço Unitário]]*(1-Tabela2[[#This Row],[Desconto]])</f>
        <v>1183.2059999999999</v>
      </c>
    </row>
    <row r="13" spans="1:9" x14ac:dyDescent="0.25">
      <c r="B13" s="2">
        <v>42188</v>
      </c>
      <c r="C13" t="s">
        <v>71</v>
      </c>
      <c r="D13" t="s">
        <v>32</v>
      </c>
      <c r="E13" t="str">
        <f>IFERROR(VLOOKUP(Tabela2[[#This Row],[Mercadoria]],cálculos!$E$3:$H$26,4,0),"")</f>
        <v>Pacote</v>
      </c>
      <c r="F13">
        <v>50</v>
      </c>
      <c r="G13" s="1">
        <f>IFERROR(VLOOKUP(Tabela2[[#This Row],[Mercadoria]],cálculos!$E$3:$G$26,2,0),0)</f>
        <v>1.0580000000000001</v>
      </c>
      <c r="H13" s="3"/>
      <c r="I13" s="1">
        <f>Tabela2[[#This Row],[Quantidade]]*Tabela2[[#This Row],[Preço Unitário]]*(1-Tabela2[[#This Row],[Desconto]])</f>
        <v>52.900000000000006</v>
      </c>
    </row>
    <row r="14" spans="1:9" x14ac:dyDescent="0.25">
      <c r="B14" s="2">
        <v>42188</v>
      </c>
      <c r="C14" t="s">
        <v>72</v>
      </c>
      <c r="D14" t="s">
        <v>88</v>
      </c>
      <c r="E14" t="str">
        <f>IFERROR(VLOOKUP(Tabela2[[#This Row],[Mercadoria]],cálculos!$E$3:$H$26,4,0),"")</f>
        <v>Unidade</v>
      </c>
      <c r="F14">
        <v>300</v>
      </c>
      <c r="G14" s="1">
        <f>IFERROR(VLOOKUP(Tabela2[[#This Row],[Mercadoria]],cálculos!$E$3:$G$26,2,0),0)</f>
        <v>2.6299000000000001</v>
      </c>
      <c r="H14" s="3">
        <v>0.03</v>
      </c>
      <c r="I14" s="1">
        <f>Tabela2[[#This Row],[Quantidade]]*Tabela2[[#This Row],[Preço Unitário]]*(1-Tabela2[[#This Row],[Desconto]])</f>
        <v>765.30089999999996</v>
      </c>
    </row>
    <row r="15" spans="1:9" x14ac:dyDescent="0.25">
      <c r="B15" s="2">
        <v>42188</v>
      </c>
      <c r="C15" t="s">
        <v>73</v>
      </c>
      <c r="D15" t="s">
        <v>38</v>
      </c>
      <c r="E15" t="str">
        <f>IFERROR(VLOOKUP(Tabela2[[#This Row],[Mercadoria]],cálculos!$E$3:$H$26,4,0),"")</f>
        <v>Pacote</v>
      </c>
      <c r="F15">
        <v>100</v>
      </c>
      <c r="G15" s="1">
        <f>IFERROR(VLOOKUP(Tabela2[[#This Row],[Mercadoria]],cálculos!$E$3:$G$26,2,0),0)</f>
        <v>1.8506999999999998</v>
      </c>
      <c r="H15" s="3"/>
      <c r="I15" s="1">
        <f>Tabela2[[#This Row],[Quantidade]]*Tabela2[[#This Row],[Preço Unitário]]*(1-Tabela2[[#This Row],[Desconto]])</f>
        <v>185.07</v>
      </c>
    </row>
    <row r="16" spans="1:9" x14ac:dyDescent="0.25">
      <c r="B16" s="2">
        <v>42188</v>
      </c>
      <c r="C16" t="s">
        <v>69</v>
      </c>
      <c r="D16" t="s">
        <v>33</v>
      </c>
      <c r="E16" t="str">
        <f>IFERROR(VLOOKUP(Tabela2[[#This Row],[Mercadoria]],cálculos!$E$3:$H$26,4,0),"")</f>
        <v>Lata</v>
      </c>
      <c r="F16">
        <v>100</v>
      </c>
      <c r="G16" s="1">
        <f>IFERROR(VLOOKUP(Tabela2[[#This Row],[Mercadoria]],cálculos!$E$3:$G$26,2,0),0)</f>
        <v>2.1023999999999998</v>
      </c>
      <c r="H16" s="3"/>
      <c r="I16" s="1">
        <f>Tabela2[[#This Row],[Quantidade]]*Tabela2[[#This Row],[Preço Unitário]]*(1-Tabela2[[#This Row],[Desconto]])</f>
        <v>210.23999999999998</v>
      </c>
    </row>
    <row r="17" spans="2:9" x14ac:dyDescent="0.25">
      <c r="B17" s="2">
        <v>42188</v>
      </c>
      <c r="C17" t="s">
        <v>74</v>
      </c>
      <c r="D17" t="s">
        <v>25</v>
      </c>
      <c r="E17" t="str">
        <f>IFERROR(VLOOKUP(Tabela2[[#This Row],[Mercadoria]],cálculos!$E$3:$H$26,4,0),"")</f>
        <v>Kg</v>
      </c>
      <c r="F17">
        <v>110</v>
      </c>
      <c r="G17" s="1">
        <f>IFERROR(VLOOKUP(Tabela2[[#This Row],[Mercadoria]],cálculos!$E$3:$G$26,2,0),0)</f>
        <v>6.4216000000000006</v>
      </c>
      <c r="H17" s="3"/>
      <c r="I17" s="1">
        <f>Tabela2[[#This Row],[Quantidade]]*Tabela2[[#This Row],[Preço Unitário]]*(1-Tabela2[[#This Row],[Desconto]])</f>
        <v>706.37600000000009</v>
      </c>
    </row>
    <row r="18" spans="2:9" x14ac:dyDescent="0.25">
      <c r="B18" s="2">
        <v>42188</v>
      </c>
      <c r="C18" t="s">
        <v>75</v>
      </c>
      <c r="D18" t="s">
        <v>27</v>
      </c>
      <c r="E18" t="str">
        <f>IFERROR(VLOOKUP(Tabela2[[#This Row],[Mercadoria]],cálculos!$E$3:$H$26,4,0),"")</f>
        <v>Kg</v>
      </c>
      <c r="F18">
        <v>50</v>
      </c>
      <c r="G18" s="1">
        <f>IFERROR(VLOOKUP(Tabela2[[#This Row],[Mercadoria]],cálculos!$E$3:$G$26,2,0),0)</f>
        <v>22.226999999999997</v>
      </c>
      <c r="H18" s="3">
        <v>0.05</v>
      </c>
      <c r="I18" s="1">
        <f>Tabela2[[#This Row],[Quantidade]]*Tabela2[[#This Row],[Preço Unitário]]*(1-Tabela2[[#This Row],[Desconto]])</f>
        <v>1055.7824999999998</v>
      </c>
    </row>
    <row r="19" spans="2:9" x14ac:dyDescent="0.25">
      <c r="B19" s="2">
        <v>42187</v>
      </c>
      <c r="C19" t="s">
        <v>71</v>
      </c>
      <c r="D19" t="s">
        <v>20</v>
      </c>
      <c r="E19" t="str">
        <f>IFERROR(VLOOKUP(Tabela2[[#This Row],[Mercadoria]],cálculos!$E$3:$H$26,4,0),"")</f>
        <v>Kg</v>
      </c>
      <c r="F19">
        <v>300</v>
      </c>
      <c r="G19" s="1">
        <f>IFERROR(VLOOKUP(Tabela2[[#This Row],[Mercadoria]],cálculos!$E$3:$G$26,2,0),0)</f>
        <v>2.3406000000000002</v>
      </c>
      <c r="H19" s="3">
        <v>0.03</v>
      </c>
      <c r="I19" s="1">
        <f>Tabela2[[#This Row],[Quantidade]]*Tabela2[[#This Row],[Preço Unitário]]*(1-Tabela2[[#This Row],[Desconto]])</f>
        <v>681.1146</v>
      </c>
    </row>
    <row r="20" spans="2:9" x14ac:dyDescent="0.25">
      <c r="B20" s="2">
        <v>42187</v>
      </c>
      <c r="C20" t="s">
        <v>66</v>
      </c>
      <c r="D20" t="s">
        <v>23</v>
      </c>
      <c r="E20" t="str">
        <f>IFERROR(VLOOKUP(Tabela2[[#This Row],[Mercadoria]],cálculos!$E$3:$H$26,4,0),"")</f>
        <v>Unidade</v>
      </c>
      <c r="F20">
        <v>150</v>
      </c>
      <c r="G20" s="1">
        <f>IFERROR(VLOOKUP(Tabela2[[#This Row],[Mercadoria]],cálculos!$E$3:$G$26,2,0),0)</f>
        <v>2.8405</v>
      </c>
      <c r="H20" s="3"/>
      <c r="I20" s="1">
        <f>Tabela2[[#This Row],[Quantidade]]*Tabela2[[#This Row],[Preço Unitário]]*(1-Tabela2[[#This Row],[Desconto]])</f>
        <v>426.07499999999999</v>
      </c>
    </row>
    <row r="21" spans="2:9" x14ac:dyDescent="0.25">
      <c r="B21" s="2">
        <v>42187</v>
      </c>
      <c r="C21" t="s">
        <v>67</v>
      </c>
      <c r="D21" t="s">
        <v>30</v>
      </c>
      <c r="E21" t="str">
        <f>IFERROR(VLOOKUP(Tabela2[[#This Row],[Mercadoria]],cálculos!$E$3:$H$26,4,0),"")</f>
        <v>Kg</v>
      </c>
      <c r="F21">
        <v>150</v>
      </c>
      <c r="G21" s="1">
        <f>IFERROR(VLOOKUP(Tabela2[[#This Row],[Mercadoria]],cálculos!$E$3:$G$26,2,0),0)</f>
        <v>3.6309000000000005</v>
      </c>
      <c r="H21" s="3"/>
      <c r="I21" s="1">
        <f>Tabela2[[#This Row],[Quantidade]]*Tabela2[[#This Row],[Preço Unitário]]*(1-Tabela2[[#This Row],[Desconto]])</f>
        <v>544.6350000000001</v>
      </c>
    </row>
    <row r="22" spans="2:9" x14ac:dyDescent="0.25">
      <c r="B22" s="2">
        <v>42187</v>
      </c>
      <c r="C22" t="s">
        <v>68</v>
      </c>
      <c r="D22" t="s">
        <v>24</v>
      </c>
      <c r="E22" t="str">
        <f>IFERROR(VLOOKUP(Tabela2[[#This Row],[Mercadoria]],cálculos!$E$3:$H$26,4,0),"")</f>
        <v>Kg</v>
      </c>
      <c r="F22">
        <v>150</v>
      </c>
      <c r="G22" s="1">
        <f>IFERROR(VLOOKUP(Tabela2[[#This Row],[Mercadoria]],cálculos!$E$3:$G$26,2,0),0)</f>
        <v>14.469000000000001</v>
      </c>
      <c r="H22" s="3"/>
      <c r="I22" s="1">
        <f>Tabela2[[#This Row],[Quantidade]]*Tabela2[[#This Row],[Preço Unitário]]*(1-Tabela2[[#This Row],[Desconto]])</f>
        <v>2170.3500000000004</v>
      </c>
    </row>
    <row r="23" spans="2:9" x14ac:dyDescent="0.25">
      <c r="B23" s="2">
        <v>42187</v>
      </c>
      <c r="C23" t="s">
        <v>69</v>
      </c>
      <c r="D23" t="s">
        <v>33</v>
      </c>
      <c r="E23" t="str">
        <f>IFERROR(VLOOKUP(Tabela2[[#This Row],[Mercadoria]],cálculos!$E$3:$H$26,4,0),"")</f>
        <v>Lata</v>
      </c>
      <c r="F23">
        <v>100</v>
      </c>
      <c r="G23" s="1">
        <f>IFERROR(VLOOKUP(Tabela2[[#This Row],[Mercadoria]],cálculos!$E$3:$G$26,2,0),0)</f>
        <v>2.1023999999999998</v>
      </c>
      <c r="H23" s="3">
        <v>0.05</v>
      </c>
      <c r="I23" s="1">
        <f>Tabela2[[#This Row],[Quantidade]]*Tabela2[[#This Row],[Preço Unitário]]*(1-Tabela2[[#This Row],[Desconto]])</f>
        <v>199.72799999999998</v>
      </c>
    </row>
    <row r="24" spans="2:9" x14ac:dyDescent="0.25">
      <c r="B24" s="2">
        <v>42187</v>
      </c>
      <c r="C24" t="s">
        <v>69</v>
      </c>
      <c r="D24" t="s">
        <v>28</v>
      </c>
      <c r="E24" t="str">
        <f>IFERROR(VLOOKUP(Tabela2[[#This Row],[Mercadoria]],cálculos!$E$3:$H$26,4,0),"")</f>
        <v>Garrafa</v>
      </c>
      <c r="F24">
        <v>80</v>
      </c>
      <c r="G24" s="1">
        <f>IFERROR(VLOOKUP(Tabela2[[#This Row],[Mercadoria]],cálculos!$E$3:$G$26,2,0),0)</f>
        <v>26.012999999999998</v>
      </c>
      <c r="H24" s="3"/>
      <c r="I24" s="1">
        <f>Tabela2[[#This Row],[Quantidade]]*Tabela2[[#This Row],[Preço Unitário]]*(1-Tabela2[[#This Row],[Desconto]])</f>
        <v>2081.04</v>
      </c>
    </row>
    <row r="25" spans="2:9" x14ac:dyDescent="0.25">
      <c r="B25" s="2">
        <v>42187</v>
      </c>
      <c r="C25" t="s">
        <v>66</v>
      </c>
      <c r="D25" t="s">
        <v>35</v>
      </c>
      <c r="E25" t="str">
        <f>IFERROR(VLOOKUP(Tabela2[[#This Row],[Mercadoria]],cálculos!$E$3:$H$26,4,0),"")</f>
        <v>Unidade</v>
      </c>
      <c r="F25">
        <v>100</v>
      </c>
      <c r="G25" s="1">
        <f>IFERROR(VLOOKUP(Tabela2[[#This Row],[Mercadoria]],cálculos!$E$3:$G$26,2,0),0)</f>
        <v>2.3660000000000001</v>
      </c>
      <c r="H25" s="3"/>
      <c r="I25" s="1">
        <f>Tabela2[[#This Row],[Quantidade]]*Tabela2[[#This Row],[Preço Unitário]]*(1-Tabela2[[#This Row],[Desconto]])</f>
        <v>236.60000000000002</v>
      </c>
    </row>
    <row r="27" spans="2:9" ht="21.75" thickBot="1" x14ac:dyDescent="0.4">
      <c r="B27" s="42" t="s">
        <v>51</v>
      </c>
      <c r="C27" s="42"/>
      <c r="D27" s="42"/>
      <c r="E27" s="43"/>
      <c r="F27" s="43"/>
      <c r="G27" s="43"/>
      <c r="H27" s="43"/>
      <c r="I27" s="44">
        <f>SUM(Tabela2[Preço Pago])</f>
        <v>13814.782499999999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cálculos!$E$3:$E$25</xm:f>
          </x14:formula1>
          <xm:sqref>D7:D25</xm:sqref>
        </x14:dataValidation>
        <x14:dataValidation type="list" allowBlank="1" showInputMessage="1" showErrorMessage="1" xr:uid="{00000000-0002-0000-0200-000001000000}">
          <x14:formula1>
            <xm:f>cálculos!$E$3:$E$26</xm:f>
          </x14:formula1>
          <xm:sqref>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E11"/>
  <sheetViews>
    <sheetView showGridLines="0" zoomScaleNormal="100" workbookViewId="0"/>
  </sheetViews>
  <sheetFormatPr defaultRowHeight="15" x14ac:dyDescent="0.25"/>
  <cols>
    <col min="2" max="2" width="52.7109375" customWidth="1"/>
    <col min="3" max="3" width="14.5703125" customWidth="1"/>
    <col min="4" max="4" width="80.28515625" customWidth="1"/>
    <col min="5" max="5" width="21.42578125" bestFit="1" customWidth="1"/>
    <col min="6" max="6" width="12.5703125" customWidth="1"/>
  </cols>
  <sheetData>
    <row r="1" spans="1:5" ht="14.25" customHeight="1" x14ac:dyDescent="0.25"/>
    <row r="2" spans="1:5" s="45" customFormat="1" ht="37.5" customHeight="1" x14ac:dyDescent="0.25">
      <c r="A2" s="47"/>
      <c r="B2" s="46" t="s">
        <v>18</v>
      </c>
      <c r="C2" s="46"/>
    </row>
    <row r="3" spans="1:5" ht="32.25" customHeight="1" x14ac:dyDescent="0.25"/>
    <row r="4" spans="1:5" x14ac:dyDescent="0.25">
      <c r="B4" t="s">
        <v>123</v>
      </c>
      <c r="C4" t="s">
        <v>64</v>
      </c>
      <c r="D4" t="s">
        <v>125</v>
      </c>
      <c r="E4" t="s">
        <v>124</v>
      </c>
    </row>
    <row r="5" spans="1:5" ht="33.75" customHeight="1" x14ac:dyDescent="0.25">
      <c r="B5" t="s">
        <v>36</v>
      </c>
      <c r="C5" s="2">
        <v>44686</v>
      </c>
      <c r="D5" s="49" t="s">
        <v>140</v>
      </c>
      <c r="E5" s="1">
        <v>400000</v>
      </c>
    </row>
    <row r="6" spans="1:5" ht="33.75" customHeight="1" x14ac:dyDescent="0.25">
      <c r="B6" t="s">
        <v>16</v>
      </c>
      <c r="C6" s="2"/>
      <c r="E6" s="1">
        <v>0</v>
      </c>
    </row>
    <row r="7" spans="1:5" ht="33.75" customHeight="1" x14ac:dyDescent="0.25">
      <c r="B7" t="s">
        <v>126</v>
      </c>
      <c r="C7" s="2"/>
      <c r="E7" s="1">
        <v>0</v>
      </c>
    </row>
    <row r="8" spans="1:5" ht="33.75" customHeight="1" x14ac:dyDescent="0.25">
      <c r="B8" t="s">
        <v>127</v>
      </c>
      <c r="C8" s="2"/>
      <c r="E8" s="1">
        <v>0</v>
      </c>
    </row>
    <row r="9" spans="1:5" ht="33.75" customHeight="1" x14ac:dyDescent="0.25">
      <c r="B9" t="s">
        <v>7</v>
      </c>
      <c r="C9" s="50"/>
      <c r="D9" s="51"/>
      <c r="E9" s="52">
        <v>0</v>
      </c>
    </row>
    <row r="11" spans="1:5" ht="21" x14ac:dyDescent="0.35">
      <c r="A11" s="48"/>
      <c r="B11" s="53" t="s">
        <v>141</v>
      </c>
      <c r="C11" s="54"/>
      <c r="D11" s="54"/>
      <c r="E11" s="55">
        <f>SUM(Tabela4[Valor])</f>
        <v>400000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H28"/>
  <sheetViews>
    <sheetView showGridLines="0" showRowColHeaders="0" zoomScaleNormal="100" workbookViewId="0"/>
  </sheetViews>
  <sheetFormatPr defaultRowHeight="15" x14ac:dyDescent="0.25"/>
  <cols>
    <col min="1" max="1" width="10.42578125" customWidth="1"/>
    <col min="2" max="2" width="15.7109375" bestFit="1" customWidth="1"/>
    <col min="3" max="3" width="22.85546875" customWidth="1"/>
    <col min="4" max="4" width="19.5703125" bestFit="1" customWidth="1"/>
    <col min="5" max="5" width="23.42578125" bestFit="1" customWidth="1"/>
    <col min="6" max="6" width="23" customWidth="1"/>
    <col min="7" max="7" width="18.7109375" customWidth="1"/>
    <col min="8" max="8" width="10.5703125" customWidth="1"/>
    <col min="9" max="9" width="16.7109375" bestFit="1" customWidth="1"/>
  </cols>
  <sheetData>
    <row r="2" spans="1:8" s="58" customFormat="1" ht="37.5" customHeight="1" x14ac:dyDescent="0.55000000000000004">
      <c r="A2" s="14"/>
      <c r="B2" s="56" t="s">
        <v>19</v>
      </c>
      <c r="C2" s="57"/>
    </row>
    <row r="3" spans="1:8" ht="32.25" customHeight="1" x14ac:dyDescent="0.25"/>
    <row r="4" spans="1:8" x14ac:dyDescent="0.25">
      <c r="B4" s="5" t="s">
        <v>91</v>
      </c>
      <c r="C4" t="s">
        <v>93</v>
      </c>
      <c r="D4" t="s">
        <v>96</v>
      </c>
      <c r="E4" t="s">
        <v>94</v>
      </c>
      <c r="F4" t="s">
        <v>95</v>
      </c>
      <c r="G4" t="s">
        <v>92</v>
      </c>
      <c r="H4" t="s">
        <v>97</v>
      </c>
    </row>
    <row r="5" spans="1:8" x14ac:dyDescent="0.25">
      <c r="B5" s="5" t="str">
        <f>cálculos!E3</f>
        <v>Alface</v>
      </c>
      <c r="C5" s="2">
        <f>IFERROR(INDEX(Tabela2[],MATCH(Tabela3[[#This Row],[Produto]],Tabela2[Mercadoria],0),1),"")</f>
        <v>42187</v>
      </c>
      <c r="D5">
        <v>15</v>
      </c>
      <c r="E5">
        <f>SUMIF(Tabela2[Mercadoria],Tabela3[[#This Row],[Produto]],Tabela2[Quantidade])</f>
        <v>150</v>
      </c>
      <c r="F5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3</v>
      </c>
      <c r="G5">
        <f>Tabela3[[#This Row],[Quantidade Inicial]]+Tabela3[[#This Row],[Quantidade Comprada]]-Tabela3[[#This Row],[Quantidade Vendida]]</f>
        <v>162</v>
      </c>
      <c r="H5" t="str">
        <f>IF(Tabela3[[#This Row],[Quantidade Atual]]&lt;50,IF(Tabela3[[#This Row],[Quantidade Atual]]&lt;20,"Comprar","Atenção"),"OK")</f>
        <v>OK</v>
      </c>
    </row>
    <row r="6" spans="1:8" x14ac:dyDescent="0.25">
      <c r="B6" s="5" t="str">
        <f>cálculos!E4</f>
        <v>Amendoim</v>
      </c>
      <c r="C6" s="2">
        <f>IFERROR(INDEX(Tabela2[],MATCH(Tabela3[[#This Row],[Produto]],Tabela2[Mercadoria],0),1),"")</f>
        <v>42188</v>
      </c>
      <c r="D6">
        <v>10</v>
      </c>
      <c r="E6">
        <f>SUMIF(Tabela2[Mercadoria],Tabela3[[#This Row],[Produto]],Tabela2[Quantidade])</f>
        <v>50</v>
      </c>
      <c r="F6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37</v>
      </c>
      <c r="G6">
        <f>Tabela3[[#This Row],[Quantidade Inicial]]+Tabela3[[#This Row],[Quantidade Comprada]]-Tabela3[[#This Row],[Quantidade Vendida]]</f>
        <v>23</v>
      </c>
      <c r="H6" t="str">
        <f>IF(Tabela3[[#This Row],[Quantidade Atual]]&lt;50,IF(Tabela3[[#This Row],[Quantidade Atual]]&lt;20,"Comprar","Atenção"),"OK")</f>
        <v>Atenção</v>
      </c>
    </row>
    <row r="7" spans="1:8" x14ac:dyDescent="0.25">
      <c r="B7" s="5" t="str">
        <f>cálculos!E5</f>
        <v>Arroz</v>
      </c>
      <c r="C7" s="2">
        <f>IFERROR(INDEX(Tabela2[],MATCH(Tabela3[[#This Row],[Produto]],Tabela2[Mercadoria],0),1),"")</f>
        <v>42189</v>
      </c>
      <c r="D7">
        <v>0</v>
      </c>
      <c r="E7">
        <f>SUMIF(Tabela2[Mercadoria],Tabela3[[#This Row],[Produto]],Tabela2[Quantidade])</f>
        <v>450</v>
      </c>
      <c r="F7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7</v>
      </c>
      <c r="G7">
        <f>Tabela3[[#This Row],[Quantidade Inicial]]+Tabela3[[#This Row],[Quantidade Comprada]]-Tabela3[[#This Row],[Quantidade Vendida]]</f>
        <v>443</v>
      </c>
      <c r="H7" t="str">
        <f>IF(Tabela3[[#This Row],[Quantidade Atual]]&lt;50,IF(Tabela3[[#This Row],[Quantidade Atual]]&lt;20,"Comprar","Atenção"),"OK")</f>
        <v>OK</v>
      </c>
    </row>
    <row r="8" spans="1:8" x14ac:dyDescent="0.25">
      <c r="B8" s="5" t="str">
        <f>cálculos!E6</f>
        <v>Bala</v>
      </c>
      <c r="C8" s="2">
        <f>IFERROR(INDEX(Tabela2[],MATCH(Tabela3[[#This Row],[Produto]],Tabela2[Mercadoria],0),1),"")</f>
        <v>42188</v>
      </c>
      <c r="D8">
        <v>0</v>
      </c>
      <c r="E8">
        <f>SUMIF(Tabela2[Mercadoria],Tabela3[[#This Row],[Produto]],Tabela2[Quantidade])</f>
        <v>100</v>
      </c>
      <c r="F8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4</v>
      </c>
      <c r="G8">
        <f>Tabela3[[#This Row],[Quantidade Inicial]]+Tabela3[[#This Row],[Quantidade Comprada]]-Tabela3[[#This Row],[Quantidade Vendida]]</f>
        <v>96</v>
      </c>
      <c r="H8" t="str">
        <f>IF(Tabela3[[#This Row],[Quantidade Atual]]&lt;50,IF(Tabela3[[#This Row],[Quantidade Atual]]&lt;20,"Comprar","Atenção"),"OK")</f>
        <v>OK</v>
      </c>
    </row>
    <row r="9" spans="1:8" x14ac:dyDescent="0.25">
      <c r="B9" s="5" t="str">
        <f>cálculos!E7</f>
        <v>Barra de Cereal</v>
      </c>
      <c r="C9" s="2">
        <v>42188</v>
      </c>
      <c r="D9">
        <v>150</v>
      </c>
      <c r="E9">
        <f>SUMIF(Tabela2[Mercadoria],Tabela3[[#This Row],[Produto]],Tabela2[Quantidade])</f>
        <v>0</v>
      </c>
      <c r="F9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10</v>
      </c>
      <c r="G9">
        <f>Tabela3[[#This Row],[Quantidade Inicial]]+Tabela3[[#This Row],[Quantidade Comprada]]-Tabela3[[#This Row],[Quantidade Vendida]]</f>
        <v>140</v>
      </c>
      <c r="H9" t="str">
        <f>IF(Tabela3[[#This Row],[Quantidade Atual]]&lt;50,IF(Tabela3[[#This Row],[Quantidade Atual]]&lt;20,"Comprar","Atenção"),"OK")</f>
        <v>OK</v>
      </c>
    </row>
    <row r="10" spans="1:8" x14ac:dyDescent="0.25">
      <c r="B10" s="5" t="str">
        <f>cálculos!E8</f>
        <v>Leite</v>
      </c>
      <c r="C10" s="2">
        <v>42188</v>
      </c>
      <c r="D10">
        <v>15</v>
      </c>
      <c r="E10">
        <f>SUMIF(Tabela2[Mercadoria],Tabela3[[#This Row],[Produto]],Tabela2[Quantidade])</f>
        <v>0</v>
      </c>
      <c r="F10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6</v>
      </c>
      <c r="G10">
        <f>Tabela3[[#This Row],[Quantidade Inicial]]+Tabela3[[#This Row],[Quantidade Comprada]]-Tabela3[[#This Row],[Quantidade Vendida]]</f>
        <v>9</v>
      </c>
      <c r="H10" t="str">
        <f>IF(Tabela3[[#This Row],[Quantidade Atual]]&lt;50,IF(Tabela3[[#This Row],[Quantidade Atual]]&lt;20,"Comprar","Atenção"),"OK")</f>
        <v>Comprar</v>
      </c>
    </row>
    <row r="11" spans="1:8" x14ac:dyDescent="0.25">
      <c r="B11" s="5" t="str">
        <f>cálculos!E9</f>
        <v>Caixa de Fósforo</v>
      </c>
      <c r="C11" s="2">
        <v>42188</v>
      </c>
      <c r="D11">
        <v>25</v>
      </c>
      <c r="E11">
        <f>SUMIF(Tabela2[Mercadoria],Tabela3[[#This Row],[Produto]],Tabela2[Quantidade])</f>
        <v>0</v>
      </c>
      <c r="F11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3</v>
      </c>
      <c r="G11">
        <f>Tabela3[[#This Row],[Quantidade Inicial]]+Tabela3[[#This Row],[Quantidade Comprada]]-Tabela3[[#This Row],[Quantidade Vendida]]</f>
        <v>22</v>
      </c>
      <c r="H11" t="str">
        <f>IF(Tabela3[[#This Row],[Quantidade Atual]]&lt;50,IF(Tabela3[[#This Row],[Quantidade Atual]]&lt;20,"Comprar","Atenção"),"OK")</f>
        <v>Atenção</v>
      </c>
    </row>
    <row r="12" spans="1:8" x14ac:dyDescent="0.25">
      <c r="B12" s="5" t="str">
        <f>cálculos!E10</f>
        <v>Carne</v>
      </c>
      <c r="C12" s="2">
        <f>IFERROR(INDEX(Tabela2[],MATCH(Tabela3[[#This Row],[Produto]],Tabela2[Mercadoria],0),1),"")</f>
        <v>42187</v>
      </c>
      <c r="D12">
        <v>0</v>
      </c>
      <c r="E12">
        <f>SUMIF(Tabela2[Mercadoria],Tabela3[[#This Row],[Produto]],Tabela2[Quantidade])</f>
        <v>150</v>
      </c>
      <c r="F12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16</v>
      </c>
      <c r="G12">
        <f>Tabela3[[#This Row],[Quantidade Inicial]]+Tabela3[[#This Row],[Quantidade Comprada]]-Tabela3[[#This Row],[Quantidade Vendida]]</f>
        <v>134</v>
      </c>
      <c r="H12" t="str">
        <f>IF(Tabela3[[#This Row],[Quantidade Atual]]&lt;50,IF(Tabela3[[#This Row],[Quantidade Atual]]&lt;20,"Comprar","Atenção"),"OK")</f>
        <v>OK</v>
      </c>
    </row>
    <row r="13" spans="1:8" x14ac:dyDescent="0.25">
      <c r="B13" s="5" t="str">
        <f>cálculos!E11</f>
        <v>Cenoura</v>
      </c>
      <c r="C13" s="2">
        <f>IFERROR(INDEX(Tabela2[],MATCH(Tabela3[[#This Row],[Produto]],Tabela2[Mercadoria],0),1),"")</f>
        <v>42187</v>
      </c>
      <c r="D13">
        <v>0</v>
      </c>
      <c r="E13">
        <f>SUMIF(Tabela2[Mercadoria],Tabela3[[#This Row],[Produto]],Tabela2[Quantidade])</f>
        <v>150</v>
      </c>
      <c r="F13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3">
        <f>Tabela3[[#This Row],[Quantidade Inicial]]+Tabela3[[#This Row],[Quantidade Comprada]]-Tabela3[[#This Row],[Quantidade Vendida]]</f>
        <v>150</v>
      </c>
      <c r="H13" t="str">
        <f>IF(Tabela3[[#This Row],[Quantidade Atual]]&lt;50,IF(Tabela3[[#This Row],[Quantidade Atual]]&lt;20,"Comprar","Atenção"),"OK")</f>
        <v>OK</v>
      </c>
    </row>
    <row r="14" spans="1:8" x14ac:dyDescent="0.25">
      <c r="B14" s="5" t="str">
        <f>cálculos!E12</f>
        <v>Cerveja</v>
      </c>
      <c r="C14" s="2">
        <f>IFERROR(INDEX(Tabela2[],MATCH(Tabela3[[#This Row],[Produto]],Tabela2[Mercadoria],0),1),"")</f>
        <v>42189</v>
      </c>
      <c r="D14">
        <v>30</v>
      </c>
      <c r="E14">
        <f>SUMIF(Tabela2[Mercadoria],Tabela3[[#This Row],[Produto]],Tabela2[Quantidade])</f>
        <v>300</v>
      </c>
      <c r="F14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87</v>
      </c>
      <c r="G14">
        <f>Tabela3[[#This Row],[Quantidade Inicial]]+Tabela3[[#This Row],[Quantidade Comprada]]-Tabela3[[#This Row],[Quantidade Vendida]]</f>
        <v>243</v>
      </c>
      <c r="H14" t="str">
        <f>IF(Tabela3[[#This Row],[Quantidade Atual]]&lt;50,IF(Tabela3[[#This Row],[Quantidade Atual]]&lt;20,"Comprar","Atenção"),"OK")</f>
        <v>OK</v>
      </c>
    </row>
    <row r="15" spans="1:8" x14ac:dyDescent="0.25">
      <c r="B15" s="5" t="str">
        <f>cálculos!E13</f>
        <v>Chocolate</v>
      </c>
      <c r="C15" s="2">
        <f>IFERROR(INDEX(Tabela2[],MATCH(Tabela3[[#This Row],[Produto]],Tabela2[Mercadoria],0),1),"")</f>
        <v>42188</v>
      </c>
      <c r="D15">
        <v>0</v>
      </c>
      <c r="E15">
        <f>SUMIF(Tabela2[Mercadoria],Tabela3[[#This Row],[Produto]],Tabela2[Quantidade])</f>
        <v>100</v>
      </c>
      <c r="F15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5">
        <f>Tabela3[[#This Row],[Quantidade Inicial]]+Tabela3[[#This Row],[Quantidade Comprada]]-Tabela3[[#This Row],[Quantidade Vendida]]</f>
        <v>100</v>
      </c>
      <c r="H15" t="str">
        <f>IF(Tabela3[[#This Row],[Quantidade Atual]]&lt;50,IF(Tabela3[[#This Row],[Quantidade Atual]]&lt;20,"Comprar","Atenção"),"OK")</f>
        <v>OK</v>
      </c>
    </row>
    <row r="16" spans="1:8" x14ac:dyDescent="0.25">
      <c r="B16" s="5" t="str">
        <f>cálculos!E14</f>
        <v>Cigarro</v>
      </c>
      <c r="C16" s="2">
        <f>IFERROR(INDEX(Tabela2[],MATCH(Tabela3[[#This Row],[Produto]],Tabela2[Mercadoria],0),1),"")</f>
        <v>42188</v>
      </c>
      <c r="D16">
        <v>0</v>
      </c>
      <c r="E16">
        <f>SUMIF(Tabela2[Mercadoria],Tabela3[[#This Row],[Produto]],Tabela2[Quantidade])</f>
        <v>100</v>
      </c>
      <c r="F16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6">
        <f>Tabela3[[#This Row],[Quantidade Inicial]]+Tabela3[[#This Row],[Quantidade Comprada]]-Tabela3[[#This Row],[Quantidade Vendida]]</f>
        <v>100</v>
      </c>
      <c r="H16" t="str">
        <f>IF(Tabela3[[#This Row],[Quantidade Atual]]&lt;50,IF(Tabela3[[#This Row],[Quantidade Atual]]&lt;20,"Comprar","Atenção"),"OK")</f>
        <v>OK</v>
      </c>
    </row>
    <row r="17" spans="2:8" x14ac:dyDescent="0.25">
      <c r="B17" s="5" t="str">
        <f>cálculos!E15</f>
        <v>Couve</v>
      </c>
      <c r="C17" s="2">
        <f>IFERROR(INDEX(Tabela2[],MATCH(Tabela3[[#This Row],[Produto]],Tabela2[Mercadoria],0),1),"")</f>
        <v>42187</v>
      </c>
      <c r="D17">
        <v>0</v>
      </c>
      <c r="E17">
        <f>SUMIF(Tabela2[Mercadoria],Tabela3[[#This Row],[Produto]],Tabela2[Quantidade])</f>
        <v>100</v>
      </c>
      <c r="F17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7">
        <f>Tabela3[[#This Row],[Quantidade Inicial]]+Tabela3[[#This Row],[Quantidade Comprada]]-Tabela3[[#This Row],[Quantidade Vendida]]</f>
        <v>100</v>
      </c>
      <c r="H17" t="str">
        <f>IF(Tabela3[[#This Row],[Quantidade Atual]]&lt;50,IF(Tabela3[[#This Row],[Quantidade Atual]]&lt;20,"Comprar","Atenção"),"OK")</f>
        <v>OK</v>
      </c>
    </row>
    <row r="18" spans="2:8" x14ac:dyDescent="0.25">
      <c r="B18" s="5" t="str">
        <f>cálculos!E16</f>
        <v>Feijão</v>
      </c>
      <c r="C18" s="2">
        <f>IFERROR(INDEX(Tabela2[],MATCH(Tabela3[[#This Row],[Produto]],Tabela2[Mercadoria],0),1),"")</f>
        <v>42190</v>
      </c>
      <c r="D18">
        <v>0</v>
      </c>
      <c r="E18">
        <f>SUMIF(Tabela2[Mercadoria],Tabela3[[#This Row],[Produto]],Tabela2[Quantidade])</f>
        <v>570</v>
      </c>
      <c r="F18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10</v>
      </c>
      <c r="G18">
        <f>Tabela3[[#This Row],[Quantidade Inicial]]+Tabela3[[#This Row],[Quantidade Comprada]]-Tabela3[[#This Row],[Quantidade Vendida]]</f>
        <v>560</v>
      </c>
      <c r="H18" t="str">
        <f>IF(Tabela3[[#This Row],[Quantidade Atual]]&lt;50,IF(Tabela3[[#This Row],[Quantidade Atual]]&lt;20,"Comprar","Atenção"),"OK")</f>
        <v>OK</v>
      </c>
    </row>
    <row r="19" spans="2:8" x14ac:dyDescent="0.25">
      <c r="B19" s="5" t="str">
        <f>cálculos!E17</f>
        <v>Frango</v>
      </c>
      <c r="C19" s="2">
        <f>IFERROR(INDEX(Tabela2[],MATCH(Tabela3[[#This Row],[Produto]],Tabela2[Mercadoria],0),1),"")</f>
        <v>42188</v>
      </c>
      <c r="D19">
        <v>39</v>
      </c>
      <c r="E19">
        <f>SUMIF(Tabela2[Mercadoria],Tabela3[[#This Row],[Produto]],Tabela2[Quantidade])</f>
        <v>110</v>
      </c>
      <c r="F19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9">
        <f>Tabela3[[#This Row],[Quantidade Inicial]]+Tabela3[[#This Row],[Quantidade Comprada]]-Tabela3[[#This Row],[Quantidade Vendida]]</f>
        <v>149</v>
      </c>
      <c r="H19" t="str">
        <f>IF(Tabela3[[#This Row],[Quantidade Atual]]&lt;50,IF(Tabela3[[#This Row],[Quantidade Atual]]&lt;20,"Comprar","Atenção"),"OK")</f>
        <v>OK</v>
      </c>
    </row>
    <row r="20" spans="2:8" x14ac:dyDescent="0.25">
      <c r="B20" s="5" t="str">
        <f>cálculos!E18</f>
        <v>Pão de Forma</v>
      </c>
      <c r="C20" s="2">
        <f>IFERROR(INDEX(Tabela2[],MATCH(Tabela3[[#This Row],[Produto]],Tabela2[Mercadoria],0),1),"")</f>
        <v>42188</v>
      </c>
      <c r="D20">
        <v>0</v>
      </c>
      <c r="E20">
        <f>SUMIF(Tabela2[Mercadoria],Tabela3[[#This Row],[Produto]],Tabela2[Quantidade])</f>
        <v>300</v>
      </c>
      <c r="F20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5</v>
      </c>
      <c r="G20">
        <f>Tabela3[[#This Row],[Quantidade Inicial]]+Tabela3[[#This Row],[Quantidade Comprada]]-Tabela3[[#This Row],[Quantidade Vendida]]</f>
        <v>295</v>
      </c>
      <c r="H20" t="str">
        <f>IF(Tabela3[[#This Row],[Quantidade Atual]]&lt;50,IF(Tabela3[[#This Row],[Quantidade Atual]]&lt;20,"Comprar","Atenção"),"OK")</f>
        <v>OK</v>
      </c>
    </row>
    <row r="21" spans="2:8" x14ac:dyDescent="0.25">
      <c r="B21" s="5" t="str">
        <f>cálculos!E19</f>
        <v>Peixe</v>
      </c>
      <c r="C21" s="2">
        <f>IFERROR(INDEX(Tabela2[],MATCH(Tabela3[[#This Row],[Produto]],Tabela2[Mercadoria],0),1),"")</f>
        <v>42188</v>
      </c>
      <c r="D21">
        <v>0</v>
      </c>
      <c r="E21">
        <f>SUMIF(Tabela2[Mercadoria],Tabela3[[#This Row],[Produto]],Tabela2[Quantidade])</f>
        <v>50</v>
      </c>
      <c r="F21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1">
        <f>Tabela3[[#This Row],[Quantidade Inicial]]+Tabela3[[#This Row],[Quantidade Comprada]]-Tabela3[[#This Row],[Quantidade Vendida]]</f>
        <v>50</v>
      </c>
      <c r="H21" t="str">
        <f>IF(Tabela3[[#This Row],[Quantidade Atual]]&lt;50,IF(Tabela3[[#This Row],[Quantidade Atual]]&lt;20,"Comprar","Atenção"),"OK")</f>
        <v>OK</v>
      </c>
    </row>
    <row r="22" spans="2:8" x14ac:dyDescent="0.25">
      <c r="B22" s="5" t="str">
        <f>cálculos!E20</f>
        <v>Queijo</v>
      </c>
      <c r="C22" s="2">
        <v>42188</v>
      </c>
      <c r="D22">
        <v>10</v>
      </c>
      <c r="E22">
        <f>SUMIF(Tabela2[Mercadoria],Tabela3[[#This Row],[Produto]],Tabela2[Quantidade])</f>
        <v>0</v>
      </c>
      <c r="F22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1.5</v>
      </c>
      <c r="G22">
        <f>Tabela3[[#This Row],[Quantidade Inicial]]+Tabela3[[#This Row],[Quantidade Comprada]]-Tabela3[[#This Row],[Quantidade Vendida]]</f>
        <v>8.5</v>
      </c>
      <c r="H22" t="str">
        <f>IF(Tabela3[[#This Row],[Quantidade Atual]]&lt;50,IF(Tabela3[[#This Row],[Quantidade Atual]]&lt;20,"Comprar","Atenção"),"OK")</f>
        <v>Comprar</v>
      </c>
    </row>
    <row r="23" spans="2:8" x14ac:dyDescent="0.25">
      <c r="B23" s="5" t="str">
        <f>cálculos!E21</f>
        <v>Refrigerante</v>
      </c>
      <c r="C23" s="2">
        <v>42189</v>
      </c>
      <c r="D23">
        <v>100</v>
      </c>
      <c r="E23">
        <f>SUMIF(Tabela2[Mercadoria],Tabela3[[#This Row],[Produto]],Tabela2[Quantidade])</f>
        <v>0</v>
      </c>
      <c r="F23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4</v>
      </c>
      <c r="G23">
        <f>Tabela3[[#This Row],[Quantidade Inicial]]+Tabela3[[#This Row],[Quantidade Comprada]]-Tabela3[[#This Row],[Quantidade Vendida]]</f>
        <v>96</v>
      </c>
      <c r="H23" t="str">
        <f>IF(Tabela3[[#This Row],[Quantidade Atual]]&lt;50,IF(Tabela3[[#This Row],[Quantidade Atual]]&lt;20,"Comprar","Atenção"),"OK")</f>
        <v>OK</v>
      </c>
    </row>
    <row r="24" spans="2:8" x14ac:dyDescent="0.25">
      <c r="B24" s="5" t="str">
        <f>cálculos!E22</f>
        <v>Suco</v>
      </c>
      <c r="C24" s="2">
        <v>42190</v>
      </c>
      <c r="D24">
        <v>0</v>
      </c>
      <c r="E24">
        <f>SUMIF(Tabela2[Mercadoria],Tabela3[[#This Row],[Produto]],Tabela2[Quantidade])</f>
        <v>200</v>
      </c>
      <c r="F24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4">
        <f>Tabela3[[#This Row],[Quantidade Inicial]]+Tabela3[[#This Row],[Quantidade Comprada]]-Tabela3[[#This Row],[Quantidade Vendida]]</f>
        <v>200</v>
      </c>
      <c r="H24" t="str">
        <f>IF(Tabela3[[#This Row],[Quantidade Atual]]&lt;50,IF(Tabela3[[#This Row],[Quantidade Atual]]&lt;20,"Comprar","Atenção"),"OK")</f>
        <v>OK</v>
      </c>
    </row>
    <row r="25" spans="2:8" x14ac:dyDescent="0.25">
      <c r="B25" s="5" t="str">
        <f>cálculos!E23</f>
        <v>Tomate</v>
      </c>
      <c r="C25" s="2">
        <v>42191</v>
      </c>
      <c r="D25">
        <v>30</v>
      </c>
      <c r="E25">
        <f>SUMIF(Tabela2[Mercadoria],Tabela3[[#This Row],[Produto]],Tabela2[Quantidade])</f>
        <v>0</v>
      </c>
      <c r="F25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5">
        <f>Tabela3[[#This Row],[Quantidade Inicial]]+Tabela3[[#This Row],[Quantidade Comprada]]-Tabela3[[#This Row],[Quantidade Vendida]]</f>
        <v>30</v>
      </c>
      <c r="H25" t="str">
        <f>IF(Tabela3[[#This Row],[Quantidade Atual]]&lt;50,IF(Tabela3[[#This Row],[Quantidade Atual]]&lt;20,"Comprar","Atenção"),"OK")</f>
        <v>Atenção</v>
      </c>
    </row>
    <row r="26" spans="2:8" x14ac:dyDescent="0.25">
      <c r="B26" s="5" t="str">
        <f>cálculos!E24</f>
        <v>Vagem</v>
      </c>
      <c r="C26" s="2">
        <v>42192</v>
      </c>
      <c r="D26">
        <v>50</v>
      </c>
      <c r="E26">
        <f>SUMIF(Tabela2[Mercadoria],Tabela3[[#This Row],[Produto]],Tabela2[Quantidade])</f>
        <v>0</v>
      </c>
      <c r="F26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2</v>
      </c>
      <c r="G26">
        <f>Tabela3[[#This Row],[Quantidade Inicial]]+Tabela3[[#This Row],[Quantidade Comprada]]-Tabela3[[#This Row],[Quantidade Vendida]]</f>
        <v>48</v>
      </c>
      <c r="H26" t="str">
        <f>IF(Tabela3[[#This Row],[Quantidade Atual]]&lt;50,IF(Tabela3[[#This Row],[Quantidade Atual]]&lt;20,"Comprar","Atenção"),"OK")</f>
        <v>Atenção</v>
      </c>
    </row>
    <row r="27" spans="2:8" x14ac:dyDescent="0.25">
      <c r="B27" s="5" t="str">
        <f>cálculos!E25</f>
        <v>Vinho</v>
      </c>
      <c r="C27" s="2">
        <v>42192</v>
      </c>
      <c r="D27">
        <v>0</v>
      </c>
      <c r="E27">
        <f>SUMIF(Tabela2[Mercadoria],Tabela3[[#This Row],[Produto]],Tabela2[Quantidade])</f>
        <v>80</v>
      </c>
      <c r="F27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7">
        <f>Tabela3[[#This Row],[Quantidade Inicial]]+Tabela3[[#This Row],[Quantidade Comprada]]-Tabela3[[#This Row],[Quantidade Vendida]]</f>
        <v>80</v>
      </c>
      <c r="H27" t="str">
        <f>IF(Tabela3[[#This Row],[Quantidade Atual]]&lt;50,IF(Tabela3[[#This Row],[Quantidade Atual]]&lt;20,"Comprar","Atenção"),"OK")</f>
        <v>OK</v>
      </c>
    </row>
    <row r="28" spans="2:8" x14ac:dyDescent="0.25">
      <c r="B28" s="5" t="str">
        <f>cálculos!E26</f>
        <v>Vodka</v>
      </c>
      <c r="C28" s="2">
        <v>42192</v>
      </c>
      <c r="D28">
        <v>20</v>
      </c>
      <c r="E28">
        <f>SUMIF(Tabela2[Mercadoria],Tabela3[[#This Row],[Produto]],Tabela2[Quantidade])</f>
        <v>0</v>
      </c>
      <c r="F28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8">
        <f>Tabela3[[#This Row],[Quantidade Inicial]]+Tabela3[[#This Row],[Quantidade Comprada]]-Tabela3[[#This Row],[Quantidade Vendida]]</f>
        <v>20</v>
      </c>
      <c r="H28" t="str">
        <f>IF(Tabela3[[#This Row],[Quantidade Atual]]&lt;50,IF(Tabela3[[#This Row],[Quantidade Atual]]&lt;20,"Comprar","Atenção"),"OK")</f>
        <v>Atenção</v>
      </c>
    </row>
  </sheetData>
  <conditionalFormatting sqref="H5:H28">
    <cfRule type="containsText" dxfId="90" priority="1" operator="containsText" text="Atenção">
      <formula>NOT(ISERROR(SEARCH("Atenção",H5)))</formula>
    </cfRule>
    <cfRule type="containsText" dxfId="89" priority="2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ignoredErrors>
    <ignoredError sqref="C9:C11 C22:C28" calculatedColumn="1"/>
  </ignoredErrors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/>
  <dimension ref="A1:L28"/>
  <sheetViews>
    <sheetView showGridLines="0" topLeftCell="A10" zoomScaleNormal="100" workbookViewId="0"/>
  </sheetViews>
  <sheetFormatPr defaultRowHeight="15" x14ac:dyDescent="0.25"/>
  <cols>
    <col min="1" max="1" width="8.5703125" customWidth="1"/>
    <col min="3" max="5" width="39" customWidth="1"/>
    <col min="11" max="11" width="14.28515625" customWidth="1"/>
  </cols>
  <sheetData>
    <row r="1" spans="1:12" ht="24" customHeight="1" x14ac:dyDescent="0.25"/>
    <row r="2" spans="1:12" s="62" customFormat="1" ht="36" x14ac:dyDescent="0.55000000000000004">
      <c r="A2" s="59"/>
      <c r="B2" s="60" t="s">
        <v>0</v>
      </c>
      <c r="C2" s="61"/>
      <c r="H2" s="65"/>
      <c r="I2" s="65"/>
      <c r="J2" s="65"/>
      <c r="K2" s="65"/>
      <c r="L2" s="65"/>
    </row>
    <row r="4" spans="1:12" ht="15.75" x14ac:dyDescent="0.25">
      <c r="C4" s="10" t="s">
        <v>128</v>
      </c>
      <c r="D4" s="10"/>
      <c r="E4" s="11">
        <f>SUM(E5:E6)</f>
        <v>616.1038199999997</v>
      </c>
    </row>
    <row r="5" spans="1:12" ht="15.75" x14ac:dyDescent="0.25">
      <c r="C5" s="6"/>
      <c r="D5" s="10" t="s">
        <v>129</v>
      </c>
      <c r="E5" s="11">
        <f>[1]Vendas!D18-[1]Vendas!D27</f>
        <v>575.6038199999997</v>
      </c>
    </row>
    <row r="6" spans="1:12" ht="15.75" x14ac:dyDescent="0.25">
      <c r="C6" s="6"/>
      <c r="D6" s="12" t="s">
        <v>130</v>
      </c>
      <c r="E6" s="13">
        <f>[1]Vendas!D27</f>
        <v>40.5</v>
      </c>
    </row>
    <row r="7" spans="1:12" ht="15.75" x14ac:dyDescent="0.25">
      <c r="C7" s="6"/>
      <c r="D7" s="6"/>
      <c r="E7" s="7"/>
    </row>
    <row r="8" spans="1:12" ht="15.75" x14ac:dyDescent="0.25">
      <c r="C8" s="6" t="s">
        <v>137</v>
      </c>
      <c r="D8" s="6"/>
      <c r="E8" s="7">
        <f>0.15*E4</f>
        <v>92.415572999999952</v>
      </c>
    </row>
    <row r="9" spans="1:12" ht="16.5" thickBot="1" x14ac:dyDescent="0.3">
      <c r="C9" s="8" t="s">
        <v>9</v>
      </c>
      <c r="D9" s="8"/>
      <c r="E9" s="9">
        <f>E4-E8</f>
        <v>523.68824699999971</v>
      </c>
    </row>
    <row r="10" spans="1:12" ht="16.5" thickTop="1" x14ac:dyDescent="0.25">
      <c r="C10" s="6"/>
      <c r="D10" s="6"/>
      <c r="E10" s="7"/>
    </row>
    <row r="11" spans="1:12" ht="15.75" x14ac:dyDescent="0.25">
      <c r="C11" s="10" t="s">
        <v>52</v>
      </c>
      <c r="D11" s="10"/>
      <c r="E11" s="11">
        <f>SUM(E12:E13)</f>
        <v>59903.532500000001</v>
      </c>
    </row>
    <row r="12" spans="1:12" ht="15.75" x14ac:dyDescent="0.25">
      <c r="C12" s="6"/>
      <c r="D12" s="10" t="s">
        <v>133</v>
      </c>
      <c r="E12" s="11">
        <f>'[1]Compras Mercadorias'!I28</f>
        <v>13996.532499999999</v>
      </c>
    </row>
    <row r="13" spans="1:12" ht="15.75" x14ac:dyDescent="0.25">
      <c r="C13" s="6"/>
      <c r="D13" s="12" t="s">
        <v>42</v>
      </c>
      <c r="E13" s="13">
        <f>[1]Despesas!G31</f>
        <v>45907</v>
      </c>
    </row>
    <row r="14" spans="1:12" ht="15.75" x14ac:dyDescent="0.25">
      <c r="C14" s="6"/>
      <c r="D14" s="6"/>
      <c r="E14" s="63"/>
    </row>
    <row r="15" spans="1:12" ht="15.75" x14ac:dyDescent="0.25">
      <c r="C15" s="111" t="s">
        <v>134</v>
      </c>
      <c r="D15" s="112"/>
      <c r="E15" s="113">
        <f>E9-E11</f>
        <v>-59379.844253000003</v>
      </c>
    </row>
    <row r="16" spans="1:12" ht="15.75" x14ac:dyDescent="0.25">
      <c r="C16" s="6"/>
      <c r="D16" s="6"/>
      <c r="E16" s="7"/>
    </row>
    <row r="17" spans="3:5" ht="15.75" x14ac:dyDescent="0.25">
      <c r="C17" s="6" t="s">
        <v>18</v>
      </c>
      <c r="D17" s="6"/>
      <c r="E17" s="7">
        <f>[1]Investimentos!E11</f>
        <v>0</v>
      </c>
    </row>
    <row r="18" spans="3:5" ht="15.75" x14ac:dyDescent="0.25">
      <c r="C18" s="6"/>
      <c r="D18" s="6"/>
      <c r="E18" s="7"/>
    </row>
    <row r="19" spans="3:5" ht="15.75" x14ac:dyDescent="0.25">
      <c r="C19" s="6" t="s">
        <v>131</v>
      </c>
      <c r="D19" s="6"/>
      <c r="E19" s="7">
        <f>300</f>
        <v>300</v>
      </c>
    </row>
    <row r="20" spans="3:5" ht="15.75" x14ac:dyDescent="0.25">
      <c r="C20" s="6"/>
      <c r="D20" s="6"/>
      <c r="E20" s="7"/>
    </row>
    <row r="21" spans="3:5" ht="16.5" thickBot="1" x14ac:dyDescent="0.3">
      <c r="C21" s="114" t="s">
        <v>136</v>
      </c>
      <c r="D21" s="114"/>
      <c r="E21" s="115">
        <f>E15-E17-E19</f>
        <v>-59679.844253000003</v>
      </c>
    </row>
    <row r="22" spans="3:5" ht="15.75" x14ac:dyDescent="0.25">
      <c r="C22" s="6"/>
      <c r="D22" s="6"/>
      <c r="E22" s="7"/>
    </row>
    <row r="23" spans="3:5" ht="15.75" x14ac:dyDescent="0.25">
      <c r="C23" s="6" t="s">
        <v>132</v>
      </c>
      <c r="D23" s="6"/>
      <c r="E23" s="7">
        <f>IF(E21&gt;1000,(E21-1000)*0.3,0)</f>
        <v>0</v>
      </c>
    </row>
    <row r="24" spans="3:5" ht="15.75" x14ac:dyDescent="0.25">
      <c r="C24" s="6"/>
      <c r="D24" s="6"/>
      <c r="E24" s="6"/>
    </row>
    <row r="25" spans="3:5" ht="16.5" thickBot="1" x14ac:dyDescent="0.3">
      <c r="C25" s="117" t="s">
        <v>135</v>
      </c>
      <c r="D25" s="117"/>
      <c r="E25" s="118">
        <f>E21-E23</f>
        <v>-59679.844253000003</v>
      </c>
    </row>
    <row r="26" spans="3:5" ht="15.75" x14ac:dyDescent="0.25">
      <c r="C26" s="64"/>
      <c r="D26" s="64"/>
      <c r="E26" s="64"/>
    </row>
    <row r="28" spans="3:5" x14ac:dyDescent="0.25">
      <c r="E28" s="1"/>
    </row>
  </sheetData>
  <conditionalFormatting sqref="G8">
    <cfRule type="cellIs" dxfId="82" priority="4" operator="lessThan">
      <formula>0</formula>
    </cfRule>
  </conditionalFormatting>
  <conditionalFormatting sqref="E15 E21 E25">
    <cfRule type="cellIs" dxfId="81" priority="2" operator="lessThan">
      <formula>0</formula>
    </cfRule>
  </conditionalFormatting>
  <conditionalFormatting sqref="E15 E21 E25">
    <cfRule type="cellIs" dxfId="8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9"/>
  <dimension ref="A2:J56"/>
  <sheetViews>
    <sheetView showGridLines="0" topLeftCell="A46" zoomScaleNormal="100" workbookViewId="0">
      <selection activeCell="B66" sqref="B66"/>
    </sheetView>
  </sheetViews>
  <sheetFormatPr defaultRowHeight="15" x14ac:dyDescent="0.25"/>
  <cols>
    <col min="1" max="1" width="9.5703125" customWidth="1"/>
    <col min="2" max="2" width="13.5703125" customWidth="1"/>
    <col min="3" max="3" width="36.42578125" bestFit="1" customWidth="1"/>
    <col min="4" max="4" width="22.7109375" bestFit="1" customWidth="1"/>
    <col min="5" max="5" width="8.85546875" customWidth="1"/>
    <col min="6" max="6" width="11.85546875" customWidth="1"/>
    <col min="7" max="7" width="16.140625" bestFit="1" customWidth="1"/>
    <col min="8" max="8" width="13" customWidth="1"/>
    <col min="9" max="9" width="17.140625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0" s="69" customFormat="1" ht="36.75" customHeight="1" thickBot="1" x14ac:dyDescent="0.6">
      <c r="A2" s="66"/>
      <c r="B2" s="67" t="s">
        <v>8</v>
      </c>
      <c r="C2" s="70"/>
      <c r="J2" s="98"/>
    </row>
    <row r="3" spans="1:10" ht="26.25" customHeight="1" thickBot="1" x14ac:dyDescent="0.3"/>
    <row r="4" spans="1:10" ht="17.25" customHeight="1" thickBot="1" x14ac:dyDescent="0.4">
      <c r="J4" s="97" t="s">
        <v>116</v>
      </c>
    </row>
    <row r="5" spans="1:10" ht="18" customHeight="1" thickBot="1" x14ac:dyDescent="0.3"/>
    <row r="6" spans="1:10" x14ac:dyDescent="0.25">
      <c r="B6" s="72"/>
      <c r="C6" s="73"/>
      <c r="D6" s="73"/>
      <c r="E6" s="73"/>
      <c r="F6" s="73"/>
      <c r="G6" s="73"/>
      <c r="H6" s="73"/>
      <c r="I6" s="73"/>
      <c r="J6" s="74"/>
    </row>
    <row r="7" spans="1:10" x14ac:dyDescent="0.25">
      <c r="B7" s="75"/>
      <c r="J7" s="76"/>
    </row>
    <row r="8" spans="1:10" ht="15.75" thickBot="1" x14ac:dyDescent="0.3">
      <c r="B8" s="75"/>
      <c r="J8" s="76"/>
    </row>
    <row r="9" spans="1:10" ht="15.75" thickBot="1" x14ac:dyDescent="0.3">
      <c r="B9" s="75"/>
      <c r="C9" s="80" t="s">
        <v>8</v>
      </c>
      <c r="D9" s="81"/>
      <c r="J9" s="76"/>
    </row>
    <row r="10" spans="1:10" ht="18.75" x14ac:dyDescent="0.3">
      <c r="B10" s="75"/>
      <c r="C10" s="82" t="s">
        <v>109</v>
      </c>
      <c r="D10" s="83">
        <f>'Sem1'!L31</f>
        <v>603.33881999999994</v>
      </c>
      <c r="J10" s="76"/>
    </row>
    <row r="11" spans="1:10" ht="18.75" x14ac:dyDescent="0.3">
      <c r="B11" s="75"/>
      <c r="C11" s="84" t="s">
        <v>110</v>
      </c>
      <c r="D11" s="85">
        <f>'Sem2'!L33</f>
        <v>46.896999999999998</v>
      </c>
      <c r="J11" s="76"/>
    </row>
    <row r="12" spans="1:10" ht="18.75" x14ac:dyDescent="0.3">
      <c r="B12" s="75"/>
      <c r="C12" s="84" t="s">
        <v>111</v>
      </c>
      <c r="D12" s="85">
        <f>'Sem3'!L30</f>
        <v>0</v>
      </c>
      <c r="J12" s="76"/>
    </row>
    <row r="13" spans="1:10" ht="18.75" x14ac:dyDescent="0.3">
      <c r="B13" s="75"/>
      <c r="C13" s="84" t="s">
        <v>112</v>
      </c>
      <c r="D13" s="85">
        <f>'Sem4'!L31</f>
        <v>0</v>
      </c>
      <c r="J13" s="76"/>
    </row>
    <row r="14" spans="1:10" ht="19.5" thickBot="1" x14ac:dyDescent="0.35">
      <c r="B14" s="75"/>
      <c r="C14" s="86" t="s">
        <v>113</v>
      </c>
      <c r="D14" s="87">
        <f>'Sem5'!L34</f>
        <v>0</v>
      </c>
      <c r="J14" s="76"/>
    </row>
    <row r="15" spans="1:10" ht="19.5" thickBot="1" x14ac:dyDescent="0.35">
      <c r="B15" s="75"/>
      <c r="C15" s="71"/>
      <c r="D15" s="71"/>
      <c r="J15" s="76"/>
    </row>
    <row r="16" spans="1:10" ht="19.5" thickBot="1" x14ac:dyDescent="0.35">
      <c r="B16" s="75"/>
      <c r="C16" s="89" t="str">
        <f>"Total de Vendas de "&amp; J4</f>
        <v>Total de Vendas de Agosto</v>
      </c>
      <c r="D16" s="88">
        <f>SUM(D10:D14)</f>
        <v>650.23581999999999</v>
      </c>
      <c r="J16" s="76"/>
    </row>
    <row r="17" spans="2:10" ht="18.75" x14ac:dyDescent="0.3">
      <c r="B17" s="75"/>
      <c r="C17" s="71"/>
      <c r="D17" s="71"/>
      <c r="J17" s="76"/>
    </row>
    <row r="18" spans="2:10" x14ac:dyDescent="0.25">
      <c r="B18" s="75"/>
      <c r="J18" s="76"/>
    </row>
    <row r="19" spans="2:10" x14ac:dyDescent="0.25">
      <c r="B19" s="75"/>
      <c r="J19" s="76"/>
    </row>
    <row r="20" spans="2:10" ht="15.75" thickBot="1" x14ac:dyDescent="0.3">
      <c r="B20" s="77"/>
      <c r="C20" s="78"/>
      <c r="D20" s="78"/>
      <c r="E20" s="78"/>
      <c r="F20" s="78"/>
      <c r="G20" s="78"/>
      <c r="H20" s="78"/>
      <c r="I20" s="78"/>
      <c r="J20" s="79"/>
    </row>
    <row r="21" spans="2:10" ht="15.75" thickBot="1" x14ac:dyDescent="0.3"/>
    <row r="22" spans="2:10" x14ac:dyDescent="0.25">
      <c r="B22" s="72"/>
      <c r="C22" s="73"/>
      <c r="D22" s="73"/>
      <c r="E22" s="73"/>
      <c r="F22" s="73"/>
      <c r="G22" s="73"/>
      <c r="H22" s="73"/>
      <c r="I22" s="73"/>
      <c r="J22" s="74"/>
    </row>
    <row r="23" spans="2:10" x14ac:dyDescent="0.25">
      <c r="B23" s="75"/>
      <c r="J23" s="76"/>
    </row>
    <row r="24" spans="2:10" ht="18.75" x14ac:dyDescent="0.3">
      <c r="B24" s="75"/>
      <c r="C24" s="123" t="s">
        <v>143</v>
      </c>
      <c r="D24" s="123"/>
      <c r="J24" s="76"/>
    </row>
    <row r="25" spans="2:10" ht="18.75" x14ac:dyDescent="0.3">
      <c r="B25" s="75"/>
      <c r="C25" s="91" t="s">
        <v>117</v>
      </c>
      <c r="D25" s="95">
        <f>(COUNTIF(Tabela46[Valor da Entrega],"&gt;0")+COUNTIF(Tabela47[Valor da Entrega],"&gt;0")+COUNTIF(Tabela48[Valor da Entrega],"&gt;0")+COUNTIF(Tabela48[Valor da Entrega],"&gt;0")+COUNTIF(Tabela4811[Valor da Entrega],"&gt;0")+COUNTIF(Tabela4812[Valor da Entrega],"&gt;0"))/SUM('Sem1'!L32,'Sem2'!L34,'Sem3'!L31,'Sem4'!L32,'Sem5'!L35)</f>
        <v>6.741573033707865E-2</v>
      </c>
      <c r="J25" s="76"/>
    </row>
    <row r="26" spans="2:10" ht="18.75" x14ac:dyDescent="0.3">
      <c r="B26" s="75"/>
      <c r="C26" s="91" t="s">
        <v>118</v>
      </c>
      <c r="D26" s="96">
        <f>SUMIF(Tabela46[Valor da Entrega],"&gt;0",Tabela46[Total Cliente])+SUMIF(Tabela47[Valor da Entrega],"&gt;0",Tabela47[Total Cliente])+SUMIF(Tabela48[Valor da Entrega],"&gt;0",Tabela48[Total Cliente])+SUMIF(Tabela4811[Valor da Entrega],"&gt;0",Tabela4811[Total Cliente])+SUMIF(Tabela4812[Valor da Entrega],"&gt;0",Tabela4812[Total Cliente])</f>
        <v>300.57982000000004</v>
      </c>
      <c r="J26" s="76"/>
    </row>
    <row r="27" spans="2:10" ht="18.75" x14ac:dyDescent="0.3">
      <c r="B27" s="75"/>
      <c r="C27" s="91" t="s">
        <v>119</v>
      </c>
      <c r="D27" s="96">
        <f>SUM('Sem1'!L30,'Sem2'!L32,'Sem3'!L29,'Sem4'!L30,'Sem5'!L33)</f>
        <v>40.5</v>
      </c>
      <c r="J27" s="76"/>
    </row>
    <row r="28" spans="2:10" x14ac:dyDescent="0.25">
      <c r="B28" s="75"/>
      <c r="J28" s="76"/>
    </row>
    <row r="29" spans="2:10" ht="18.75" x14ac:dyDescent="0.3">
      <c r="B29" s="75"/>
      <c r="C29" s="93" t="s">
        <v>114</v>
      </c>
      <c r="D29" s="94">
        <f>SUM('Sem1'!L31,'Sem2'!L33,'Sem3'!L30,'Sem4'!L31,'Sem5'!L34)/SUM('Sem1'!L32,'Sem2'!L34,'Sem3'!L31,'Sem4'!L32,'Sem5'!L35)</f>
        <v>7.3060204494382024</v>
      </c>
      <c r="J29" s="76"/>
    </row>
    <row r="30" spans="2:10" x14ac:dyDescent="0.25">
      <c r="B30" s="75"/>
      <c r="J30" s="76"/>
    </row>
    <row r="31" spans="2:10" x14ac:dyDescent="0.25">
      <c r="B31" s="75"/>
      <c r="J31" s="76"/>
    </row>
    <row r="32" spans="2:10" x14ac:dyDescent="0.25">
      <c r="B32" s="75"/>
      <c r="J32" s="76"/>
    </row>
    <row r="33" spans="2:10" x14ac:dyDescent="0.25">
      <c r="B33" s="75"/>
      <c r="J33" s="76"/>
    </row>
    <row r="34" spans="2:10" x14ac:dyDescent="0.25">
      <c r="B34" s="75"/>
      <c r="J34" s="76"/>
    </row>
    <row r="35" spans="2:10" x14ac:dyDescent="0.25">
      <c r="B35" s="75"/>
      <c r="J35" s="76"/>
    </row>
    <row r="36" spans="2:10" x14ac:dyDescent="0.25">
      <c r="B36" s="75"/>
      <c r="J36" s="76"/>
    </row>
    <row r="37" spans="2:10" x14ac:dyDescent="0.25">
      <c r="B37" s="75"/>
      <c r="J37" s="76"/>
    </row>
    <row r="38" spans="2:10" x14ac:dyDescent="0.25">
      <c r="B38" s="75"/>
      <c r="J38" s="76"/>
    </row>
    <row r="39" spans="2:10" x14ac:dyDescent="0.25">
      <c r="B39" s="75"/>
      <c r="J39" s="76"/>
    </row>
    <row r="40" spans="2:10" x14ac:dyDescent="0.25">
      <c r="B40" s="75"/>
      <c r="J40" s="76"/>
    </row>
    <row r="41" spans="2:10" ht="15.75" thickBot="1" x14ac:dyDescent="0.3">
      <c r="B41" s="77"/>
      <c r="C41" s="78"/>
      <c r="D41" s="78"/>
      <c r="E41" s="78"/>
      <c r="F41" s="78"/>
      <c r="G41" s="78"/>
      <c r="H41" s="78"/>
      <c r="I41" s="78"/>
      <c r="J41" s="79"/>
    </row>
    <row r="42" spans="2:10" ht="15.75" thickBot="1" x14ac:dyDescent="0.3"/>
    <row r="43" spans="2:10" x14ac:dyDescent="0.25">
      <c r="B43" s="72"/>
      <c r="C43" s="73"/>
      <c r="D43" s="73"/>
      <c r="E43" s="73"/>
      <c r="F43" s="73"/>
      <c r="G43" s="73"/>
      <c r="H43" s="73"/>
      <c r="I43" s="73"/>
      <c r="J43" s="74"/>
    </row>
    <row r="44" spans="2:10" x14ac:dyDescent="0.25">
      <c r="B44" s="75"/>
      <c r="F44" s="90"/>
      <c r="H44" s="90"/>
      <c r="J44" s="76"/>
    </row>
    <row r="45" spans="2:10" x14ac:dyDescent="0.25">
      <c r="B45" s="75"/>
      <c r="F45" s="90"/>
      <c r="J45" s="76"/>
    </row>
    <row r="46" spans="2:10" x14ac:dyDescent="0.25">
      <c r="B46" s="75"/>
      <c r="J46" s="76"/>
    </row>
    <row r="47" spans="2:10" x14ac:dyDescent="0.25">
      <c r="B47" s="75"/>
      <c r="J47" s="76"/>
    </row>
    <row r="48" spans="2:10" ht="18.75" x14ac:dyDescent="0.3">
      <c r="B48" s="75"/>
      <c r="C48" s="92" t="s">
        <v>115</v>
      </c>
      <c r="D48" s="92" t="s">
        <v>142</v>
      </c>
      <c r="J48" s="76"/>
    </row>
    <row r="49" spans="2:10" ht="18.75" x14ac:dyDescent="0.3">
      <c r="B49" s="75"/>
      <c r="C49" s="91" t="s">
        <v>100</v>
      </c>
      <c r="D49" s="91">
        <f>COUNTIFS(Tabela46[Entrega],Vendas!$C49,Tabela46[Total Cliente],"&gt;0")+COUNTIFS(Tabela47[Entrega],Vendas!$C49,Tabela47[Total Cliente],"&gt;0")+COUNTIFS(Tabela48[Entrega],Vendas!$C49,Tabela48[Total Cliente],"&gt;0")+COUNTIFS(Tabela4811[Entrega],Vendas!$C49,Tabela4811[Total Cliente],"&gt;0")+COUNTIFS(Tabela4812[Entrega],Vendas!$C49,Tabela4812[Total Cliente],"&gt;0")</f>
        <v>0</v>
      </c>
      <c r="J49" s="76"/>
    </row>
    <row r="50" spans="2:10" ht="18.75" x14ac:dyDescent="0.3">
      <c r="B50" s="75"/>
      <c r="C50" s="91" t="s">
        <v>104</v>
      </c>
      <c r="D50" s="91">
        <f>COUNTIFS(Tabela46[Entrega],Vendas!$C50,Tabela46[Total Cliente],"&gt;0")+COUNTIFS(Tabela47[Entrega],Vendas!$C50,Tabela47[Total Cliente],"&gt;0")+COUNTIFS(Tabela48[Entrega],Vendas!$C50,Tabela48[Total Cliente],"&gt;0")+COUNTIFS(Tabela4811[Entrega],Vendas!$C50,Tabela4811[Total Cliente],"&gt;0")+COUNTIFS(Tabela4812[Entrega],Vendas!$C50,Tabela4812[Total Cliente],"&gt;0")</f>
        <v>9</v>
      </c>
      <c r="J50" s="76"/>
    </row>
    <row r="51" spans="2:10" ht="18.75" x14ac:dyDescent="0.3">
      <c r="B51" s="75"/>
      <c r="C51" s="91" t="s">
        <v>99</v>
      </c>
      <c r="D51" s="91">
        <f>COUNTIFS(Tabela46[Entrega],Vendas!$C51,Tabela46[Total Cliente],"&gt;0")+COUNTIFS(Tabela47[Entrega],Vendas!$C51,Tabela47[Total Cliente],"&gt;0")+COUNTIFS(Tabela48[Entrega],Vendas!$C51,Tabela48[Total Cliente],"&gt;0")+COUNTIFS(Tabela4811[Entrega],Vendas!$C51,Tabela4811[Total Cliente],"&gt;0")+COUNTIFS(Tabela4812[Entrega],Vendas!$C51,Tabela4812[Total Cliente],"&gt;0")</f>
        <v>2</v>
      </c>
      <c r="J51" s="76"/>
    </row>
    <row r="52" spans="2:10" ht="18.75" x14ac:dyDescent="0.3">
      <c r="B52" s="75"/>
      <c r="C52" s="91" t="s">
        <v>101</v>
      </c>
      <c r="D52" s="91">
        <f>COUNTIFS(Tabela46[Entrega],Vendas!$C52,Tabela46[Total Cliente],"&gt;0")+COUNTIFS(Tabela47[Entrega],Vendas!$C52,Tabela47[Total Cliente],"&gt;0")+COUNTIFS(Tabela48[Entrega],Vendas!$C52,Tabela48[Total Cliente],"&gt;0")+COUNTIFS(Tabela4811[Entrega],Vendas!$C52,Tabela4811[Total Cliente],"&gt;0")+COUNTIFS(Tabela4812[Entrega],Vendas!$C52,Tabela4812[Total Cliente],"&gt;0")</f>
        <v>1</v>
      </c>
      <c r="J52" s="76"/>
    </row>
    <row r="53" spans="2:10" ht="18.75" x14ac:dyDescent="0.3">
      <c r="B53" s="75"/>
      <c r="C53" s="91" t="s">
        <v>102</v>
      </c>
      <c r="D53" s="91">
        <f>COUNTIFS(Tabela46[Entrega],Vendas!$C53,Tabela46[Total Cliente],"&gt;0")+COUNTIFS(Tabela47[Entrega],Vendas!$C53,Tabela47[Total Cliente],"&gt;0")+COUNTIFS(Tabela48[Entrega],Vendas!$C53,Tabela48[Total Cliente],"&gt;0")+COUNTIFS(Tabela4811[Entrega],Vendas!$C53,Tabela4811[Total Cliente],"&gt;0")+COUNTIFS(Tabela4812[Entrega],Vendas!$C53,Tabela4812[Total Cliente],"&gt;0")</f>
        <v>3</v>
      </c>
      <c r="J53" s="76"/>
    </row>
    <row r="54" spans="2:10" x14ac:dyDescent="0.25">
      <c r="B54" s="75"/>
      <c r="J54" s="76"/>
    </row>
    <row r="55" spans="2:10" x14ac:dyDescent="0.25">
      <c r="B55" s="75"/>
      <c r="J55" s="76"/>
    </row>
    <row r="56" spans="2:10" ht="15.75" thickBot="1" x14ac:dyDescent="0.3">
      <c r="B56" s="77"/>
      <c r="C56" s="78"/>
      <c r="D56" s="78"/>
      <c r="E56" s="78"/>
      <c r="F56" s="78"/>
      <c r="G56" s="78"/>
      <c r="H56" s="78"/>
      <c r="I56" s="78"/>
      <c r="J56" s="79"/>
    </row>
  </sheetData>
  <mergeCells count="1">
    <mergeCell ref="C24:D24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0"/>
  <dimension ref="A2:M32"/>
  <sheetViews>
    <sheetView showGridLines="0" zoomScaleNormal="100" workbookViewId="0">
      <selection activeCell="A3" sqref="A3"/>
    </sheetView>
  </sheetViews>
  <sheetFormatPr defaultRowHeight="15" x14ac:dyDescent="0.25"/>
  <cols>
    <col min="1" max="1" width="21.710937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3" s="69" customFormat="1" ht="36.75" customHeight="1" x14ac:dyDescent="0.55000000000000004">
      <c r="A2" s="66"/>
      <c r="B2" s="67" t="s">
        <v>144</v>
      </c>
      <c r="C2" s="68"/>
    </row>
    <row r="3" spans="1:13" ht="32.25" customHeight="1" x14ac:dyDescent="0.25"/>
    <row r="4" spans="1:13" x14ac:dyDescent="0.25">
      <c r="B4" s="22" t="s">
        <v>60</v>
      </c>
      <c r="C4" s="23" t="s">
        <v>106</v>
      </c>
      <c r="D4" s="23" t="s">
        <v>59</v>
      </c>
      <c r="E4" s="23" t="s">
        <v>78</v>
      </c>
      <c r="F4" s="23" t="s">
        <v>56</v>
      </c>
      <c r="G4" s="23" t="s">
        <v>57</v>
      </c>
      <c r="H4" s="23" t="s">
        <v>61</v>
      </c>
      <c r="I4" s="23" t="s">
        <v>58</v>
      </c>
      <c r="J4" s="23" t="s">
        <v>63</v>
      </c>
      <c r="K4" s="23" t="s">
        <v>105</v>
      </c>
      <c r="L4" s="23" t="s">
        <v>62</v>
      </c>
      <c r="M4" s="24" t="s">
        <v>108</v>
      </c>
    </row>
    <row r="5" spans="1:13" x14ac:dyDescent="0.25">
      <c r="B5" s="25">
        <v>13</v>
      </c>
      <c r="C5" s="31">
        <v>42190</v>
      </c>
      <c r="D5" s="26" t="s">
        <v>37</v>
      </c>
      <c r="E5" s="26" t="str">
        <f>IFERROR(VLOOKUP(Tabela46[[#This Row],[Produtos]],cálculos!$E$3:$H$26,4,0),"")</f>
        <v>Pacote</v>
      </c>
      <c r="F5" s="26">
        <v>1</v>
      </c>
      <c r="G5" s="27">
        <f>IFERROR(VLOOKUP(Tabela46[[#This Row],[Produtos]],cálculos!$E$3:$H$26,2,0),0)</f>
        <v>0.74260000000000004</v>
      </c>
      <c r="H5" s="27">
        <f>Tabela46[[#This Row],[Preço Unitário]]*Tabela46[[#This Row],[Quantidade]]</f>
        <v>0.74260000000000004</v>
      </c>
      <c r="I5" s="107"/>
      <c r="J5" s="26" t="s">
        <v>102</v>
      </c>
      <c r="K5" s="27">
        <f>IFERROR(IF(Tabela46[[#This Row],[Id da Venda]]=B6,0,VLOOKUP(Tabela46[[#This Row],[Entrega]],cálculos!$B$3:$C$7,2,0)),0)</f>
        <v>0</v>
      </c>
      <c r="L5" s="27">
        <f>Tabela46[[#This Row],[SubTotal]]*(1-Tabela46[[#This Row],[Desconto]])+Tabela46[[#This Row],[Valor da Entrega]]</f>
        <v>0.74260000000000004</v>
      </c>
      <c r="M5" s="28" t="str">
        <f>IF(Tabela46[[#This Row],[Id da Venda]]=B6,"",SUMIF(Tabela46[Id da Venda],Tabela46[[#This Row],[Id da Venda]],Tabela46[Total]))</f>
        <v/>
      </c>
    </row>
    <row r="6" spans="1:13" x14ac:dyDescent="0.25">
      <c r="B6" s="25">
        <v>13</v>
      </c>
      <c r="C6" s="31">
        <v>42190</v>
      </c>
      <c r="D6" s="26" t="s">
        <v>24</v>
      </c>
      <c r="E6" s="26" t="str">
        <f>IFERROR(VLOOKUP(Tabela46[[#This Row],[Produtos]],cálculos!$E$3:$H$26,4,0),"")</f>
        <v>Kg</v>
      </c>
      <c r="F6" s="26">
        <v>10</v>
      </c>
      <c r="G6" s="27">
        <f>IFERROR(VLOOKUP(Tabela46[[#This Row],[Produtos]],cálculos!$E$3:$H$26,2,0),0)</f>
        <v>14.469000000000001</v>
      </c>
      <c r="H6" s="27">
        <f>Tabela46[[#This Row],[Preço Unitário]]*Tabela46[[#This Row],[Quantidade]]</f>
        <v>144.69</v>
      </c>
      <c r="I6" s="107">
        <v>0.05</v>
      </c>
      <c r="J6" s="26" t="s">
        <v>102</v>
      </c>
      <c r="K6" s="27">
        <f>IFERROR(IF(Tabela46[[#This Row],[Id da Venda]]=B7,0,VLOOKUP(Tabela46[[#This Row],[Entrega]],cálculos!$B$3:$C$7,2,0)),0)</f>
        <v>0</v>
      </c>
      <c r="L6" s="27">
        <f>Tabela46[[#This Row],[SubTotal]]*(1-Tabela46[[#This Row],[Desconto]])+Tabela46[[#This Row],[Valor da Entrega]]</f>
        <v>137.4555</v>
      </c>
      <c r="M6" s="28" t="str">
        <f>IF(Tabela46[[#This Row],[Id da Venda]]=B7,"",SUMIF(Tabela46[Id da Venda],Tabela46[[#This Row],[Id da Venda]],Tabela46[Total]))</f>
        <v/>
      </c>
    </row>
    <row r="7" spans="1:13" x14ac:dyDescent="0.25">
      <c r="B7" s="25">
        <v>13</v>
      </c>
      <c r="C7" s="31">
        <v>42190</v>
      </c>
      <c r="D7" s="26" t="s">
        <v>33</v>
      </c>
      <c r="E7" s="26" t="str">
        <f>IFERROR(VLOOKUP(Tabela46[[#This Row],[Produtos]],cálculos!$E$3:$H$26,4,0),"")</f>
        <v>Lata</v>
      </c>
      <c r="F7" s="26">
        <v>24</v>
      </c>
      <c r="G7" s="27">
        <f>IFERROR(VLOOKUP(Tabela46[[#This Row],[Produtos]],cálculos!$E$3:$H$26,2,0),0)</f>
        <v>2.1023999999999998</v>
      </c>
      <c r="H7" s="27">
        <f>Tabela46[[#This Row],[Preço Unitário]]*Tabela46[[#This Row],[Quantidade]]</f>
        <v>50.457599999999999</v>
      </c>
      <c r="I7" s="107">
        <v>0.05</v>
      </c>
      <c r="J7" s="26" t="s">
        <v>102</v>
      </c>
      <c r="K7" s="27">
        <f>IFERROR(IF(Tabela46[[#This Row],[Id da Venda]]=B8,0,VLOOKUP(Tabela46[[#This Row],[Entrega]],cálculos!$B$3:$C$7,2,0)),0)</f>
        <v>6.5</v>
      </c>
      <c r="L7" s="27">
        <f>Tabela46[[#This Row],[SubTotal]]*(1-Tabela46[[#This Row],[Desconto]])+Tabela46[[#This Row],[Valor da Entrega]]</f>
        <v>54.434719999999999</v>
      </c>
      <c r="M7" s="28">
        <f>IF(Tabela46[[#This Row],[Id da Venda]]=B8,"",SUMIF(Tabela46[Id da Venda],Tabela46[[#This Row],[Id da Venda]],Tabela46[Total]))</f>
        <v>192.63282000000001</v>
      </c>
    </row>
    <row r="8" spans="1:13" x14ac:dyDescent="0.25">
      <c r="B8" s="25">
        <v>12</v>
      </c>
      <c r="C8" s="31">
        <v>42189</v>
      </c>
      <c r="D8" s="26" t="s">
        <v>33</v>
      </c>
      <c r="E8" s="26" t="str">
        <f>IFERROR(VLOOKUP(Tabela46[[#This Row],[Produtos]],cálculos!$E$3:$H$26,4,0),"")</f>
        <v>Lata</v>
      </c>
      <c r="F8" s="26">
        <v>1</v>
      </c>
      <c r="G8" s="27">
        <f>IFERROR(VLOOKUP(Tabela46[[#This Row],[Produtos]],cálculos!$E$3:$H$26,2,0),0)</f>
        <v>2.1023999999999998</v>
      </c>
      <c r="H8" s="27">
        <f>Tabela46[[#This Row],[Preço Unitário]]*Tabela46[[#This Row],[Quantidade]]</f>
        <v>2.1023999999999998</v>
      </c>
      <c r="I8" s="107"/>
      <c r="J8" s="26" t="s">
        <v>104</v>
      </c>
      <c r="K8" s="27">
        <f>IFERROR(IF(Tabela46[[#This Row],[Id da Venda]]=B9,0,VLOOKUP(Tabela46[[#This Row],[Entrega]],cálculos!$B$3:$C$7,2,0)),0)</f>
        <v>0</v>
      </c>
      <c r="L8" s="27">
        <f>Tabela46[[#This Row],[SubTotal]]*(1-Tabela46[[#This Row],[Desconto]])+Tabela46[[#This Row],[Valor da Entrega]]</f>
        <v>2.1023999999999998</v>
      </c>
      <c r="M8" s="28">
        <f>IF(Tabela46[[#This Row],[Id da Venda]]=B9,"",SUMIF(Tabela46[Id da Venda],Tabela46[[#This Row],[Id da Venda]],Tabela46[Total]))</f>
        <v>2.1023999999999998</v>
      </c>
    </row>
    <row r="9" spans="1:13" x14ac:dyDescent="0.25">
      <c r="B9" s="25">
        <v>11</v>
      </c>
      <c r="C9" s="31">
        <v>42189</v>
      </c>
      <c r="D9" s="26" t="s">
        <v>33</v>
      </c>
      <c r="E9" s="26" t="str">
        <f>IFERROR(VLOOKUP(Tabela46[[#This Row],[Produtos]],cálculos!$E$3:$H$26,4,0),"")</f>
        <v>Lata</v>
      </c>
      <c r="F9" s="26">
        <v>10</v>
      </c>
      <c r="G9" s="27">
        <f>IFERROR(VLOOKUP(Tabela46[[#This Row],[Produtos]],cálculos!$E$3:$H$26,2,0),0)</f>
        <v>2.1023999999999998</v>
      </c>
      <c r="H9" s="27">
        <f>Tabela46[[#This Row],[Preço Unitário]]*Tabela46[[#This Row],[Quantidade]]</f>
        <v>21.023999999999997</v>
      </c>
      <c r="I9" s="107"/>
      <c r="J9" s="26" t="s">
        <v>104</v>
      </c>
      <c r="K9" s="27">
        <f>IFERROR(IF(Tabela46[[#This Row],[Id da Venda]]=B10,0,VLOOKUP(Tabela46[[#This Row],[Entrega]],cálculos!$B$3:$C$7,2,0)),0)</f>
        <v>0</v>
      </c>
      <c r="L9" s="27">
        <f>Tabela46[[#This Row],[SubTotal]]*(1-Tabela46[[#This Row],[Desconto]])+Tabela46[[#This Row],[Valor da Entrega]]</f>
        <v>21.023999999999997</v>
      </c>
      <c r="M9" s="28">
        <f>IF(Tabela46[[#This Row],[Id da Venda]]=B10,"",SUMIF(Tabela46[Id da Venda],Tabela46[[#This Row],[Id da Venda]],Tabela46[Total]))</f>
        <v>21.023999999999997</v>
      </c>
    </row>
    <row r="10" spans="1:13" x14ac:dyDescent="0.25">
      <c r="B10" s="25">
        <v>10</v>
      </c>
      <c r="C10" s="31">
        <v>42189</v>
      </c>
      <c r="D10" s="26" t="s">
        <v>21</v>
      </c>
      <c r="E10" s="26" t="str">
        <f>IFERROR(VLOOKUP(Tabela46[[#This Row],[Produtos]],cálculos!$E$3:$H$26,4,0),"")</f>
        <v>Kg</v>
      </c>
      <c r="F10" s="26">
        <v>6</v>
      </c>
      <c r="G10" s="27">
        <f>IFERROR(VLOOKUP(Tabela46[[#This Row],[Produtos]],cálculos!$E$3:$H$26,2,0),0)</f>
        <v>4.0659999999999998</v>
      </c>
      <c r="H10" s="27">
        <f>Tabela46[[#This Row],[Preço Unitário]]*Tabela46[[#This Row],[Quantidade]]</f>
        <v>24.396000000000001</v>
      </c>
      <c r="I10" s="107"/>
      <c r="J10" s="26" t="s">
        <v>104</v>
      </c>
      <c r="K10" s="27">
        <f>IFERROR(IF(Tabela46[[#This Row],[Id da Venda]]=B11,0,VLOOKUP(Tabela46[[#This Row],[Entrega]],cálculos!$B$3:$C$7,2,0)),0)</f>
        <v>0</v>
      </c>
      <c r="L10" s="27">
        <f>Tabela46[[#This Row],[SubTotal]]*(1-Tabela46[[#This Row],[Desconto]])+Tabela46[[#This Row],[Valor da Entrega]]</f>
        <v>24.396000000000001</v>
      </c>
      <c r="M10" s="28" t="str">
        <f>IF(Tabela46[[#This Row],[Id da Venda]]=B11,"",SUMIF(Tabela46[Id da Venda],Tabela46[[#This Row],[Id da Venda]],Tabela46[Total]))</f>
        <v/>
      </c>
    </row>
    <row r="11" spans="1:13" x14ac:dyDescent="0.25">
      <c r="B11" s="25">
        <v>10</v>
      </c>
      <c r="C11" s="31">
        <v>42189</v>
      </c>
      <c r="D11" s="26" t="s">
        <v>87</v>
      </c>
      <c r="E11" s="26" t="str">
        <f>IFERROR(VLOOKUP(Tabela46[[#This Row],[Produtos]],cálculos!$E$3:$H$26,4,0),"")</f>
        <v>Litro</v>
      </c>
      <c r="F11" s="26">
        <v>4</v>
      </c>
      <c r="G11" s="27">
        <f>IFERROR(VLOOKUP(Tabela46[[#This Row],[Produtos]],cálculos!$E$3:$H$26,2,0),0)</f>
        <v>2.1749000000000001</v>
      </c>
      <c r="H11" s="27">
        <f>Tabela46[[#This Row],[Preço Unitário]]*Tabela46[[#This Row],[Quantidade]]</f>
        <v>8.6996000000000002</v>
      </c>
      <c r="I11" s="107"/>
      <c r="J11" s="26" t="s">
        <v>104</v>
      </c>
      <c r="K11" s="27">
        <f>IFERROR(IF(Tabela46[[#This Row],[Id da Venda]]=B12,0,VLOOKUP(Tabela46[[#This Row],[Entrega]],cálculos!$B$3:$C$7,2,0)),0)</f>
        <v>0</v>
      </c>
      <c r="L11" s="27">
        <f>Tabela46[[#This Row],[SubTotal]]*(1-Tabela46[[#This Row],[Desconto]])+Tabela46[[#This Row],[Valor da Entrega]]</f>
        <v>8.6996000000000002</v>
      </c>
      <c r="M11" s="28">
        <f>IF(Tabela46[[#This Row],[Id da Venda]]=B12,"",SUMIF(Tabela46[Id da Venda],Tabela46[[#This Row],[Id da Venda]],Tabela46[Total]))</f>
        <v>33.095600000000005</v>
      </c>
    </row>
    <row r="12" spans="1:13" x14ac:dyDescent="0.25">
      <c r="B12" s="25">
        <v>9</v>
      </c>
      <c r="C12" s="31">
        <v>42188</v>
      </c>
      <c r="D12" s="26" t="s">
        <v>88</v>
      </c>
      <c r="E12" s="26" t="str">
        <f>IFERROR(VLOOKUP(Tabela46[[#This Row],[Produtos]],cálculos!$E$3:$H$26,4,0),"")</f>
        <v>Unidade</v>
      </c>
      <c r="F12" s="26">
        <v>5</v>
      </c>
      <c r="G12" s="27">
        <f>IFERROR(VLOOKUP(Tabela46[[#This Row],[Produtos]],cálculos!$E$3:$H$26,2,0),0)</f>
        <v>2.6299000000000001</v>
      </c>
      <c r="H12" s="27">
        <f>Tabela46[[#This Row],[Preço Unitário]]*Tabela46[[#This Row],[Quantidade]]</f>
        <v>13.1495</v>
      </c>
      <c r="I12" s="107"/>
      <c r="J12" s="26" t="s">
        <v>104</v>
      </c>
      <c r="K12" s="27">
        <f>IFERROR(IF(Tabela46[[#This Row],[Id da Venda]]=B13,0,VLOOKUP(Tabela46[[#This Row],[Entrega]],cálculos!$B$3:$C$7,2,0)),0)</f>
        <v>0</v>
      </c>
      <c r="L12" s="27">
        <f>Tabela46[[#This Row],[SubTotal]]*(1-Tabela46[[#This Row],[Desconto]])+Tabela46[[#This Row],[Valor da Entrega]]</f>
        <v>13.1495</v>
      </c>
      <c r="M12" s="28" t="str">
        <f>IF(Tabela46[[#This Row],[Id da Venda]]=B13,"",SUMIF(Tabela46[Id da Venda],Tabela46[[#This Row],[Id da Venda]],Tabela46[Total]))</f>
        <v/>
      </c>
    </row>
    <row r="13" spans="1:13" x14ac:dyDescent="0.25">
      <c r="B13" s="25">
        <v>9</v>
      </c>
      <c r="C13" s="31">
        <v>42188</v>
      </c>
      <c r="D13" s="26" t="s">
        <v>31</v>
      </c>
      <c r="E13" s="26" t="str">
        <f>IFERROR(VLOOKUP(Tabela46[[#This Row],[Produtos]],cálculos!$E$3:$H$26,4,0),"")</f>
        <v>Kg</v>
      </c>
      <c r="F13" s="26">
        <v>2</v>
      </c>
      <c r="G13" s="27">
        <f>IFERROR(VLOOKUP(Tabela46[[#This Row],[Produtos]],cálculos!$E$3:$H$26,2,0),0)</f>
        <v>9.1009999999999991</v>
      </c>
      <c r="H13" s="27">
        <f>Tabela46[[#This Row],[Preço Unitário]]*Tabela46[[#This Row],[Quantidade]]</f>
        <v>18.201999999999998</v>
      </c>
      <c r="I13" s="107"/>
      <c r="J13" s="26" t="s">
        <v>104</v>
      </c>
      <c r="K13" s="27">
        <f>IFERROR(IF(Tabela46[[#This Row],[Id da Venda]]=B14,0,VLOOKUP(Tabela46[[#This Row],[Entrega]],cálculos!$B$3:$C$7,2,0)),0)</f>
        <v>0</v>
      </c>
      <c r="L13" s="27">
        <f>Tabela46[[#This Row],[SubTotal]]*(1-Tabela46[[#This Row],[Desconto]])+Tabela46[[#This Row],[Valor da Entrega]]</f>
        <v>18.201999999999998</v>
      </c>
      <c r="M13" s="28" t="str">
        <f>IF(Tabela46[[#This Row],[Id da Venda]]=B14,"",SUMIF(Tabela46[Id da Venda],Tabela46[[#This Row],[Id da Venda]],Tabela46[Total]))</f>
        <v/>
      </c>
    </row>
    <row r="14" spans="1:13" x14ac:dyDescent="0.25">
      <c r="B14" s="25">
        <v>9</v>
      </c>
      <c r="C14" s="31">
        <v>42188</v>
      </c>
      <c r="D14" s="26" t="s">
        <v>26</v>
      </c>
      <c r="E14" s="26" t="str">
        <f>IFERROR(VLOOKUP(Tabela46[[#This Row],[Produtos]],cálculos!$E$3:$H$26,4,0),"")</f>
        <v>Kg</v>
      </c>
      <c r="F14" s="26">
        <v>1.5</v>
      </c>
      <c r="G14" s="27">
        <f>IFERROR(VLOOKUP(Tabela46[[#This Row],[Produtos]],cálculos!$E$3:$H$26,2,0),0)</f>
        <v>23.827999999999999</v>
      </c>
      <c r="H14" s="27">
        <f>Tabela46[[#This Row],[Preço Unitário]]*Tabela46[[#This Row],[Quantidade]]</f>
        <v>35.741999999999997</v>
      </c>
      <c r="I14" s="107"/>
      <c r="J14" s="26" t="s">
        <v>104</v>
      </c>
      <c r="K14" s="27">
        <f>IFERROR(IF(Tabela46[[#This Row],[Id da Venda]]=B15,0,VLOOKUP(Tabela46[[#This Row],[Entrega]],cálculos!$B$3:$C$7,2,0)),0)</f>
        <v>0</v>
      </c>
      <c r="L14" s="27">
        <f>Tabela46[[#This Row],[SubTotal]]*(1-Tabela46[[#This Row],[Desconto]])+Tabela46[[#This Row],[Valor da Entrega]]</f>
        <v>35.741999999999997</v>
      </c>
      <c r="M14" s="28" t="str">
        <f>IF(Tabela46[[#This Row],[Id da Venda]]=B15,"",SUMIF(Tabela46[Id da Venda],Tabela46[[#This Row],[Id da Venda]],Tabela46[Total]))</f>
        <v/>
      </c>
    </row>
    <row r="15" spans="1:13" x14ac:dyDescent="0.25">
      <c r="B15" s="25">
        <v>9</v>
      </c>
      <c r="C15" s="31">
        <v>42188</v>
      </c>
      <c r="D15" s="26" t="s">
        <v>21</v>
      </c>
      <c r="E15" s="26" t="str">
        <f>IFERROR(VLOOKUP(Tabela46[[#This Row],[Produtos]],cálculos!$E$3:$H$26,4,0),"")</f>
        <v>Kg</v>
      </c>
      <c r="F15" s="26">
        <v>4</v>
      </c>
      <c r="G15" s="27">
        <f>IFERROR(VLOOKUP(Tabela46[[#This Row],[Produtos]],cálculos!$E$3:$H$26,2,0),0)</f>
        <v>4.0659999999999998</v>
      </c>
      <c r="H15" s="27">
        <f>Tabela46[[#This Row],[Preço Unitário]]*Tabela46[[#This Row],[Quantidade]]</f>
        <v>16.263999999999999</v>
      </c>
      <c r="I15" s="107"/>
      <c r="J15" s="26" t="s">
        <v>104</v>
      </c>
      <c r="K15" s="27">
        <f>IFERROR(IF(Tabela46[[#This Row],[Id da Venda]]=B16,0,VLOOKUP(Tabela46[[#This Row],[Entrega]],cálculos!$B$3:$C$7,2,0)),0)</f>
        <v>0</v>
      </c>
      <c r="L15" s="27">
        <f>Tabela46[[#This Row],[SubTotal]]*(1-Tabela46[[#This Row],[Desconto]])+Tabela46[[#This Row],[Valor da Entrega]]</f>
        <v>16.263999999999999</v>
      </c>
      <c r="M15" s="28">
        <f>IF(Tabela46[[#This Row],[Id da Venda]]=B16,"",SUMIF(Tabela46[Id da Venda],Tabela46[[#This Row],[Id da Venda]],Tabela46[Total]))</f>
        <v>83.357499999999987</v>
      </c>
    </row>
    <row r="16" spans="1:13" x14ac:dyDescent="0.25">
      <c r="B16" s="25">
        <v>8</v>
      </c>
      <c r="C16" s="31">
        <v>42188</v>
      </c>
      <c r="D16" s="26" t="s">
        <v>33</v>
      </c>
      <c r="E16" s="26" t="str">
        <f>IFERROR(VLOOKUP(Tabela46[[#This Row],[Produtos]],cálculos!$E$3:$H$26,4,0),"")</f>
        <v>Lata</v>
      </c>
      <c r="F16" s="26">
        <v>20</v>
      </c>
      <c r="G16" s="27">
        <f>IFERROR(VLOOKUP(Tabela46[[#This Row],[Produtos]],cálculos!$E$3:$H$26,2,0),0)</f>
        <v>2.1023999999999998</v>
      </c>
      <c r="H16" s="27">
        <f>Tabela46[[#This Row],[Preço Unitário]]*Tabela46[[#This Row],[Quantidade]]</f>
        <v>42.047999999999995</v>
      </c>
      <c r="I16" s="107">
        <v>0.05</v>
      </c>
      <c r="J16" s="26" t="s">
        <v>102</v>
      </c>
      <c r="K16" s="27">
        <f>IFERROR(IF(Tabela46[[#This Row],[Id da Venda]]=B17,0,VLOOKUP(Tabela46[[#This Row],[Entrega]],cálculos!$B$3:$C$7,2,0)),0)</f>
        <v>6.5</v>
      </c>
      <c r="L16" s="27">
        <f>Tabela46[[#This Row],[SubTotal]]*(1-Tabela46[[#This Row],[Desconto]])+Tabela46[[#This Row],[Valor da Entrega]]</f>
        <v>46.445599999999992</v>
      </c>
      <c r="M16" s="28">
        <f>IF(Tabela46[[#This Row],[Id da Venda]]=B17,"",SUMIF(Tabela46[Id da Venda],Tabela46[[#This Row],[Id da Venda]],Tabela46[Total]))</f>
        <v>46.445599999999992</v>
      </c>
    </row>
    <row r="17" spans="2:13" x14ac:dyDescent="0.25">
      <c r="B17" s="25">
        <v>7</v>
      </c>
      <c r="C17" s="31">
        <v>42188</v>
      </c>
      <c r="D17" s="26" t="s">
        <v>33</v>
      </c>
      <c r="E17" s="26" t="str">
        <f>IFERROR(VLOOKUP(Tabela46[[#This Row],[Produtos]],cálculos!$E$3:$H$26,4,0),"")</f>
        <v>Lata</v>
      </c>
      <c r="F17" s="26">
        <v>20</v>
      </c>
      <c r="G17" s="27">
        <f>IFERROR(VLOOKUP(Tabela46[[#This Row],[Produtos]],cálculos!$E$3:$H$26,2,0),0)</f>
        <v>2.1023999999999998</v>
      </c>
      <c r="H17" s="27">
        <f>Tabela46[[#This Row],[Preço Unitário]]*Tabela46[[#This Row],[Quantidade]]</f>
        <v>42.047999999999995</v>
      </c>
      <c r="I17" s="107">
        <v>0.05</v>
      </c>
      <c r="J17" s="26" t="s">
        <v>104</v>
      </c>
      <c r="K17" s="27">
        <f>IFERROR(IF(Tabela46[[#This Row],[Id da Venda]]=B18,0,VLOOKUP(Tabela46[[#This Row],[Entrega]],cálculos!$B$3:$C$7,2,0)),0)</f>
        <v>0</v>
      </c>
      <c r="L17" s="27">
        <f>Tabela46[[#This Row],[SubTotal]]*(1-Tabela46[[#This Row],[Desconto]])+Tabela46[[#This Row],[Valor da Entrega]]</f>
        <v>39.945599999999992</v>
      </c>
      <c r="M17" s="28">
        <f>IF(Tabela46[[#This Row],[Id da Venda]]=B18,"",SUMIF(Tabela46[Id da Venda],Tabela46[[#This Row],[Id da Venda]],Tabela46[Total]))</f>
        <v>39.945599999999992</v>
      </c>
    </row>
    <row r="18" spans="2:13" x14ac:dyDescent="0.25">
      <c r="B18" s="25">
        <v>6</v>
      </c>
      <c r="C18" s="31">
        <v>42188</v>
      </c>
      <c r="D18" s="26" t="s">
        <v>37</v>
      </c>
      <c r="E18" s="26" t="str">
        <f>IFERROR(VLOOKUP(Tabela46[[#This Row],[Produtos]],cálculos!$E$3:$H$26,4,0),"")</f>
        <v>Pacote</v>
      </c>
      <c r="F18" s="26">
        <v>2</v>
      </c>
      <c r="G18" s="27">
        <f>IFERROR(VLOOKUP(Tabela46[[#This Row],[Produtos]],cálculos!$E$3:$H$26,2,0),0)</f>
        <v>0.74260000000000004</v>
      </c>
      <c r="H18" s="27">
        <f>Tabela46[[#This Row],[Preço Unitário]]*Tabela46[[#This Row],[Quantidade]]</f>
        <v>1.4852000000000001</v>
      </c>
      <c r="I18" s="107"/>
      <c r="J18" s="26" t="s">
        <v>104</v>
      </c>
      <c r="K18" s="27">
        <f>IFERROR(IF(Tabela46[[#This Row],[Id da Venda]]=B19,0,VLOOKUP(Tabela46[[#This Row],[Entrega]],cálculos!$B$3:$C$7,2,0)),0)</f>
        <v>0</v>
      </c>
      <c r="L18" s="27">
        <f>Tabela46[[#This Row],[SubTotal]]*(1-Tabela46[[#This Row],[Desconto]])+Tabela46[[#This Row],[Valor da Entrega]]</f>
        <v>1.4852000000000001</v>
      </c>
      <c r="M18" s="28" t="str">
        <f>IF(Tabela46[[#This Row],[Id da Venda]]=B19,"",SUMIF(Tabela46[Id da Venda],Tabela46[[#This Row],[Id da Venda]],Tabela46[Total]))</f>
        <v/>
      </c>
    </row>
    <row r="19" spans="2:13" x14ac:dyDescent="0.25">
      <c r="B19" s="25">
        <v>6</v>
      </c>
      <c r="C19" s="31">
        <v>42188</v>
      </c>
      <c r="D19" s="26" t="s">
        <v>24</v>
      </c>
      <c r="E19" s="26" t="str">
        <f>IFERROR(VLOOKUP(Tabela46[[#This Row],[Produtos]],cálculos!$E$3:$H$26,4,0),"")</f>
        <v>Kg</v>
      </c>
      <c r="F19" s="26">
        <v>6</v>
      </c>
      <c r="G19" s="27">
        <f>IFERROR(VLOOKUP(Tabela46[[#This Row],[Produtos]],cálculos!$E$3:$H$26,2,0),0)</f>
        <v>14.469000000000001</v>
      </c>
      <c r="H19" s="27">
        <f>Tabela46[[#This Row],[Preço Unitário]]*Tabela46[[#This Row],[Quantidade]]</f>
        <v>86.814000000000007</v>
      </c>
      <c r="I19" s="107"/>
      <c r="J19" s="26" t="s">
        <v>104</v>
      </c>
      <c r="K19" s="27">
        <f>IFERROR(IF(Tabela46[[#This Row],[Id da Venda]]=B20,0,VLOOKUP(Tabela46[[#This Row],[Entrega]],cálculos!$B$3:$C$7,2,0)),0)</f>
        <v>0</v>
      </c>
      <c r="L19" s="27">
        <f>Tabela46[[#This Row],[SubTotal]]*(1-Tabela46[[#This Row],[Desconto]])+Tabela46[[#This Row],[Valor da Entrega]]</f>
        <v>86.814000000000007</v>
      </c>
      <c r="M19" s="28" t="str">
        <f>IF(Tabela46[[#This Row],[Id da Venda]]=B20,"",SUMIF(Tabela46[Id da Venda],Tabela46[[#This Row],[Id da Venda]],Tabela46[Total]))</f>
        <v/>
      </c>
    </row>
    <row r="20" spans="2:13" x14ac:dyDescent="0.25">
      <c r="B20" s="25">
        <v>6</v>
      </c>
      <c r="C20" s="31">
        <v>42188</v>
      </c>
      <c r="D20" s="26" t="s">
        <v>33</v>
      </c>
      <c r="E20" s="26" t="str">
        <f>IFERROR(VLOOKUP(Tabela46[[#This Row],[Produtos]],cálculos!$E$3:$H$26,4,0),"")</f>
        <v>Lata</v>
      </c>
      <c r="F20" s="26">
        <v>12</v>
      </c>
      <c r="G20" s="27">
        <f>IFERROR(VLOOKUP(Tabela46[[#This Row],[Produtos]],cálculos!$E$3:$H$26,2,0),0)</f>
        <v>2.1023999999999998</v>
      </c>
      <c r="H20" s="27">
        <f>Tabela46[[#This Row],[Preço Unitário]]*Tabela46[[#This Row],[Quantidade]]</f>
        <v>25.2288</v>
      </c>
      <c r="I20" s="107"/>
      <c r="J20" s="26" t="s">
        <v>104</v>
      </c>
      <c r="K20" s="27">
        <f>IFERROR(IF(Tabela46[[#This Row],[Id da Venda]]=B21,0,VLOOKUP(Tabela46[[#This Row],[Entrega]],cálculos!$B$3:$C$7,2,0)),0)</f>
        <v>0</v>
      </c>
      <c r="L20" s="27">
        <f>Tabela46[[#This Row],[SubTotal]]*(1-Tabela46[[#This Row],[Desconto]])+Tabela46[[#This Row],[Valor da Entrega]]</f>
        <v>25.2288</v>
      </c>
      <c r="M20" s="28">
        <f>IF(Tabela46[[#This Row],[Id da Venda]]=B21,"",SUMIF(Tabela46[Id da Venda],Tabela46[[#This Row],[Id da Venda]],Tabela46[Total]))</f>
        <v>113.52800000000002</v>
      </c>
    </row>
    <row r="21" spans="2:13" x14ac:dyDescent="0.25">
      <c r="B21" s="25">
        <v>5</v>
      </c>
      <c r="C21" s="31">
        <v>42187</v>
      </c>
      <c r="D21" s="26" t="s">
        <v>23</v>
      </c>
      <c r="E21" s="26" t="str">
        <f>IFERROR(VLOOKUP(Tabela46[[#This Row],[Produtos]],cálculos!$E$3:$H$26,4,0),"")</f>
        <v>Unidade</v>
      </c>
      <c r="F21" s="26">
        <v>3</v>
      </c>
      <c r="G21" s="27">
        <f>IFERROR(VLOOKUP(Tabela46[[#This Row],[Produtos]],cálculos!$E$3:$H$26,2,0),0)</f>
        <v>2.8405</v>
      </c>
      <c r="H21" s="27">
        <f>Tabela46[[#This Row],[Preço Unitário]]*Tabela46[[#This Row],[Quantidade]]</f>
        <v>8.5214999999999996</v>
      </c>
      <c r="I21" s="107"/>
      <c r="J21" s="26" t="s">
        <v>102</v>
      </c>
      <c r="K21" s="27">
        <f>IFERROR(IF(Tabela46[[#This Row],[Id da Venda]]=B22,0,VLOOKUP(Tabela46[[#This Row],[Entrega]],cálculos!$B$3:$C$7,2,0)),0)</f>
        <v>6.5</v>
      </c>
      <c r="L21" s="27">
        <f>Tabela46[[#This Row],[SubTotal]]*(1-Tabela46[[#This Row],[Desconto]])+Tabela46[[#This Row],[Valor da Entrega]]</f>
        <v>15.0215</v>
      </c>
      <c r="M21" s="28">
        <f>IF(Tabela46[[#This Row],[Id da Venda]]=B22,"",SUMIF(Tabela46[Id da Venda],Tabela46[[#This Row],[Id da Venda]],Tabela46[Total]))</f>
        <v>15.0215</v>
      </c>
    </row>
    <row r="22" spans="2:13" x14ac:dyDescent="0.25">
      <c r="B22" s="25">
        <v>4</v>
      </c>
      <c r="C22" s="31">
        <v>42187</v>
      </c>
      <c r="D22" s="26" t="s">
        <v>38</v>
      </c>
      <c r="E22" s="26" t="str">
        <f>IFERROR(VLOOKUP(Tabela46[[#This Row],[Produtos]],cálculos!$E$3:$H$26,4,0),"")</f>
        <v>Pacote</v>
      </c>
      <c r="F22" s="26">
        <v>2</v>
      </c>
      <c r="G22" s="27">
        <f>IFERROR(VLOOKUP(Tabela46[[#This Row],[Produtos]],cálculos!$E$3:$H$26,2,0),0)</f>
        <v>1.8506999999999998</v>
      </c>
      <c r="H22" s="27">
        <f>Tabela46[[#This Row],[Preço Unitário]]*Tabela46[[#This Row],[Quantidade]]</f>
        <v>3.7013999999999996</v>
      </c>
      <c r="I22" s="107"/>
      <c r="J22" s="26" t="s">
        <v>99</v>
      </c>
      <c r="K22" s="27">
        <f>IFERROR(IF(Tabela46[[#This Row],[Id da Venda]]=B23,0,VLOOKUP(Tabela46[[#This Row],[Entrega]],cálculos!$B$3:$C$7,2,0)),0)</f>
        <v>0</v>
      </c>
      <c r="L22" s="27">
        <f>Tabela46[[#This Row],[SubTotal]]*(1-Tabela46[[#This Row],[Desconto]])+Tabela46[[#This Row],[Valor da Entrega]]</f>
        <v>3.7013999999999996</v>
      </c>
      <c r="M22" s="28" t="str">
        <f>IF(Tabela46[[#This Row],[Id da Venda]]=B23,"",SUMIF(Tabela46[Id da Venda],Tabela46[[#This Row],[Id da Venda]],Tabela46[Total]))</f>
        <v/>
      </c>
    </row>
    <row r="23" spans="2:13" x14ac:dyDescent="0.25">
      <c r="B23" s="25">
        <v>4</v>
      </c>
      <c r="C23" s="31">
        <v>42187</v>
      </c>
      <c r="D23" s="26" t="s">
        <v>20</v>
      </c>
      <c r="E23" s="26" t="str">
        <f>IFERROR(VLOOKUP(Tabela46[[#This Row],[Produtos]],cálculos!$E$3:$H$26,4,0),"")</f>
        <v>Kg</v>
      </c>
      <c r="F23" s="26">
        <v>5</v>
      </c>
      <c r="G23" s="27">
        <f>IFERROR(VLOOKUP(Tabela46[[#This Row],[Produtos]],cálculos!$E$3:$H$26,2,0),0)</f>
        <v>2.3406000000000002</v>
      </c>
      <c r="H23" s="27">
        <f>Tabela46[[#This Row],[Preço Unitário]]*Tabela46[[#This Row],[Quantidade]]</f>
        <v>11.703000000000001</v>
      </c>
      <c r="I23" s="107"/>
      <c r="J23" s="26" t="s">
        <v>99</v>
      </c>
      <c r="K23" s="27">
        <f>IFERROR(IF(Tabela46[[#This Row],[Id da Venda]]=B24,0,VLOOKUP(Tabela46[[#This Row],[Entrega]],cálculos!$B$3:$C$7,2,0)),0)</f>
        <v>6.5</v>
      </c>
      <c r="L23" s="27">
        <f>Tabela46[[#This Row],[SubTotal]]*(1-Tabela46[[#This Row],[Desconto]])+Tabela46[[#This Row],[Valor da Entrega]]</f>
        <v>18.203000000000003</v>
      </c>
      <c r="M23" s="28">
        <f>IF(Tabela46[[#This Row],[Id da Venda]]=B24,"",SUMIF(Tabela46[Id da Venda],Tabela46[[#This Row],[Id da Venda]],Tabela46[Total]))</f>
        <v>21.904400000000003</v>
      </c>
    </row>
    <row r="24" spans="2:13" x14ac:dyDescent="0.25">
      <c r="B24" s="25">
        <v>3</v>
      </c>
      <c r="C24" s="31">
        <v>42187</v>
      </c>
      <c r="D24" s="26" t="s">
        <v>89</v>
      </c>
      <c r="E24" s="26" t="str">
        <f>IFERROR(VLOOKUP(Tabela46[[#This Row],[Produtos]],cálculos!$E$3:$H$26,4,0),"")</f>
        <v>Litro</v>
      </c>
      <c r="F24" s="26">
        <v>6</v>
      </c>
      <c r="G24" s="27">
        <f>IFERROR(VLOOKUP(Tabela46[[#This Row],[Produtos]],cálculos!$E$3:$H$26,2,0),0)</f>
        <v>1.3708</v>
      </c>
      <c r="H24" s="27">
        <f>Tabela46[[#This Row],[Preço Unitário]]*Tabela46[[#This Row],[Quantidade]]</f>
        <v>8.2248000000000001</v>
      </c>
      <c r="I24" s="107"/>
      <c r="J24" s="26" t="s">
        <v>101</v>
      </c>
      <c r="K24" s="27">
        <f>IFERROR(IF(Tabela46[[#This Row],[Id da Venda]]=B25,0,VLOOKUP(Tabela46[[#This Row],[Entrega]],cálculos!$B$3:$C$7,2,0)),0)</f>
        <v>8</v>
      </c>
      <c r="L24" s="27">
        <f>Tabela46[[#This Row],[SubTotal]]*(1-Tabela46[[#This Row],[Desconto]])+Tabela46[[#This Row],[Valor da Entrega]]</f>
        <v>16.224800000000002</v>
      </c>
      <c r="M24" s="28">
        <f>IF(Tabela46[[#This Row],[Id da Venda]]=B25,"",SUMIF(Tabela46[Id da Venda],Tabela46[[#This Row],[Id da Venda]],Tabela46[Total]))</f>
        <v>16.224800000000002</v>
      </c>
    </row>
    <row r="25" spans="2:13" x14ac:dyDescent="0.25">
      <c r="B25" s="25">
        <v>2</v>
      </c>
      <c r="C25" s="31">
        <v>42187</v>
      </c>
      <c r="D25" s="26" t="s">
        <v>38</v>
      </c>
      <c r="E25" s="26" t="str">
        <f>IFERROR(VLOOKUP(Tabela46[[#This Row],[Produtos]],cálculos!$E$3:$H$26,4,0),"")</f>
        <v>Pacote</v>
      </c>
      <c r="F25" s="26">
        <v>1</v>
      </c>
      <c r="G25" s="27">
        <f>IFERROR(VLOOKUP(Tabela46[[#This Row],[Produtos]],cálculos!$E$3:$H$26,2,0),0)</f>
        <v>1.8506999999999998</v>
      </c>
      <c r="H25" s="27">
        <f>Tabela46[[#This Row],[Preço Unitário]]*Tabela46[[#This Row],[Quantidade]]</f>
        <v>1.8506999999999998</v>
      </c>
      <c r="I25" s="107"/>
      <c r="J25" s="26" t="s">
        <v>99</v>
      </c>
      <c r="K25" s="27">
        <f>IFERROR(IF(Tabela46[[#This Row],[Id da Venda]]=B26,0,VLOOKUP(Tabela46[[#This Row],[Entrega]],cálculos!$B$3:$C$7,2,0)),0)</f>
        <v>6.5</v>
      </c>
      <c r="L25" s="27">
        <f>Tabela46[[#This Row],[SubTotal]]*(1-Tabela46[[#This Row],[Desconto]])+Tabela46[[#This Row],[Valor da Entrega]]</f>
        <v>8.3506999999999998</v>
      </c>
      <c r="M25" s="28">
        <f>IF(Tabela46[[#This Row],[Id da Venda]]=B26,"",SUMIF(Tabela46[Id da Venda],Tabela46[[#This Row],[Id da Venda]],Tabela46[Total]))</f>
        <v>8.3506999999999998</v>
      </c>
    </row>
    <row r="26" spans="2:13" x14ac:dyDescent="0.25">
      <c r="B26" s="25">
        <v>1</v>
      </c>
      <c r="C26" s="31">
        <v>42187</v>
      </c>
      <c r="D26" s="26" t="s">
        <v>20</v>
      </c>
      <c r="E26" s="26" t="str">
        <f>IFERROR(VLOOKUP(Tabela46[[#This Row],[Produtos]],cálculos!$E$3:$H$26,4,0),"")</f>
        <v>Kg</v>
      </c>
      <c r="F26" s="26">
        <v>2</v>
      </c>
      <c r="G26" s="27">
        <f>IFERROR(VLOOKUP(Tabela46[[#This Row],[Produtos]],cálculos!$E$3:$H$26,2,0),0)</f>
        <v>2.3406000000000002</v>
      </c>
      <c r="H26" s="27">
        <f>Tabela46[[#This Row],[Preço Unitário]]*Tabela46[[#This Row],[Quantidade]]</f>
        <v>4.6812000000000005</v>
      </c>
      <c r="I26" s="107"/>
      <c r="J26" s="26" t="s">
        <v>104</v>
      </c>
      <c r="K26" s="27">
        <f>IFERROR(IF(Tabela46[[#This Row],[Id da Venda]]=B27,0,VLOOKUP(Tabela46[[#This Row],[Entrega]],cálculos!$B$3:$C$7,2,0)),0)</f>
        <v>0</v>
      </c>
      <c r="L26" s="27">
        <f>Tabela46[[#This Row],[SubTotal]]*(1-Tabela46[[#This Row],[Desconto]])+Tabela46[[#This Row],[Valor da Entrega]]</f>
        <v>4.6812000000000005</v>
      </c>
      <c r="M26" s="28" t="str">
        <f>IF(Tabela46[[#This Row],[Id da Venda]]=B27,"",SUMIF(Tabela46[Id da Venda],Tabela46[[#This Row],[Id da Venda]],Tabela46[Total]))</f>
        <v/>
      </c>
    </row>
    <row r="27" spans="2:13" x14ac:dyDescent="0.25">
      <c r="B27" s="25">
        <v>1</v>
      </c>
      <c r="C27" s="31">
        <v>42187</v>
      </c>
      <c r="D27" s="26" t="s">
        <v>32</v>
      </c>
      <c r="E27" s="26" t="str">
        <f>IFERROR(VLOOKUP(Tabela46[[#This Row],[Produtos]],cálculos!$E$3:$H$26,4,0),"")</f>
        <v>Pacote</v>
      </c>
      <c r="F27" s="26">
        <v>3</v>
      </c>
      <c r="G27" s="27">
        <f>IFERROR(VLOOKUP(Tabela46[[#This Row],[Produtos]],cálculos!$E$3:$H$26,2,0),0)</f>
        <v>1.0580000000000001</v>
      </c>
      <c r="H27" s="27">
        <f>Tabela46[[#This Row],[Preço Unitário]]*Tabela46[[#This Row],[Quantidade]]</f>
        <v>3.1740000000000004</v>
      </c>
      <c r="I27" s="107"/>
      <c r="J27" s="26" t="s">
        <v>104</v>
      </c>
      <c r="K27" s="27">
        <f>IFERROR(IF(Tabela46[[#This Row],[Id da Venda]]=B28,0,VLOOKUP(Tabela46[[#This Row],[Entrega]],cálculos!$B$3:$C$7,2,0)),0)</f>
        <v>0</v>
      </c>
      <c r="L27" s="27">
        <f>Tabela46[[#This Row],[SubTotal]]*(1-Tabela46[[#This Row],[Desconto]])+Tabela46[[#This Row],[Valor da Entrega]]</f>
        <v>3.1740000000000004</v>
      </c>
      <c r="M27" s="28" t="str">
        <f>IF(Tabela46[[#This Row],[Id da Venda]]=B28,"",SUMIF(Tabela46[Id da Venda],Tabela46[[#This Row],[Id da Venda]],Tabela46[Total]))</f>
        <v/>
      </c>
    </row>
    <row r="28" spans="2:13" x14ac:dyDescent="0.25">
      <c r="B28" s="33">
        <v>1</v>
      </c>
      <c r="C28" s="108">
        <v>42187</v>
      </c>
      <c r="D28" s="35" t="s">
        <v>38</v>
      </c>
      <c r="E28" s="35" t="str">
        <f>IFERROR(VLOOKUP(Tabela46[[#This Row],[Produtos]],cálculos!$E$3:$H$26,4,0),"")</f>
        <v>Pacote</v>
      </c>
      <c r="F28" s="35">
        <v>1</v>
      </c>
      <c r="G28" s="109">
        <f>IFERROR(VLOOKUP(Tabela46[[#This Row],[Produtos]],cálculos!$E$3:$H$26,2,0),0)</f>
        <v>1.8506999999999998</v>
      </c>
      <c r="H28" s="109">
        <f>Tabela46[[#This Row],[Preço Unitário]]*Tabela46[[#This Row],[Quantidade]]</f>
        <v>1.8506999999999998</v>
      </c>
      <c r="I28" s="110"/>
      <c r="J28" s="35" t="s">
        <v>104</v>
      </c>
      <c r="K28" s="109">
        <f>IFERROR(IF(Tabela46[[#This Row],[Id da Venda]]=B29,0,VLOOKUP(Tabela46[[#This Row],[Entrega]],cálculos!$B$3:$C$7,2,0)),0)</f>
        <v>0</v>
      </c>
      <c r="L28" s="109">
        <f>Tabela46[[#This Row],[SubTotal]]*(1-Tabela46[[#This Row],[Desconto]])+Tabela46[[#This Row],[Valor da Entrega]]</f>
        <v>1.8506999999999998</v>
      </c>
      <c r="M28" s="37">
        <f>IF(Tabela46[[#This Row],[Id da Venda]]=B29,"",SUMIF(Tabela46[Id da Venda],Tabela46[[#This Row],[Id da Venda]],Tabela46[Total]))</f>
        <v>9.7058999999999997</v>
      </c>
    </row>
    <row r="30" spans="2:13" ht="21.75" thickBot="1" x14ac:dyDescent="0.4">
      <c r="B30" s="100" t="s">
        <v>107</v>
      </c>
      <c r="C30" s="100"/>
      <c r="D30" s="100"/>
      <c r="E30" s="101"/>
      <c r="F30" s="101"/>
      <c r="G30" s="101"/>
      <c r="H30" s="101"/>
      <c r="I30" s="101"/>
      <c r="J30" s="101"/>
      <c r="K30" s="101"/>
      <c r="L30" s="102">
        <f>SUM(Tabela46[Valor da Entrega])</f>
        <v>40.5</v>
      </c>
    </row>
    <row r="31" spans="2:13" ht="21.75" thickBot="1" x14ac:dyDescent="0.4">
      <c r="B31" s="104" t="s">
        <v>120</v>
      </c>
      <c r="C31" s="105"/>
      <c r="D31" s="105"/>
      <c r="E31" s="105"/>
      <c r="F31" s="105"/>
      <c r="G31" s="105"/>
      <c r="H31" s="105"/>
      <c r="I31" s="105"/>
      <c r="J31" s="105"/>
      <c r="K31" s="105"/>
      <c r="L31" s="106">
        <f>SUM(Tabela46[Total])</f>
        <v>603.33881999999994</v>
      </c>
    </row>
    <row r="32" spans="2:13" ht="21" x14ac:dyDescent="0.35">
      <c r="B32" s="99" t="s">
        <v>121</v>
      </c>
      <c r="L32" s="103">
        <f>SUM(IF(FREQUENCY(Tabela46[Id da Venda],Tabela46[Id da Venda])&gt;0,1))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1000000}">
          <x14:formula1>
            <xm:f>cálculos!$B$3:$B$7</xm:f>
          </x14:formula1>
          <xm:sqref>J5:J28</xm:sqref>
        </x14:dataValidation>
        <x14:dataValidation type="list" allowBlank="1" showInputMessage="1" showErrorMessage="1" xr:uid="{00000000-0002-0000-0700-000000000000}">
          <x14:formula1>
            <xm:f>cálculos!$E$3:$E$26</xm:f>
          </x14:formula1>
          <xm:sqref>D5:D28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02060-260B-4E7D-A799-574577C3A8CE}">
  <dimension ref="A3:I26"/>
  <sheetViews>
    <sheetView topLeftCell="B1" workbookViewId="0">
      <selection activeCell="B2" sqref="B2"/>
    </sheetView>
  </sheetViews>
  <sheetFormatPr defaultRowHeight="15" x14ac:dyDescent="0.25"/>
  <cols>
    <col min="1" max="1" width="19.42578125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3.85546875" bestFit="1" customWidth="1"/>
    <col min="9" max="10" width="13.5703125" bestFit="1" customWidth="1"/>
  </cols>
  <sheetData>
    <row r="3" spans="1:9" x14ac:dyDescent="0.25">
      <c r="A3" s="119" t="s">
        <v>149</v>
      </c>
      <c r="B3" t="s">
        <v>153</v>
      </c>
      <c r="C3" t="s">
        <v>151</v>
      </c>
      <c r="F3" s="119" t="s">
        <v>149</v>
      </c>
      <c r="G3" t="s">
        <v>153</v>
      </c>
      <c r="H3" t="s">
        <v>152</v>
      </c>
      <c r="I3" t="s">
        <v>151</v>
      </c>
    </row>
    <row r="4" spans="1:9" x14ac:dyDescent="0.25">
      <c r="A4" s="120">
        <v>42187</v>
      </c>
      <c r="B4">
        <v>23</v>
      </c>
      <c r="C4" s="90">
        <v>71.207300000000004</v>
      </c>
      <c r="F4" s="122" t="s">
        <v>104</v>
      </c>
      <c r="G4">
        <v>79.5</v>
      </c>
      <c r="H4" s="90">
        <v>0</v>
      </c>
      <c r="I4" s="90">
        <v>302.75899999999996</v>
      </c>
    </row>
    <row r="5" spans="1:9" x14ac:dyDescent="0.25">
      <c r="A5" s="121" t="s">
        <v>23</v>
      </c>
      <c r="B5">
        <v>3</v>
      </c>
      <c r="C5" s="90">
        <v>15.0215</v>
      </c>
      <c r="F5" s="122" t="s">
        <v>99</v>
      </c>
      <c r="G5">
        <v>8</v>
      </c>
      <c r="H5" s="90">
        <v>13</v>
      </c>
      <c r="I5" s="90">
        <v>30.255100000000002</v>
      </c>
    </row>
    <row r="6" spans="1:9" x14ac:dyDescent="0.25">
      <c r="A6" s="121" t="s">
        <v>32</v>
      </c>
      <c r="B6">
        <v>3</v>
      </c>
      <c r="C6" s="90">
        <v>3.1740000000000004</v>
      </c>
      <c r="F6" s="122" t="s">
        <v>101</v>
      </c>
      <c r="G6">
        <v>6</v>
      </c>
      <c r="H6" s="90">
        <v>8</v>
      </c>
      <c r="I6" s="90">
        <v>16.224800000000002</v>
      </c>
    </row>
    <row r="7" spans="1:9" x14ac:dyDescent="0.25">
      <c r="A7" s="121" t="s">
        <v>20</v>
      </c>
      <c r="B7">
        <v>7</v>
      </c>
      <c r="C7" s="90">
        <v>22.884200000000003</v>
      </c>
      <c r="F7" s="122" t="s">
        <v>102</v>
      </c>
      <c r="G7">
        <v>58</v>
      </c>
      <c r="H7" s="90">
        <v>19.5</v>
      </c>
      <c r="I7" s="90">
        <v>254.09992</v>
      </c>
    </row>
    <row r="8" spans="1:9" x14ac:dyDescent="0.25">
      <c r="A8" s="121" t="s">
        <v>38</v>
      </c>
      <c r="B8">
        <v>4</v>
      </c>
      <c r="C8" s="90">
        <v>13.902799999999999</v>
      </c>
      <c r="F8" s="122" t="s">
        <v>150</v>
      </c>
      <c r="G8">
        <v>151.5</v>
      </c>
      <c r="H8" s="90">
        <v>40.5</v>
      </c>
      <c r="I8" s="90">
        <v>603.33881999999994</v>
      </c>
    </row>
    <row r="9" spans="1:9" x14ac:dyDescent="0.25">
      <c r="A9" s="121" t="s">
        <v>89</v>
      </c>
      <c r="B9">
        <v>6</v>
      </c>
      <c r="C9" s="90">
        <v>16.224800000000002</v>
      </c>
    </row>
    <row r="10" spans="1:9" x14ac:dyDescent="0.25">
      <c r="A10" s="120">
        <v>42188</v>
      </c>
      <c r="B10">
        <v>72.5</v>
      </c>
      <c r="C10" s="90">
        <v>283.27670000000001</v>
      </c>
    </row>
    <row r="11" spans="1:9" x14ac:dyDescent="0.25">
      <c r="A11" s="121" t="s">
        <v>37</v>
      </c>
      <c r="B11">
        <v>2</v>
      </c>
      <c r="C11" s="90">
        <v>1.4852000000000001</v>
      </c>
    </row>
    <row r="12" spans="1:9" x14ac:dyDescent="0.25">
      <c r="A12" s="121" t="s">
        <v>24</v>
      </c>
      <c r="B12">
        <v>6</v>
      </c>
      <c r="C12" s="90">
        <v>86.814000000000007</v>
      </c>
    </row>
    <row r="13" spans="1:9" x14ac:dyDescent="0.25">
      <c r="A13" s="121" t="s">
        <v>33</v>
      </c>
      <c r="B13">
        <v>52</v>
      </c>
      <c r="C13" s="90">
        <v>111.61999999999998</v>
      </c>
    </row>
    <row r="14" spans="1:9" x14ac:dyDescent="0.25">
      <c r="A14" s="121" t="s">
        <v>21</v>
      </c>
      <c r="B14">
        <v>4</v>
      </c>
      <c r="C14" s="90">
        <v>16.263999999999999</v>
      </c>
    </row>
    <row r="15" spans="1:9" x14ac:dyDescent="0.25">
      <c r="A15" s="121" t="s">
        <v>88</v>
      </c>
      <c r="B15">
        <v>5</v>
      </c>
      <c r="C15" s="90">
        <v>13.1495</v>
      </c>
    </row>
    <row r="16" spans="1:9" x14ac:dyDescent="0.25">
      <c r="A16" s="121" t="s">
        <v>26</v>
      </c>
      <c r="B16">
        <v>1.5</v>
      </c>
      <c r="C16" s="90">
        <v>35.741999999999997</v>
      </c>
    </row>
    <row r="17" spans="1:3" x14ac:dyDescent="0.25">
      <c r="A17" s="121" t="s">
        <v>31</v>
      </c>
      <c r="B17">
        <v>2</v>
      </c>
      <c r="C17" s="90">
        <v>18.201999999999998</v>
      </c>
    </row>
    <row r="18" spans="1:3" x14ac:dyDescent="0.25">
      <c r="A18" s="120">
        <v>42189</v>
      </c>
      <c r="B18">
        <v>21</v>
      </c>
      <c r="C18" s="90">
        <v>56.221999999999994</v>
      </c>
    </row>
    <row r="19" spans="1:3" x14ac:dyDescent="0.25">
      <c r="A19" s="121" t="s">
        <v>33</v>
      </c>
      <c r="B19">
        <v>11</v>
      </c>
      <c r="C19" s="90">
        <v>23.126399999999997</v>
      </c>
    </row>
    <row r="20" spans="1:3" x14ac:dyDescent="0.25">
      <c r="A20" s="121" t="s">
        <v>21</v>
      </c>
      <c r="B20">
        <v>6</v>
      </c>
      <c r="C20" s="90">
        <v>24.396000000000001</v>
      </c>
    </row>
    <row r="21" spans="1:3" x14ac:dyDescent="0.25">
      <c r="A21" s="121" t="s">
        <v>87</v>
      </c>
      <c r="B21">
        <v>4</v>
      </c>
      <c r="C21" s="90">
        <v>8.6996000000000002</v>
      </c>
    </row>
    <row r="22" spans="1:3" x14ac:dyDescent="0.25">
      <c r="A22" s="120">
        <v>42190</v>
      </c>
      <c r="B22">
        <v>35</v>
      </c>
      <c r="C22" s="90">
        <v>192.63282000000001</v>
      </c>
    </row>
    <row r="23" spans="1:3" x14ac:dyDescent="0.25">
      <c r="A23" s="121" t="s">
        <v>37</v>
      </c>
      <c r="B23">
        <v>1</v>
      </c>
      <c r="C23" s="90">
        <v>0.74260000000000004</v>
      </c>
    </row>
    <row r="24" spans="1:3" x14ac:dyDescent="0.25">
      <c r="A24" s="121" t="s">
        <v>24</v>
      </c>
      <c r="B24">
        <v>10</v>
      </c>
      <c r="C24" s="90">
        <v>137.4555</v>
      </c>
    </row>
    <row r="25" spans="1:3" x14ac:dyDescent="0.25">
      <c r="A25" s="121" t="s">
        <v>33</v>
      </c>
      <c r="B25">
        <v>24</v>
      </c>
      <c r="C25" s="90">
        <v>54.434719999999999</v>
      </c>
    </row>
    <row r="26" spans="1:3" x14ac:dyDescent="0.25">
      <c r="A26" s="120" t="s">
        <v>150</v>
      </c>
      <c r="B26">
        <v>151.5</v>
      </c>
      <c r="C26" s="90">
        <v>603.33881999999994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1"/>
  <dimension ref="A2:M34"/>
  <sheetViews>
    <sheetView showGridLines="0" zoomScaleNormal="100" workbookViewId="0">
      <selection activeCell="B5" sqref="B5:M5"/>
    </sheetView>
  </sheetViews>
  <sheetFormatPr defaultRowHeight="15" x14ac:dyDescent="0.25"/>
  <cols>
    <col min="1" max="1" width="21.710937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7" bestFit="1" customWidth="1"/>
  </cols>
  <sheetData>
    <row r="2" spans="1:13" s="69" customFormat="1" ht="36.75" customHeight="1" x14ac:dyDescent="0.55000000000000004">
      <c r="A2" s="66"/>
      <c r="B2" s="67" t="s">
        <v>145</v>
      </c>
      <c r="C2" s="68"/>
    </row>
    <row r="3" spans="1:13" ht="32.25" customHeight="1" x14ac:dyDescent="0.25"/>
    <row r="4" spans="1:13" x14ac:dyDescent="0.25">
      <c r="B4" s="22" t="s">
        <v>60</v>
      </c>
      <c r="C4" s="23" t="s">
        <v>106</v>
      </c>
      <c r="D4" s="23" t="s">
        <v>59</v>
      </c>
      <c r="E4" s="23" t="s">
        <v>78</v>
      </c>
      <c r="F4" s="23" t="s">
        <v>56</v>
      </c>
      <c r="G4" s="23" t="s">
        <v>57</v>
      </c>
      <c r="H4" s="23" t="s">
        <v>61</v>
      </c>
      <c r="I4" s="23" t="s">
        <v>58</v>
      </c>
      <c r="J4" s="23" t="s">
        <v>63</v>
      </c>
      <c r="K4" s="23" t="s">
        <v>105</v>
      </c>
      <c r="L4" s="23" t="s">
        <v>62</v>
      </c>
      <c r="M4" s="24" t="s">
        <v>108</v>
      </c>
    </row>
    <row r="5" spans="1:13" x14ac:dyDescent="0.25">
      <c r="B5" s="25">
        <f>B6+1</f>
        <v>2</v>
      </c>
      <c r="C5" s="31">
        <f ca="1">TODAY()</f>
        <v>45181</v>
      </c>
      <c r="D5" s="26" t="s">
        <v>32</v>
      </c>
      <c r="E5" s="26" t="str">
        <f>IFERROR(VLOOKUP(Tabela47[[#This Row],[Produtos]],cálculos!$E$3:$H$26,4,0),"")</f>
        <v>Pacote</v>
      </c>
      <c r="F5" s="26">
        <v>12</v>
      </c>
      <c r="G5" s="27">
        <f>IFERROR(VLOOKUP(Tabela47[[#This Row],[Produtos]],cálculos!$E$3:$H$26,2,0),0)</f>
        <v>1.0580000000000001</v>
      </c>
      <c r="H5" s="27">
        <f>Tabela47[[#This Row],[Preço Unitário]]*Tabela47[[#This Row],[Quantidade]]</f>
        <v>12.696000000000002</v>
      </c>
      <c r="I5" s="107"/>
      <c r="J5" s="26" t="s">
        <v>104</v>
      </c>
      <c r="K5" s="27">
        <f>IFERROR(VLOOKUP(Tabela47[[#This Row],[Entrega]],cálculos!$B$3:$C$7,2,0),0)</f>
        <v>0</v>
      </c>
      <c r="L5" s="27">
        <f>Tabela47[[#This Row],[SubTotal]]*(1-Tabela47[[#This Row],[Desconto]])+Tabela47[[#This Row],[Valor da Entrega]]</f>
        <v>12.696000000000002</v>
      </c>
      <c r="M5" s="28">
        <f>IF(Tabela47[[#This Row],[Id da Venda]]=B6,"",SUMIF(Tabela47[Id da Venda],Tabela47[[#This Row],[Id da Venda]],Tabela47[Total]))</f>
        <v>35.972000000000001</v>
      </c>
    </row>
    <row r="6" spans="1:13" x14ac:dyDescent="0.25">
      <c r="B6" s="25">
        <v>1</v>
      </c>
      <c r="C6" s="31">
        <v>42190</v>
      </c>
      <c r="D6" s="26" t="s">
        <v>41</v>
      </c>
      <c r="E6" s="26" t="str">
        <f>IFERROR(VLOOKUP(Tabela47[[#This Row],[Produtos]],cálculos!$E$3:$H$26,4,0),"")</f>
        <v>Pacote</v>
      </c>
      <c r="F6" s="26">
        <v>10</v>
      </c>
      <c r="G6" s="27">
        <f>IFERROR(VLOOKUP(Tabela47[[#This Row],[Produtos]],cálculos!$E$3:$H$26,2,0),0)</f>
        <v>1.0924999999999998</v>
      </c>
      <c r="H6" s="27">
        <f>Tabela47[[#This Row],[Preço Unitário]]*Tabela47[[#This Row],[Quantidade]]</f>
        <v>10.924999999999997</v>
      </c>
      <c r="I6" s="107"/>
      <c r="J6" s="26" t="s">
        <v>104</v>
      </c>
      <c r="K6" s="27">
        <f>IFERROR(VLOOKUP(Tabela47[[#This Row],[Entrega]],cálculos!$B$3:$C$7,2,0),0)</f>
        <v>0</v>
      </c>
      <c r="L6" s="27">
        <f>Tabela47[[#This Row],[SubTotal]]*(1-Tabela47[[#This Row],[Desconto]])+Tabela47[[#This Row],[Valor da Entrega]]</f>
        <v>10.924999999999997</v>
      </c>
      <c r="M6" s="28">
        <f>IF(Tabela47[[#This Row],[Id da Venda]]=B7,"",SUMIF(Tabela47[Id da Venda],Tabela47[[#This Row],[Id da Venda]],Tabela47[Total]))</f>
        <v>10.924999999999997</v>
      </c>
    </row>
    <row r="7" spans="1:13" x14ac:dyDescent="0.25">
      <c r="B7" s="25">
        <v>2</v>
      </c>
      <c r="C7" s="31">
        <v>42190</v>
      </c>
      <c r="D7" s="26" t="s">
        <v>32</v>
      </c>
      <c r="E7" s="26" t="str">
        <f>IFERROR(VLOOKUP(Tabela47[[#This Row],[Produtos]],cálculos!$E$3:$H$26,4,0),"")</f>
        <v>Pacote</v>
      </c>
      <c r="F7" s="26">
        <v>22</v>
      </c>
      <c r="G7" s="27">
        <f>IFERROR(VLOOKUP(Tabela47[[#This Row],[Produtos]],cálculos!$E$3:$H$26,2,0),0)</f>
        <v>1.0580000000000001</v>
      </c>
      <c r="H7" s="27">
        <f>Tabela47[[#This Row],[Preço Unitário]]*Tabela47[[#This Row],[Quantidade]]</f>
        <v>23.276</v>
      </c>
      <c r="I7" s="107"/>
      <c r="J7" s="26"/>
      <c r="K7" s="27">
        <f>IFERROR(VLOOKUP(Tabela47[[#This Row],[Entrega]],cálculos!$B$3:$C$7,2,0),0)</f>
        <v>0</v>
      </c>
      <c r="L7" s="27">
        <f>Tabela47[[#This Row],[SubTotal]]*(1-Tabela47[[#This Row],[Desconto]])+Tabela47[[#This Row],[Valor da Entrega]]</f>
        <v>23.276</v>
      </c>
      <c r="M7" s="28">
        <f>IF(Tabela47[[#This Row],[Id da Venda]]=B8,"",SUMIF(Tabela47[Id da Venda],Tabela47[[#This Row],[Id da Venda]],Tabela47[Total]))</f>
        <v>35.972000000000001</v>
      </c>
    </row>
    <row r="8" spans="1:13" x14ac:dyDescent="0.25">
      <c r="B8" s="25"/>
      <c r="C8" s="31"/>
      <c r="D8" s="26"/>
      <c r="E8" s="26" t="str">
        <f>IFERROR(VLOOKUP(Tabela47[[#This Row],[Produtos]],cálculos!$E$3:$H$26,4,0),"")</f>
        <v/>
      </c>
      <c r="F8" s="26"/>
      <c r="G8" s="27">
        <f>IFERROR(VLOOKUP(Tabela47[[#This Row],[Produtos]],cálculos!$E$3:$H$26,2,0),0)</f>
        <v>0</v>
      </c>
      <c r="H8" s="27">
        <f>Tabela47[[#This Row],[Preço Unitário]]*Tabela47[[#This Row],[Quantidade]]</f>
        <v>0</v>
      </c>
      <c r="I8" s="107"/>
      <c r="J8" s="26"/>
      <c r="K8" s="27">
        <f>IFERROR(VLOOKUP(Tabela47[[#This Row],[Entrega]],cálculos!$B$3:$C$7,2,0),0)</f>
        <v>0</v>
      </c>
      <c r="L8" s="27">
        <f>Tabela47[[#This Row],[SubTotal]]*(1-Tabela47[[#This Row],[Desconto]])+Tabela47[[#This Row],[Valor da Entrega]]</f>
        <v>0</v>
      </c>
      <c r="M8" s="28" t="str">
        <f>IF(Tabela47[[#This Row],[Id da Venda]]=B9,"",SUMIF(Tabela47[Id da Venda],Tabela47[[#This Row],[Id da Venda]],Tabela47[Total]))</f>
        <v/>
      </c>
    </row>
    <row r="9" spans="1:13" x14ac:dyDescent="0.25">
      <c r="B9" s="25"/>
      <c r="C9" s="31"/>
      <c r="D9" s="26"/>
      <c r="E9" s="26" t="str">
        <f>IFERROR(VLOOKUP(Tabela47[[#This Row],[Produtos]],cálculos!$E$3:$H$26,4,0),"")</f>
        <v/>
      </c>
      <c r="F9" s="26"/>
      <c r="G9" s="27">
        <f>IFERROR(VLOOKUP(Tabela47[[#This Row],[Produtos]],cálculos!$E$3:$H$26,2,0),0)</f>
        <v>0</v>
      </c>
      <c r="H9" s="27">
        <f>Tabela47[[#This Row],[Preço Unitário]]*Tabela47[[#This Row],[Quantidade]]</f>
        <v>0</v>
      </c>
      <c r="I9" s="107"/>
      <c r="J9" s="26"/>
      <c r="K9" s="27">
        <f>IFERROR(VLOOKUP(Tabela47[[#This Row],[Entrega]],cálculos!$B$3:$C$7,2,0),0)</f>
        <v>0</v>
      </c>
      <c r="L9" s="27">
        <f>Tabela47[[#This Row],[SubTotal]]*(1-Tabela47[[#This Row],[Desconto]])+Tabela47[[#This Row],[Valor da Entrega]]</f>
        <v>0</v>
      </c>
      <c r="M9" s="28" t="str">
        <f>IF(Tabela47[[#This Row],[Id da Venda]]=B10,"",SUMIF(Tabela47[Id da Venda],Tabela47[[#This Row],[Id da Venda]],Tabela47[Total]))</f>
        <v/>
      </c>
    </row>
    <row r="10" spans="1:13" x14ac:dyDescent="0.25">
      <c r="B10" s="25"/>
      <c r="C10" s="26"/>
      <c r="D10" s="26"/>
      <c r="E10" s="26" t="str">
        <f>IFERROR(VLOOKUP(Tabela47[[#This Row],[Produtos]],cálculos!$E$3:$H$26,4,0),"")</f>
        <v/>
      </c>
      <c r="F10" s="26"/>
      <c r="G10" s="27">
        <f>IFERROR(VLOOKUP(Tabela47[[#This Row],[Produtos]],cálculos!$E$3:$H$26,2,0),0)</f>
        <v>0</v>
      </c>
      <c r="H10" s="27">
        <f>Tabela47[[#This Row],[Preço Unitário]]*Tabela47[[#This Row],[Quantidade]]</f>
        <v>0</v>
      </c>
      <c r="I10" s="107"/>
      <c r="J10" s="26"/>
      <c r="K10" s="27">
        <f>IFERROR(VLOOKUP(Tabela47[[#This Row],[Entrega]],cálculos!$B$3:$C$7,2,0),0)</f>
        <v>0</v>
      </c>
      <c r="L10" s="27">
        <f>Tabela47[[#This Row],[SubTotal]]*(1-Tabela47[[#This Row],[Desconto]])+Tabela47[[#This Row],[Valor da Entrega]]</f>
        <v>0</v>
      </c>
      <c r="M10" s="28" t="str">
        <f>IF(Tabela47[[#This Row],[Id da Venda]]=B11,"",SUMIF(Tabela47[Id da Venda],Tabela47[[#This Row],[Id da Venda]],Tabela47[Total]))</f>
        <v/>
      </c>
    </row>
    <row r="11" spans="1:13" x14ac:dyDescent="0.25">
      <c r="B11" s="25"/>
      <c r="C11" s="26"/>
      <c r="D11" s="26"/>
      <c r="E11" s="26" t="str">
        <f>IFERROR(VLOOKUP(Tabela47[[#This Row],[Produtos]],cálculos!$E$3:$H$26,4,0),"")</f>
        <v/>
      </c>
      <c r="F11" s="26"/>
      <c r="G11" s="27">
        <f>IFERROR(VLOOKUP(Tabela47[[#This Row],[Produtos]],cálculos!$E$3:$H$26,2,0),0)</f>
        <v>0</v>
      </c>
      <c r="H11" s="27">
        <f>Tabela47[[#This Row],[Preço Unitário]]*Tabela47[[#This Row],[Quantidade]]</f>
        <v>0</v>
      </c>
      <c r="I11" s="107"/>
      <c r="J11" s="26"/>
      <c r="K11" s="27">
        <f>IFERROR(VLOOKUP(Tabela47[[#This Row],[Entrega]],cálculos!$B$3:$C$7,2,0),0)</f>
        <v>0</v>
      </c>
      <c r="L11" s="27">
        <f>Tabela47[[#This Row],[SubTotal]]*(1-Tabela47[[#This Row],[Desconto]])+Tabela47[[#This Row],[Valor da Entrega]]</f>
        <v>0</v>
      </c>
      <c r="M11" s="28" t="str">
        <f>IF(Tabela47[[#This Row],[Id da Venda]]=B12,"",SUMIF(Tabela47[Id da Venda],Tabela47[[#This Row],[Id da Venda]],Tabela47[Total]))</f>
        <v/>
      </c>
    </row>
    <row r="12" spans="1:13" x14ac:dyDescent="0.25">
      <c r="B12" s="25"/>
      <c r="C12" s="26"/>
      <c r="D12" s="26"/>
      <c r="E12" s="26" t="str">
        <f>IFERROR(VLOOKUP(Tabela47[[#This Row],[Produtos]],cálculos!$E$3:$H$26,4,0),"")</f>
        <v/>
      </c>
      <c r="F12" s="26"/>
      <c r="G12" s="27">
        <f>IFERROR(VLOOKUP(Tabela47[[#This Row],[Produtos]],cálculos!$E$3:$H$26,2,0),0)</f>
        <v>0</v>
      </c>
      <c r="H12" s="27">
        <f>Tabela47[[#This Row],[Preço Unitário]]*Tabela47[[#This Row],[Quantidade]]</f>
        <v>0</v>
      </c>
      <c r="I12" s="107"/>
      <c r="J12" s="26"/>
      <c r="K12" s="27">
        <f>IFERROR(VLOOKUP(Tabela47[[#This Row],[Entrega]],cálculos!$B$3:$C$7,2,0),0)</f>
        <v>0</v>
      </c>
      <c r="L12" s="27">
        <f>Tabela47[[#This Row],[SubTotal]]*(1-Tabela47[[#This Row],[Desconto]])+Tabela47[[#This Row],[Valor da Entrega]]</f>
        <v>0</v>
      </c>
      <c r="M12" s="28" t="str">
        <f>IF(Tabela47[[#This Row],[Id da Venda]]=B13,"",SUMIF(Tabela47[Id da Venda],Tabela47[[#This Row],[Id da Venda]],Tabela47[Total]))</f>
        <v/>
      </c>
    </row>
    <row r="13" spans="1:13" x14ac:dyDescent="0.25">
      <c r="B13" s="25"/>
      <c r="C13" s="26"/>
      <c r="D13" s="26"/>
      <c r="E13" s="26" t="str">
        <f>IFERROR(VLOOKUP(Tabela47[[#This Row],[Produtos]],cálculos!$E$3:$H$26,4,0),"")</f>
        <v/>
      </c>
      <c r="F13" s="26"/>
      <c r="G13" s="27">
        <f>IFERROR(VLOOKUP(Tabela47[[#This Row],[Produtos]],cálculos!$E$3:$H$26,2,0),0)</f>
        <v>0</v>
      </c>
      <c r="H13" s="27">
        <f>Tabela47[[#This Row],[Preço Unitário]]*Tabela47[[#This Row],[Quantidade]]</f>
        <v>0</v>
      </c>
      <c r="I13" s="107"/>
      <c r="J13" s="26"/>
      <c r="K13" s="27">
        <f>IFERROR(VLOOKUP(Tabela47[[#This Row],[Entrega]],cálculos!$B$3:$C$7,2,0),0)</f>
        <v>0</v>
      </c>
      <c r="L13" s="27">
        <f>Tabela47[[#This Row],[SubTotal]]*(1-Tabela47[[#This Row],[Desconto]])+Tabela47[[#This Row],[Valor da Entrega]]</f>
        <v>0</v>
      </c>
      <c r="M13" s="28" t="str">
        <f>IF(Tabela47[[#This Row],[Id da Venda]]=B14,"",SUMIF(Tabela47[Id da Venda],Tabela47[[#This Row],[Id da Venda]],Tabela47[Total]))</f>
        <v/>
      </c>
    </row>
    <row r="14" spans="1:13" x14ac:dyDescent="0.25">
      <c r="B14" s="25"/>
      <c r="C14" s="26"/>
      <c r="D14" s="26"/>
      <c r="E14" s="26" t="str">
        <f>IFERROR(VLOOKUP(Tabela47[[#This Row],[Produtos]],cálculos!$E$3:$H$26,4,0),"")</f>
        <v/>
      </c>
      <c r="F14" s="26"/>
      <c r="G14" s="27">
        <f>IFERROR(VLOOKUP(Tabela47[[#This Row],[Produtos]],cálculos!$E$3:$H$26,2,0),0)</f>
        <v>0</v>
      </c>
      <c r="H14" s="27">
        <f>Tabela47[[#This Row],[Preço Unitário]]*Tabela47[[#This Row],[Quantidade]]</f>
        <v>0</v>
      </c>
      <c r="I14" s="107"/>
      <c r="J14" s="26"/>
      <c r="K14" s="27">
        <f>IFERROR(VLOOKUP(Tabela47[[#This Row],[Entrega]],cálculos!$B$3:$C$7,2,0),0)</f>
        <v>0</v>
      </c>
      <c r="L14" s="27">
        <f>Tabela47[[#This Row],[SubTotal]]*(1-Tabela47[[#This Row],[Desconto]])+Tabela47[[#This Row],[Valor da Entrega]]</f>
        <v>0</v>
      </c>
      <c r="M14" s="28" t="str">
        <f>IF(Tabela47[[#This Row],[Id da Venda]]=B15,"",SUMIF(Tabela47[Id da Venda],Tabela47[[#This Row],[Id da Venda]],Tabela47[Total]))</f>
        <v/>
      </c>
    </row>
    <row r="15" spans="1:13" x14ac:dyDescent="0.25">
      <c r="B15" s="25"/>
      <c r="C15" s="26"/>
      <c r="D15" s="26"/>
      <c r="E15" s="26" t="str">
        <f>IFERROR(VLOOKUP(Tabela47[[#This Row],[Produtos]],cálculos!$E$3:$H$26,4,0),"")</f>
        <v/>
      </c>
      <c r="F15" s="26"/>
      <c r="G15" s="27">
        <f>IFERROR(VLOOKUP(Tabela47[[#This Row],[Produtos]],cálculos!$E$3:$H$26,2,0),0)</f>
        <v>0</v>
      </c>
      <c r="H15" s="27">
        <f>Tabela47[[#This Row],[Preço Unitário]]*Tabela47[[#This Row],[Quantidade]]</f>
        <v>0</v>
      </c>
      <c r="I15" s="107"/>
      <c r="J15" s="26"/>
      <c r="K15" s="27">
        <f>IFERROR(VLOOKUP(Tabela47[[#This Row],[Entrega]],cálculos!$B$3:$C$7,2,0),0)</f>
        <v>0</v>
      </c>
      <c r="L15" s="27">
        <f>Tabela47[[#This Row],[SubTotal]]*(1-Tabela47[[#This Row],[Desconto]])+Tabela47[[#This Row],[Valor da Entrega]]</f>
        <v>0</v>
      </c>
      <c r="M15" s="28" t="str">
        <f>IF(Tabela47[[#This Row],[Id da Venda]]=B16,"",SUMIF(Tabela47[Id da Venda],Tabela47[[#This Row],[Id da Venda]],Tabela47[Total]))</f>
        <v/>
      </c>
    </row>
    <row r="16" spans="1:13" x14ac:dyDescent="0.25">
      <c r="B16" s="25"/>
      <c r="C16" s="26"/>
      <c r="D16" s="26"/>
      <c r="E16" s="26" t="str">
        <f>IFERROR(VLOOKUP(Tabela47[[#This Row],[Produtos]],cálculos!$E$3:$H$26,4,0),"")</f>
        <v/>
      </c>
      <c r="F16" s="26"/>
      <c r="G16" s="27">
        <f>IFERROR(VLOOKUP(Tabela47[[#This Row],[Produtos]],cálculos!$E$3:$H$26,2,0),0)</f>
        <v>0</v>
      </c>
      <c r="H16" s="27">
        <f>Tabela47[[#This Row],[Preço Unitário]]*Tabela47[[#This Row],[Quantidade]]</f>
        <v>0</v>
      </c>
      <c r="I16" s="107"/>
      <c r="J16" s="26"/>
      <c r="K16" s="27">
        <f>IFERROR(VLOOKUP(Tabela47[[#This Row],[Entrega]],cálculos!$B$3:$C$7,2,0),0)</f>
        <v>0</v>
      </c>
      <c r="L16" s="27">
        <f>Tabela47[[#This Row],[SubTotal]]*(1-Tabela47[[#This Row],[Desconto]])+Tabela47[[#This Row],[Valor da Entrega]]</f>
        <v>0</v>
      </c>
      <c r="M16" s="28" t="str">
        <f>IF(Tabela47[[#This Row],[Id da Venda]]=B17,"",SUMIF(Tabela47[Id da Venda],Tabela47[[#This Row],[Id da Venda]],Tabela47[Total]))</f>
        <v/>
      </c>
    </row>
    <row r="17" spans="2:13" x14ac:dyDescent="0.25">
      <c r="B17" s="25"/>
      <c r="C17" s="26"/>
      <c r="D17" s="26"/>
      <c r="E17" s="26" t="str">
        <f>IFERROR(VLOOKUP(Tabela47[[#This Row],[Produtos]],cálculos!$E$3:$H$26,4,0),"")</f>
        <v/>
      </c>
      <c r="F17" s="26"/>
      <c r="G17" s="27">
        <f>IFERROR(VLOOKUP(Tabela47[[#This Row],[Produtos]],cálculos!$E$3:$H$26,2,0),0)</f>
        <v>0</v>
      </c>
      <c r="H17" s="27">
        <f>Tabela47[[#This Row],[Preço Unitário]]*Tabela47[[#This Row],[Quantidade]]</f>
        <v>0</v>
      </c>
      <c r="I17" s="107"/>
      <c r="J17" s="26"/>
      <c r="K17" s="27">
        <f>IFERROR(VLOOKUP(Tabela47[[#This Row],[Entrega]],cálculos!$B$3:$C$7,2,0),0)</f>
        <v>0</v>
      </c>
      <c r="L17" s="27">
        <f>Tabela47[[#This Row],[SubTotal]]*(1-Tabela47[[#This Row],[Desconto]])+Tabela47[[#This Row],[Valor da Entrega]]</f>
        <v>0</v>
      </c>
      <c r="M17" s="28" t="str">
        <f>IF(Tabela47[[#This Row],[Id da Venda]]=B18,"",SUMIF(Tabela47[Id da Venda],Tabela47[[#This Row],[Id da Venda]],Tabela47[Total]))</f>
        <v/>
      </c>
    </row>
    <row r="18" spans="2:13" x14ac:dyDescent="0.25">
      <c r="B18" s="25"/>
      <c r="C18" s="26"/>
      <c r="D18" s="26"/>
      <c r="E18" s="26" t="str">
        <f>IFERROR(VLOOKUP(Tabela47[[#This Row],[Produtos]],cálculos!$E$3:$H$26,4,0),"")</f>
        <v/>
      </c>
      <c r="F18" s="26"/>
      <c r="G18" s="27">
        <f>IFERROR(VLOOKUP(Tabela47[[#This Row],[Produtos]],cálculos!$E$3:$H$26,2,0),0)</f>
        <v>0</v>
      </c>
      <c r="H18" s="27">
        <f>Tabela47[[#This Row],[Preço Unitário]]*Tabela47[[#This Row],[Quantidade]]</f>
        <v>0</v>
      </c>
      <c r="I18" s="107"/>
      <c r="J18" s="26"/>
      <c r="K18" s="27">
        <f>IFERROR(VLOOKUP(Tabela47[[#This Row],[Entrega]],cálculos!$B$3:$C$7,2,0),0)</f>
        <v>0</v>
      </c>
      <c r="L18" s="27">
        <f>Tabela47[[#This Row],[SubTotal]]*(1-Tabela47[[#This Row],[Desconto]])+Tabela47[[#This Row],[Valor da Entrega]]</f>
        <v>0</v>
      </c>
      <c r="M18" s="28" t="str">
        <f>IF(Tabela47[[#This Row],[Id da Venda]]=B19,"",SUMIF(Tabela47[Id da Venda],Tabela47[[#This Row],[Id da Venda]],Tabela47[Total]))</f>
        <v/>
      </c>
    </row>
    <row r="19" spans="2:13" x14ac:dyDescent="0.25">
      <c r="B19" s="25"/>
      <c r="C19" s="26"/>
      <c r="D19" s="26"/>
      <c r="E19" s="26" t="str">
        <f>IFERROR(VLOOKUP(Tabela47[[#This Row],[Produtos]],cálculos!$E$3:$H$26,4,0),"")</f>
        <v/>
      </c>
      <c r="F19" s="26"/>
      <c r="G19" s="27">
        <f>IFERROR(VLOOKUP(Tabela47[[#This Row],[Produtos]],cálculos!$E$3:$H$26,2,0),0)</f>
        <v>0</v>
      </c>
      <c r="H19" s="27">
        <f>Tabela47[[#This Row],[Preço Unitário]]*Tabela47[[#This Row],[Quantidade]]</f>
        <v>0</v>
      </c>
      <c r="I19" s="107"/>
      <c r="J19" s="26"/>
      <c r="K19" s="27">
        <f>IFERROR(VLOOKUP(Tabela47[[#This Row],[Entrega]],cálculos!$B$3:$C$7,2,0),0)</f>
        <v>0</v>
      </c>
      <c r="L19" s="27">
        <f>Tabela47[[#This Row],[SubTotal]]*(1-Tabela47[[#This Row],[Desconto]])+Tabela47[[#This Row],[Valor da Entrega]]</f>
        <v>0</v>
      </c>
      <c r="M19" s="28" t="str">
        <f>IF(Tabela47[[#This Row],[Id da Venda]]=B20,"",SUMIF(Tabela47[Id da Venda],Tabela47[[#This Row],[Id da Venda]],Tabela47[Total]))</f>
        <v/>
      </c>
    </row>
    <row r="20" spans="2:13" x14ac:dyDescent="0.25">
      <c r="B20" s="25"/>
      <c r="C20" s="26"/>
      <c r="D20" s="26"/>
      <c r="E20" s="26" t="str">
        <f>IFERROR(VLOOKUP(Tabela47[[#This Row],[Produtos]],cálculos!$E$3:$H$26,4,0),"")</f>
        <v/>
      </c>
      <c r="F20" s="26"/>
      <c r="G20" s="27">
        <f>IFERROR(VLOOKUP(Tabela47[[#This Row],[Produtos]],cálculos!$E$3:$H$26,2,0),0)</f>
        <v>0</v>
      </c>
      <c r="H20" s="27">
        <f>Tabela47[[#This Row],[Preço Unitário]]*Tabela47[[#This Row],[Quantidade]]</f>
        <v>0</v>
      </c>
      <c r="I20" s="107"/>
      <c r="J20" s="26"/>
      <c r="K20" s="27">
        <f>IFERROR(VLOOKUP(Tabela47[[#This Row],[Entrega]],cálculos!$B$3:$C$7,2,0),0)</f>
        <v>0</v>
      </c>
      <c r="L20" s="27">
        <f>Tabela47[[#This Row],[SubTotal]]*(1-Tabela47[[#This Row],[Desconto]])+Tabela47[[#This Row],[Valor da Entrega]]</f>
        <v>0</v>
      </c>
      <c r="M20" s="28" t="str">
        <f>IF(Tabela47[[#This Row],[Id da Venda]]=B21,"",SUMIF(Tabela47[Id da Venda],Tabela47[[#This Row],[Id da Venda]],Tabela47[Total]))</f>
        <v/>
      </c>
    </row>
    <row r="21" spans="2:13" x14ac:dyDescent="0.25">
      <c r="B21" s="25"/>
      <c r="C21" s="26"/>
      <c r="D21" s="26"/>
      <c r="E21" s="26" t="str">
        <f>IFERROR(VLOOKUP(Tabela47[[#This Row],[Produtos]],cálculos!$E$3:$H$26,4,0),"")</f>
        <v/>
      </c>
      <c r="F21" s="26"/>
      <c r="G21" s="27">
        <f>IFERROR(VLOOKUP(Tabela47[[#This Row],[Produtos]],cálculos!$E$3:$H$26,2,0),0)</f>
        <v>0</v>
      </c>
      <c r="H21" s="27">
        <f>Tabela47[[#This Row],[Preço Unitário]]*Tabela47[[#This Row],[Quantidade]]</f>
        <v>0</v>
      </c>
      <c r="I21" s="107"/>
      <c r="J21" s="26"/>
      <c r="K21" s="27">
        <f>IFERROR(VLOOKUP(Tabela47[[#This Row],[Entrega]],cálculos!$B$3:$C$7,2,0),0)</f>
        <v>0</v>
      </c>
      <c r="L21" s="27">
        <f>Tabela47[[#This Row],[SubTotal]]*(1-Tabela47[[#This Row],[Desconto]])+Tabela47[[#This Row],[Valor da Entrega]]</f>
        <v>0</v>
      </c>
      <c r="M21" s="28" t="str">
        <f>IF(Tabela47[[#This Row],[Id da Venda]]=B22,"",SUMIF(Tabela47[Id da Venda],Tabela47[[#This Row],[Id da Venda]],Tabela47[Total]))</f>
        <v/>
      </c>
    </row>
    <row r="22" spans="2:13" x14ac:dyDescent="0.25">
      <c r="B22" s="25"/>
      <c r="C22" s="26"/>
      <c r="D22" s="26"/>
      <c r="E22" s="26" t="str">
        <f>IFERROR(VLOOKUP(Tabela47[[#This Row],[Produtos]],cálculos!$E$3:$H$26,4,0),"")</f>
        <v/>
      </c>
      <c r="F22" s="26"/>
      <c r="G22" s="27">
        <f>IFERROR(VLOOKUP(Tabela47[[#This Row],[Produtos]],cálculos!$E$3:$H$26,2,0),0)</f>
        <v>0</v>
      </c>
      <c r="H22" s="27">
        <f>Tabela47[[#This Row],[Preço Unitário]]*Tabela47[[#This Row],[Quantidade]]</f>
        <v>0</v>
      </c>
      <c r="I22" s="107"/>
      <c r="J22" s="26"/>
      <c r="K22" s="27">
        <f>IFERROR(VLOOKUP(Tabela47[[#This Row],[Entrega]],cálculos!$B$3:$C$7,2,0),0)</f>
        <v>0</v>
      </c>
      <c r="L22" s="27">
        <f>Tabela47[[#This Row],[SubTotal]]*(1-Tabela47[[#This Row],[Desconto]])+Tabela47[[#This Row],[Valor da Entrega]]</f>
        <v>0</v>
      </c>
      <c r="M22" s="28" t="str">
        <f>IF(Tabela47[[#This Row],[Id da Venda]]=B23,"",SUMIF(Tabela47[Id da Venda],Tabela47[[#This Row],[Id da Venda]],Tabela47[Total]))</f>
        <v/>
      </c>
    </row>
    <row r="23" spans="2:13" x14ac:dyDescent="0.25">
      <c r="B23" s="25"/>
      <c r="C23" s="26"/>
      <c r="D23" s="26"/>
      <c r="E23" s="26" t="str">
        <f>IFERROR(VLOOKUP(Tabela47[[#This Row],[Produtos]],cálculos!$E$3:$H$26,4,0),"")</f>
        <v/>
      </c>
      <c r="F23" s="26"/>
      <c r="G23" s="27">
        <f>IFERROR(VLOOKUP(Tabela47[[#This Row],[Produtos]],cálculos!$E$3:$H$26,2,0),0)</f>
        <v>0</v>
      </c>
      <c r="H23" s="27">
        <f>Tabela47[[#This Row],[Preço Unitário]]*Tabela47[[#This Row],[Quantidade]]</f>
        <v>0</v>
      </c>
      <c r="I23" s="107"/>
      <c r="J23" s="26"/>
      <c r="K23" s="27">
        <f>IFERROR(VLOOKUP(Tabela47[[#This Row],[Entrega]],cálculos!$B$3:$C$7,2,0),0)</f>
        <v>0</v>
      </c>
      <c r="L23" s="27">
        <f>Tabela47[[#This Row],[SubTotal]]*(1-Tabela47[[#This Row],[Desconto]])+Tabela47[[#This Row],[Valor da Entrega]]</f>
        <v>0</v>
      </c>
      <c r="M23" s="28" t="str">
        <f>IF(Tabela47[[#This Row],[Id da Venda]]=B24,"",SUMIF(Tabela47[Id da Venda],Tabela47[[#This Row],[Id da Venda]],Tabela47[Total]))</f>
        <v/>
      </c>
    </row>
    <row r="24" spans="2:13" x14ac:dyDescent="0.25">
      <c r="B24" s="25"/>
      <c r="C24" s="26"/>
      <c r="D24" s="26"/>
      <c r="E24" s="26" t="str">
        <f>IFERROR(VLOOKUP(Tabela47[[#This Row],[Produtos]],cálculos!$E$3:$H$26,4,0),"")</f>
        <v/>
      </c>
      <c r="F24" s="26"/>
      <c r="G24" s="27">
        <f>IFERROR(VLOOKUP(Tabela47[[#This Row],[Produtos]],cálculos!$E$3:$H$26,2,0),0)</f>
        <v>0</v>
      </c>
      <c r="H24" s="27">
        <f>Tabela47[[#This Row],[Preço Unitário]]*Tabela47[[#This Row],[Quantidade]]</f>
        <v>0</v>
      </c>
      <c r="I24" s="107"/>
      <c r="J24" s="26"/>
      <c r="K24" s="27">
        <f>IFERROR(VLOOKUP(Tabela47[[#This Row],[Entrega]],cálculos!$B$3:$C$7,2,0),0)</f>
        <v>0</v>
      </c>
      <c r="L24" s="27">
        <f>Tabela47[[#This Row],[SubTotal]]*(1-Tabela47[[#This Row],[Desconto]])+Tabela47[[#This Row],[Valor da Entrega]]</f>
        <v>0</v>
      </c>
      <c r="M24" s="28" t="str">
        <f>IF(Tabela47[[#This Row],[Id da Venda]]=B25,"",SUMIF(Tabela47[Id da Venda],Tabela47[[#This Row],[Id da Venda]],Tabela47[Total]))</f>
        <v/>
      </c>
    </row>
    <row r="25" spans="2:13" x14ac:dyDescent="0.25">
      <c r="B25" s="25"/>
      <c r="C25" s="26"/>
      <c r="D25" s="26"/>
      <c r="E25" s="26" t="str">
        <f>IFERROR(VLOOKUP(Tabela47[[#This Row],[Produtos]],cálculos!$E$3:$H$26,4,0),"")</f>
        <v/>
      </c>
      <c r="F25" s="26"/>
      <c r="G25" s="27">
        <f>IFERROR(VLOOKUP(Tabela47[[#This Row],[Produtos]],cálculos!$E$3:$H$26,2,0),0)</f>
        <v>0</v>
      </c>
      <c r="H25" s="27">
        <f>Tabela47[[#This Row],[Preço Unitário]]*Tabela47[[#This Row],[Quantidade]]</f>
        <v>0</v>
      </c>
      <c r="I25" s="107"/>
      <c r="J25" s="26"/>
      <c r="K25" s="27">
        <f>IFERROR(VLOOKUP(Tabela47[[#This Row],[Entrega]],cálculos!$B$3:$C$7,2,0),0)</f>
        <v>0</v>
      </c>
      <c r="L25" s="27">
        <f>Tabela47[[#This Row],[SubTotal]]*(1-Tabela47[[#This Row],[Desconto]])+Tabela47[[#This Row],[Valor da Entrega]]</f>
        <v>0</v>
      </c>
      <c r="M25" s="28" t="str">
        <f>IF(Tabela47[[#This Row],[Id da Venda]]=B26,"",SUMIF(Tabela47[Id da Venda],Tabela47[[#This Row],[Id da Venda]],Tabela47[Total]))</f>
        <v/>
      </c>
    </row>
    <row r="26" spans="2:13" x14ac:dyDescent="0.25">
      <c r="B26" s="25"/>
      <c r="C26" s="26"/>
      <c r="D26" s="26"/>
      <c r="E26" s="26" t="str">
        <f>IFERROR(VLOOKUP(Tabela47[[#This Row],[Produtos]],cálculos!$E$3:$H$26,4,0),"")</f>
        <v/>
      </c>
      <c r="F26" s="26"/>
      <c r="G26" s="27">
        <f>IFERROR(VLOOKUP(Tabela47[[#This Row],[Produtos]],cálculos!$E$3:$H$26,2,0),0)</f>
        <v>0</v>
      </c>
      <c r="H26" s="27">
        <f>Tabela47[[#This Row],[Preço Unitário]]*Tabela47[[#This Row],[Quantidade]]</f>
        <v>0</v>
      </c>
      <c r="I26" s="107"/>
      <c r="J26" s="26"/>
      <c r="K26" s="27">
        <f>IFERROR(VLOOKUP(Tabela47[[#This Row],[Entrega]],cálculos!$B$3:$C$7,2,0),0)</f>
        <v>0</v>
      </c>
      <c r="L26" s="27">
        <f>Tabela47[[#This Row],[SubTotal]]*(1-Tabela47[[#This Row],[Desconto]])+Tabela47[[#This Row],[Valor da Entrega]]</f>
        <v>0</v>
      </c>
      <c r="M26" s="28" t="str">
        <f>IF(Tabela47[[#This Row],[Id da Venda]]=B27,"",SUMIF(Tabela47[Id da Venda],Tabela47[[#This Row],[Id da Venda]],Tabela47[Total]))</f>
        <v/>
      </c>
    </row>
    <row r="27" spans="2:13" x14ac:dyDescent="0.25">
      <c r="B27" s="25"/>
      <c r="C27" s="26"/>
      <c r="D27" s="26"/>
      <c r="E27" s="26" t="str">
        <f>IFERROR(VLOOKUP(Tabela47[[#This Row],[Produtos]],cálculos!$E$3:$H$26,4,0),"")</f>
        <v/>
      </c>
      <c r="F27" s="26"/>
      <c r="G27" s="27">
        <f>IFERROR(VLOOKUP(Tabela47[[#This Row],[Produtos]],cálculos!$E$3:$H$26,2,0),0)</f>
        <v>0</v>
      </c>
      <c r="H27" s="27">
        <f>Tabela47[[#This Row],[Preço Unitário]]*Tabela47[[#This Row],[Quantidade]]</f>
        <v>0</v>
      </c>
      <c r="I27" s="107"/>
      <c r="J27" s="26"/>
      <c r="K27" s="27">
        <f>IFERROR(VLOOKUP(Tabela47[[#This Row],[Entrega]],cálculos!$B$3:$C$7,2,0),0)</f>
        <v>0</v>
      </c>
      <c r="L27" s="27">
        <f>Tabela47[[#This Row],[SubTotal]]*(1-Tabela47[[#This Row],[Desconto]])+Tabela47[[#This Row],[Valor da Entrega]]</f>
        <v>0</v>
      </c>
      <c r="M27" s="28" t="str">
        <f>IF(Tabela47[[#This Row],[Id da Venda]]=B28,"",SUMIF(Tabela47[Id da Venda],Tabela47[[#This Row],[Id da Venda]],Tabela47[Total]))</f>
        <v/>
      </c>
    </row>
    <row r="28" spans="2:13" x14ac:dyDescent="0.25">
      <c r="B28" s="25"/>
      <c r="C28" s="26"/>
      <c r="D28" s="26"/>
      <c r="E28" s="26" t="str">
        <f>IFERROR(VLOOKUP(Tabela47[[#This Row],[Produtos]],cálculos!$E$3:$H$26,4,0),"")</f>
        <v/>
      </c>
      <c r="F28" s="26"/>
      <c r="G28" s="27">
        <f>IFERROR(VLOOKUP(Tabela47[[#This Row],[Produtos]],cálculos!$E$3:$H$26,2,0),0)</f>
        <v>0</v>
      </c>
      <c r="H28" s="27">
        <f>Tabela47[[#This Row],[Preço Unitário]]*Tabela47[[#This Row],[Quantidade]]</f>
        <v>0</v>
      </c>
      <c r="I28" s="107"/>
      <c r="J28" s="26"/>
      <c r="K28" s="27">
        <f>IFERROR(VLOOKUP(Tabela47[[#This Row],[Entrega]],cálculos!$B$3:$C$7,2,0),0)</f>
        <v>0</v>
      </c>
      <c r="L28" s="27">
        <f>Tabela47[[#This Row],[SubTotal]]*(1-Tabela47[[#This Row],[Desconto]])+Tabela47[[#This Row],[Valor da Entrega]]</f>
        <v>0</v>
      </c>
      <c r="M28" s="28" t="str">
        <f>IF(Tabela47[[#This Row],[Id da Venda]]=B29,"",SUMIF(Tabela47[Id da Venda],Tabela47[[#This Row],[Id da Venda]],Tabela47[Total]))</f>
        <v/>
      </c>
    </row>
    <row r="29" spans="2:13" x14ac:dyDescent="0.25">
      <c r="B29" s="25"/>
      <c r="C29" s="26"/>
      <c r="D29" s="26"/>
      <c r="E29" s="26" t="str">
        <f>IFERROR(VLOOKUP(Tabela47[[#This Row],[Produtos]],cálculos!$E$3:$H$26,4,0),"")</f>
        <v/>
      </c>
      <c r="F29" s="26"/>
      <c r="G29" s="27">
        <f>IFERROR(VLOOKUP(Tabela47[[#This Row],[Produtos]],cálculos!$E$3:$H$26,2,0),0)</f>
        <v>0</v>
      </c>
      <c r="H29" s="27">
        <f>Tabela47[[#This Row],[Preço Unitário]]*Tabela47[[#This Row],[Quantidade]]</f>
        <v>0</v>
      </c>
      <c r="I29" s="107"/>
      <c r="J29" s="26"/>
      <c r="K29" s="27">
        <f>IFERROR(VLOOKUP(Tabela47[[#This Row],[Entrega]],cálculos!$B$3:$C$7,2,0),0)</f>
        <v>0</v>
      </c>
      <c r="L29" s="27">
        <f>Tabela47[[#This Row],[SubTotal]]*(1-Tabela47[[#This Row],[Desconto]])+Tabela47[[#This Row],[Valor da Entrega]]</f>
        <v>0</v>
      </c>
      <c r="M29" s="28" t="str">
        <f>IF(Tabela47[[#This Row],[Id da Venda]]=B30,"",SUMIF(Tabela47[Id da Venda],Tabela47[[#This Row],[Id da Venda]],Tabela47[Total]))</f>
        <v/>
      </c>
    </row>
    <row r="30" spans="2:13" x14ac:dyDescent="0.25">
      <c r="B30" s="33"/>
      <c r="C30" s="35"/>
      <c r="D30" s="35"/>
      <c r="E30" s="35" t="str">
        <f>IFERROR(VLOOKUP(Tabela47[[#This Row],[Produtos]],cálculos!$E$3:$H$26,4,0),"")</f>
        <v/>
      </c>
      <c r="F30" s="35"/>
      <c r="G30" s="109">
        <f>IFERROR(VLOOKUP(Tabela47[[#This Row],[Produtos]],cálculos!$E$3:$H$26,2,0),0)</f>
        <v>0</v>
      </c>
      <c r="H30" s="109">
        <f>Tabela47[[#This Row],[Preço Unitário]]*Tabela47[[#This Row],[Quantidade]]</f>
        <v>0</v>
      </c>
      <c r="I30" s="110"/>
      <c r="J30" s="35"/>
      <c r="K30" s="109">
        <f>IFERROR(VLOOKUP(Tabela47[[#This Row],[Entrega]],cálculos!$B$3:$C$7,2,0),0)</f>
        <v>0</v>
      </c>
      <c r="L30" s="109">
        <f>Tabela47[[#This Row],[SubTotal]]*(1-Tabela47[[#This Row],[Desconto]])+Tabela47[[#This Row],[Valor da Entrega]]</f>
        <v>0</v>
      </c>
      <c r="M30" s="37" t="str">
        <f>IF(Tabela47[[#This Row],[Id da Venda]]=B31,"",SUMIF(Tabela47[Id da Venda],Tabela47[[#This Row],[Id da Venda]],Tabela47[Total]))</f>
        <v/>
      </c>
    </row>
    <row r="32" spans="2:13" ht="21.75" thickBot="1" x14ac:dyDescent="0.4">
      <c r="B32" s="100" t="s">
        <v>107</v>
      </c>
      <c r="C32" s="100"/>
      <c r="D32" s="100"/>
      <c r="E32" s="101"/>
      <c r="F32" s="101"/>
      <c r="G32" s="101"/>
      <c r="H32" s="101"/>
      <c r="I32" s="101"/>
      <c r="J32" s="101"/>
      <c r="K32" s="101"/>
      <c r="L32" s="102">
        <f>SUM(Tabela47[Valor da Entrega])</f>
        <v>0</v>
      </c>
    </row>
    <row r="33" spans="2:12" ht="21.75" thickBot="1" x14ac:dyDescent="0.4">
      <c r="B33" s="104" t="s">
        <v>120</v>
      </c>
      <c r="C33" s="105"/>
      <c r="D33" s="105"/>
      <c r="E33" s="105"/>
      <c r="F33" s="105"/>
      <c r="G33" s="105"/>
      <c r="H33" s="105"/>
      <c r="I33" s="105"/>
      <c r="J33" s="105"/>
      <c r="K33" s="105"/>
      <c r="L33" s="106">
        <f>SUM(Tabela47[Total])</f>
        <v>46.896999999999998</v>
      </c>
    </row>
    <row r="34" spans="2:12" ht="21" x14ac:dyDescent="0.35">
      <c r="B34" s="99" t="s">
        <v>121</v>
      </c>
      <c r="L34" s="103">
        <f>SUM(IF(FREQUENCY(Tabela47[Id da Venda],Tabela47[Id da Venda])&gt;0,1))</f>
        <v>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1000000}">
          <x14:formula1>
            <xm:f>cálculos!$B$3:$B$7</xm:f>
          </x14:formula1>
          <xm:sqref>J5:J30</xm:sqref>
        </x14:dataValidation>
        <x14:dataValidation type="list" allowBlank="1" showInputMessage="1" showErrorMessage="1" xr:uid="{00000000-0002-0000-0900-000000000000}">
          <x14:formula1>
            <xm:f>cálculos!$E$3:$E$26</xm:f>
          </x14:formula1>
          <xm:sqref>D5:D30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E5E0E-2EB0-4279-8B1F-3413889AFEAA}">
  <dimension ref="A3:I10"/>
  <sheetViews>
    <sheetView workbookViewId="0">
      <selection activeCell="A2" sqref="A2"/>
    </sheetView>
  </sheetViews>
  <sheetFormatPr defaultRowHeight="15" x14ac:dyDescent="0.25"/>
  <cols>
    <col min="1" max="1" width="18.28515625" bestFit="1" customWidth="1"/>
    <col min="2" max="2" width="19.7109375" bestFit="1" customWidth="1"/>
    <col min="3" max="3" width="13.5703125" bestFit="1" customWidth="1"/>
    <col min="6" max="6" width="18.28515625" bestFit="1" customWidth="1"/>
    <col min="7" max="7" width="19.7109375" bestFit="1" customWidth="1"/>
    <col min="8" max="8" width="23.85546875" bestFit="1" customWidth="1"/>
    <col min="9" max="10" width="13.5703125" bestFit="1" customWidth="1"/>
  </cols>
  <sheetData>
    <row r="3" spans="1:9" x14ac:dyDescent="0.25">
      <c r="A3" s="119" t="s">
        <v>149</v>
      </c>
      <c r="B3" t="s">
        <v>153</v>
      </c>
      <c r="C3" t="s">
        <v>151</v>
      </c>
      <c r="F3" s="119" t="s">
        <v>149</v>
      </c>
      <c r="G3" t="s">
        <v>153</v>
      </c>
      <c r="H3" t="s">
        <v>152</v>
      </c>
      <c r="I3" t="s">
        <v>151</v>
      </c>
    </row>
    <row r="4" spans="1:9" x14ac:dyDescent="0.25">
      <c r="A4" s="120">
        <v>42190</v>
      </c>
      <c r="B4">
        <v>32</v>
      </c>
      <c r="C4" s="90">
        <v>34.200999999999993</v>
      </c>
      <c r="F4" s="122" t="s">
        <v>104</v>
      </c>
      <c r="G4">
        <v>22</v>
      </c>
      <c r="H4" s="90">
        <v>0</v>
      </c>
      <c r="I4" s="90">
        <v>23.620999999999999</v>
      </c>
    </row>
    <row r="5" spans="1:9" x14ac:dyDescent="0.25">
      <c r="A5" s="121" t="s">
        <v>32</v>
      </c>
      <c r="B5">
        <v>22</v>
      </c>
      <c r="C5" s="90">
        <v>23.276</v>
      </c>
      <c r="F5" s="121" t="s">
        <v>32</v>
      </c>
      <c r="G5">
        <v>12</v>
      </c>
      <c r="H5" s="90">
        <v>0</v>
      </c>
      <c r="I5" s="90">
        <v>12.696000000000002</v>
      </c>
    </row>
    <row r="6" spans="1:9" x14ac:dyDescent="0.25">
      <c r="A6" s="121" t="s">
        <v>41</v>
      </c>
      <c r="B6">
        <v>10</v>
      </c>
      <c r="C6" s="90">
        <v>10.924999999999997</v>
      </c>
      <c r="F6" s="121" t="s">
        <v>41</v>
      </c>
      <c r="G6">
        <v>10</v>
      </c>
      <c r="H6" s="90">
        <v>0</v>
      </c>
      <c r="I6" s="90">
        <v>10.924999999999997</v>
      </c>
    </row>
    <row r="7" spans="1:9" x14ac:dyDescent="0.25">
      <c r="A7" s="120">
        <v>45139</v>
      </c>
      <c r="B7">
        <v>12</v>
      </c>
      <c r="C7" s="90">
        <v>12.696000000000002</v>
      </c>
      <c r="F7" s="122" t="s">
        <v>154</v>
      </c>
      <c r="G7">
        <v>22</v>
      </c>
      <c r="H7" s="90">
        <v>0</v>
      </c>
      <c r="I7" s="90">
        <v>23.276</v>
      </c>
    </row>
    <row r="8" spans="1:9" x14ac:dyDescent="0.25">
      <c r="A8" s="121" t="s">
        <v>32</v>
      </c>
      <c r="B8">
        <v>12</v>
      </c>
      <c r="C8" s="90">
        <v>12.696000000000002</v>
      </c>
      <c r="F8" s="121" t="s">
        <v>32</v>
      </c>
      <c r="G8">
        <v>22</v>
      </c>
      <c r="H8" s="90">
        <v>0</v>
      </c>
      <c r="I8" s="90">
        <v>23.276</v>
      </c>
    </row>
    <row r="9" spans="1:9" x14ac:dyDescent="0.25">
      <c r="A9" s="120" t="s">
        <v>150</v>
      </c>
      <c r="B9">
        <v>44</v>
      </c>
      <c r="C9" s="90">
        <v>46.896999999999991</v>
      </c>
      <c r="F9" s="121" t="s">
        <v>154</v>
      </c>
      <c r="H9" s="90">
        <v>0</v>
      </c>
      <c r="I9" s="90">
        <v>0</v>
      </c>
    </row>
    <row r="10" spans="1:9" x14ac:dyDescent="0.25">
      <c r="F10" s="122" t="s">
        <v>150</v>
      </c>
      <c r="G10">
        <v>44</v>
      </c>
      <c r="H10" s="90">
        <v>0</v>
      </c>
      <c r="I10" s="90">
        <v>46.896999999999998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2"/>
  <dimension ref="A2:M31"/>
  <sheetViews>
    <sheetView showGridLines="0" topLeftCell="A13" zoomScaleNormal="100" workbookViewId="0">
      <selection activeCell="B5" sqref="B5:M5"/>
    </sheetView>
  </sheetViews>
  <sheetFormatPr defaultRowHeight="15" x14ac:dyDescent="0.25"/>
  <cols>
    <col min="1" max="1" width="21.710937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3" s="69" customFormat="1" ht="36.75" customHeight="1" x14ac:dyDescent="0.55000000000000004">
      <c r="A2" s="66"/>
      <c r="B2" s="67" t="s">
        <v>147</v>
      </c>
      <c r="C2" s="68"/>
    </row>
    <row r="3" spans="1:13" ht="32.25" customHeight="1" x14ac:dyDescent="0.25"/>
    <row r="4" spans="1:13" x14ac:dyDescent="0.25">
      <c r="B4" s="22" t="s">
        <v>60</v>
      </c>
      <c r="C4" s="23" t="s">
        <v>106</v>
      </c>
      <c r="D4" s="23" t="s">
        <v>59</v>
      </c>
      <c r="E4" s="23" t="s">
        <v>78</v>
      </c>
      <c r="F4" s="23" t="s">
        <v>56</v>
      </c>
      <c r="G4" s="23" t="s">
        <v>57</v>
      </c>
      <c r="H4" s="23" t="s">
        <v>61</v>
      </c>
      <c r="I4" s="23" t="s">
        <v>58</v>
      </c>
      <c r="J4" s="23" t="s">
        <v>63</v>
      </c>
      <c r="K4" s="23" t="s">
        <v>105</v>
      </c>
      <c r="L4" s="23" t="s">
        <v>62</v>
      </c>
      <c r="M4" s="24" t="s">
        <v>108</v>
      </c>
    </row>
    <row r="5" spans="1:13" x14ac:dyDescent="0.25">
      <c r="B5" s="25">
        <f t="shared" ref="B5:B27" si="0">B6+1</f>
        <v>23</v>
      </c>
      <c r="C5" s="31"/>
      <c r="D5" s="26"/>
      <c r="E5" s="26" t="str">
        <f>IFERROR(VLOOKUP(Tabela48[[#This Row],[Produtos]],cálculos!$E$3:$H$26,4,0),"")</f>
        <v/>
      </c>
      <c r="F5" s="26"/>
      <c r="G5" s="27">
        <f>IFERROR(VLOOKUP(Tabela48[[#This Row],[Produtos]],cálculos!$E$3:$H$26,2,0),0)</f>
        <v>0</v>
      </c>
      <c r="H5" s="27">
        <f>Tabela48[[#This Row],[Preço Unitário]]*Tabela48[[#This Row],[Quantidade]]</f>
        <v>0</v>
      </c>
      <c r="I5" s="107"/>
      <c r="J5" s="26"/>
      <c r="K5" s="27">
        <f>IFERROR(VLOOKUP(Tabela48[[#This Row],[Entrega]],cálculos!$B$3:$C$7,2,0),0)</f>
        <v>0</v>
      </c>
      <c r="L5" s="27">
        <f>Tabela48[[#This Row],[SubTotal]]*(1-Tabela48[[#This Row],[Desconto]])+Tabela48[[#This Row],[Valor da Entrega]]</f>
        <v>0</v>
      </c>
      <c r="M5" s="28">
        <f>IF(Tabela48[[#This Row],[Id da Venda]]=B6,"",SUMIF(Tabela48[Id da Venda],Tabela48[[#This Row],[Id da Venda]],Tabela48[Total]))</f>
        <v>0</v>
      </c>
    </row>
    <row r="6" spans="1:13" x14ac:dyDescent="0.25">
      <c r="B6" s="25">
        <f t="shared" si="0"/>
        <v>22</v>
      </c>
      <c r="C6" s="31"/>
      <c r="D6" s="26"/>
      <c r="E6" s="26" t="str">
        <f>IFERROR(VLOOKUP(Tabela48[[#This Row],[Produtos]],cálculos!$E$3:$H$26,4,0),"")</f>
        <v/>
      </c>
      <c r="F6" s="26"/>
      <c r="G6" s="27">
        <f>IFERROR(VLOOKUP(Tabela48[[#This Row],[Produtos]],cálculos!$E$3:$H$26,2,0),0)</f>
        <v>0</v>
      </c>
      <c r="H6" s="27">
        <f>Tabela48[[#This Row],[Preço Unitário]]*Tabela48[[#This Row],[Quantidade]]</f>
        <v>0</v>
      </c>
      <c r="I6" s="107"/>
      <c r="J6" s="26"/>
      <c r="K6" s="27">
        <f>IFERROR(VLOOKUP(Tabela48[[#This Row],[Entrega]],cálculos!$B$3:$C$7,2,0),0)</f>
        <v>0</v>
      </c>
      <c r="L6" s="27">
        <f>Tabela48[[#This Row],[SubTotal]]*(1-Tabela48[[#This Row],[Desconto]])+Tabela48[[#This Row],[Valor da Entrega]]</f>
        <v>0</v>
      </c>
      <c r="M6" s="28">
        <f>IF(Tabela48[[#This Row],[Id da Venda]]=B7,"",SUMIF(Tabela48[Id da Venda],Tabela48[[#This Row],[Id da Venda]],Tabela48[Total]))</f>
        <v>0</v>
      </c>
    </row>
    <row r="7" spans="1:13" x14ac:dyDescent="0.25">
      <c r="B7" s="25">
        <f t="shared" si="0"/>
        <v>21</v>
      </c>
      <c r="C7" s="31"/>
      <c r="D7" s="26"/>
      <c r="E7" s="26" t="str">
        <f>IFERROR(VLOOKUP(Tabela48[[#This Row],[Produtos]],cálculos!$E$3:$H$26,4,0),"")</f>
        <v/>
      </c>
      <c r="F7" s="26"/>
      <c r="G7" s="27">
        <f>IFERROR(VLOOKUP(Tabela48[[#This Row],[Produtos]],cálculos!$E$3:$H$26,2,0),0)</f>
        <v>0</v>
      </c>
      <c r="H7" s="27">
        <f>Tabela48[[#This Row],[Preço Unitário]]*Tabela48[[#This Row],[Quantidade]]</f>
        <v>0</v>
      </c>
      <c r="I7" s="107"/>
      <c r="J7" s="26"/>
      <c r="K7" s="27">
        <f>IFERROR(VLOOKUP(Tabela48[[#This Row],[Entrega]],cálculos!$B$3:$C$7,2,0),0)</f>
        <v>0</v>
      </c>
      <c r="L7" s="27">
        <f>Tabela48[[#This Row],[SubTotal]]*(1-Tabela48[[#This Row],[Desconto]])+Tabela48[[#This Row],[Valor da Entrega]]</f>
        <v>0</v>
      </c>
      <c r="M7" s="28">
        <f>IF(Tabela48[[#This Row],[Id da Venda]]=B8,"",SUMIF(Tabela48[Id da Venda],Tabela48[[#This Row],[Id da Venda]],Tabela48[Total]))</f>
        <v>0</v>
      </c>
    </row>
    <row r="8" spans="1:13" x14ac:dyDescent="0.25">
      <c r="B8" s="25">
        <f t="shared" si="0"/>
        <v>20</v>
      </c>
      <c r="C8" s="31"/>
      <c r="D8" s="26"/>
      <c r="E8" s="26" t="str">
        <f>IFERROR(VLOOKUP(Tabela48[[#This Row],[Produtos]],cálculos!$E$3:$H$26,4,0),"")</f>
        <v/>
      </c>
      <c r="F8" s="26"/>
      <c r="G8" s="27">
        <f>IFERROR(VLOOKUP(Tabela48[[#This Row],[Produtos]],cálculos!$E$3:$H$26,2,0),0)</f>
        <v>0</v>
      </c>
      <c r="H8" s="27">
        <f>Tabela48[[#This Row],[Preço Unitário]]*Tabela48[[#This Row],[Quantidade]]</f>
        <v>0</v>
      </c>
      <c r="I8" s="107"/>
      <c r="J8" s="26"/>
      <c r="K8" s="27">
        <f>IFERROR(VLOOKUP(Tabela48[[#This Row],[Entrega]],cálculos!$B$3:$C$7,2,0),0)</f>
        <v>0</v>
      </c>
      <c r="L8" s="27">
        <f>Tabela48[[#This Row],[SubTotal]]*(1-Tabela48[[#This Row],[Desconto]])+Tabela48[[#This Row],[Valor da Entrega]]</f>
        <v>0</v>
      </c>
      <c r="M8" s="28">
        <f>IF(Tabela48[[#This Row],[Id da Venda]]=B9,"",SUMIF(Tabela48[Id da Venda],Tabela48[[#This Row],[Id da Venda]],Tabela48[Total]))</f>
        <v>0</v>
      </c>
    </row>
    <row r="9" spans="1:13" x14ac:dyDescent="0.25">
      <c r="B9" s="25">
        <f t="shared" si="0"/>
        <v>19</v>
      </c>
      <c r="C9" s="31"/>
      <c r="D9" s="26"/>
      <c r="E9" s="26" t="str">
        <f>IFERROR(VLOOKUP(Tabela48[[#This Row],[Produtos]],cálculos!$E$3:$H$26,4,0),"")</f>
        <v/>
      </c>
      <c r="F9" s="26"/>
      <c r="G9" s="27">
        <f>IFERROR(VLOOKUP(Tabela48[[#This Row],[Produtos]],cálculos!$E$3:$H$26,2,0),0)</f>
        <v>0</v>
      </c>
      <c r="H9" s="27">
        <f>Tabela48[[#This Row],[Preço Unitário]]*Tabela48[[#This Row],[Quantidade]]</f>
        <v>0</v>
      </c>
      <c r="I9" s="107"/>
      <c r="J9" s="26"/>
      <c r="K9" s="27">
        <f>IFERROR(VLOOKUP(Tabela48[[#This Row],[Entrega]],cálculos!$B$3:$C$7,2,0),0)</f>
        <v>0</v>
      </c>
      <c r="L9" s="27">
        <f>Tabela48[[#This Row],[SubTotal]]*(1-Tabela48[[#This Row],[Desconto]])+Tabela48[[#This Row],[Valor da Entrega]]</f>
        <v>0</v>
      </c>
      <c r="M9" s="28">
        <f>IF(Tabela48[[#This Row],[Id da Venda]]=B10,"",SUMIF(Tabela48[Id da Venda],Tabela48[[#This Row],[Id da Venda]],Tabela48[Total]))</f>
        <v>0</v>
      </c>
    </row>
    <row r="10" spans="1:13" x14ac:dyDescent="0.25">
      <c r="B10" s="25">
        <f t="shared" si="0"/>
        <v>18</v>
      </c>
      <c r="C10" s="31"/>
      <c r="D10" s="26"/>
      <c r="E10" s="26" t="str">
        <f>IFERROR(VLOOKUP(Tabela48[[#This Row],[Produtos]],cálculos!$E$3:$H$26,4,0),"")</f>
        <v/>
      </c>
      <c r="F10" s="26"/>
      <c r="G10" s="27">
        <f>IFERROR(VLOOKUP(Tabela48[[#This Row],[Produtos]],cálculos!$E$3:$H$26,2,0),0)</f>
        <v>0</v>
      </c>
      <c r="H10" s="27">
        <f>Tabela48[[#This Row],[Preço Unitário]]*Tabela48[[#This Row],[Quantidade]]</f>
        <v>0</v>
      </c>
      <c r="I10" s="107"/>
      <c r="J10" s="26"/>
      <c r="K10" s="27">
        <f>IFERROR(VLOOKUP(Tabela48[[#This Row],[Entrega]],cálculos!$B$3:$C$7,2,0),0)</f>
        <v>0</v>
      </c>
      <c r="L10" s="27">
        <f>Tabela48[[#This Row],[SubTotal]]*(1-Tabela48[[#This Row],[Desconto]])+Tabela48[[#This Row],[Valor da Entrega]]</f>
        <v>0</v>
      </c>
      <c r="M10" s="28">
        <f>IF(Tabela48[[#This Row],[Id da Venda]]=B11,"",SUMIF(Tabela48[Id da Venda],Tabela48[[#This Row],[Id da Venda]],Tabela48[Total]))</f>
        <v>0</v>
      </c>
    </row>
    <row r="11" spans="1:13" x14ac:dyDescent="0.25">
      <c r="B11" s="25">
        <f t="shared" si="0"/>
        <v>17</v>
      </c>
      <c r="C11" s="31"/>
      <c r="D11" s="26"/>
      <c r="E11" s="26" t="str">
        <f>IFERROR(VLOOKUP(Tabela48[[#This Row],[Produtos]],cálculos!$E$3:$H$26,4,0),"")</f>
        <v/>
      </c>
      <c r="F11" s="26"/>
      <c r="G11" s="27">
        <f>IFERROR(VLOOKUP(Tabela48[[#This Row],[Produtos]],cálculos!$E$3:$H$26,2,0),0)</f>
        <v>0</v>
      </c>
      <c r="H11" s="27">
        <f>Tabela48[[#This Row],[Preço Unitário]]*Tabela48[[#This Row],[Quantidade]]</f>
        <v>0</v>
      </c>
      <c r="I11" s="107"/>
      <c r="J11" s="26"/>
      <c r="K11" s="27">
        <f>IFERROR(VLOOKUP(Tabela48[[#This Row],[Entrega]],cálculos!$B$3:$C$7,2,0),0)</f>
        <v>0</v>
      </c>
      <c r="L11" s="27">
        <f>Tabela48[[#This Row],[SubTotal]]*(1-Tabela48[[#This Row],[Desconto]])+Tabela48[[#This Row],[Valor da Entrega]]</f>
        <v>0</v>
      </c>
      <c r="M11" s="28">
        <f>IF(Tabela48[[#This Row],[Id da Venda]]=B12,"",SUMIF(Tabela48[Id da Venda],Tabela48[[#This Row],[Id da Venda]],Tabela48[Total]))</f>
        <v>0</v>
      </c>
    </row>
    <row r="12" spans="1:13" x14ac:dyDescent="0.25">
      <c r="B12" s="25">
        <f t="shared" si="0"/>
        <v>16</v>
      </c>
      <c r="C12" s="31"/>
      <c r="D12" s="26"/>
      <c r="E12" s="26" t="str">
        <f>IFERROR(VLOOKUP(Tabela48[[#This Row],[Produtos]],cálculos!$E$3:$H$26,4,0),"")</f>
        <v/>
      </c>
      <c r="F12" s="26"/>
      <c r="G12" s="27">
        <f>IFERROR(VLOOKUP(Tabela48[[#This Row],[Produtos]],cálculos!$E$3:$H$26,2,0),0)</f>
        <v>0</v>
      </c>
      <c r="H12" s="27">
        <f>Tabela48[[#This Row],[Preço Unitário]]*Tabela48[[#This Row],[Quantidade]]</f>
        <v>0</v>
      </c>
      <c r="I12" s="107"/>
      <c r="J12" s="26"/>
      <c r="K12" s="27">
        <f>IFERROR(VLOOKUP(Tabela48[[#This Row],[Entrega]],cálculos!$B$3:$C$7,2,0),0)</f>
        <v>0</v>
      </c>
      <c r="L12" s="27">
        <f>Tabela48[[#This Row],[SubTotal]]*(1-Tabela48[[#This Row],[Desconto]])+Tabela48[[#This Row],[Valor da Entrega]]</f>
        <v>0</v>
      </c>
      <c r="M12" s="28">
        <f>IF(Tabela48[[#This Row],[Id da Venda]]=B13,"",SUMIF(Tabela48[Id da Venda],Tabela48[[#This Row],[Id da Venda]],Tabela48[Total]))</f>
        <v>0</v>
      </c>
    </row>
    <row r="13" spans="1:13" x14ac:dyDescent="0.25">
      <c r="B13" s="25">
        <f t="shared" si="0"/>
        <v>15</v>
      </c>
      <c r="C13" s="31"/>
      <c r="D13" s="26"/>
      <c r="E13" s="26" t="str">
        <f>IFERROR(VLOOKUP(Tabela48[[#This Row],[Produtos]],cálculos!$E$3:$H$26,4,0),"")</f>
        <v/>
      </c>
      <c r="F13" s="26"/>
      <c r="G13" s="27">
        <f>IFERROR(VLOOKUP(Tabela48[[#This Row],[Produtos]],cálculos!$E$3:$H$26,2,0),0)</f>
        <v>0</v>
      </c>
      <c r="H13" s="27">
        <f>Tabela48[[#This Row],[Preço Unitário]]*Tabela48[[#This Row],[Quantidade]]</f>
        <v>0</v>
      </c>
      <c r="I13" s="107"/>
      <c r="J13" s="26"/>
      <c r="K13" s="27">
        <f>IFERROR(VLOOKUP(Tabela48[[#This Row],[Entrega]],cálculos!$B$3:$C$7,2,0),0)</f>
        <v>0</v>
      </c>
      <c r="L13" s="27">
        <f>Tabela48[[#This Row],[SubTotal]]*(1-Tabela48[[#This Row],[Desconto]])+Tabela48[[#This Row],[Valor da Entrega]]</f>
        <v>0</v>
      </c>
      <c r="M13" s="28">
        <f>IF(Tabela48[[#This Row],[Id da Venda]]=B14,"",SUMIF(Tabela48[Id da Venda],Tabela48[[#This Row],[Id da Venda]],Tabela48[Total]))</f>
        <v>0</v>
      </c>
    </row>
    <row r="14" spans="1:13" x14ac:dyDescent="0.25">
      <c r="B14" s="25">
        <f t="shared" si="0"/>
        <v>14</v>
      </c>
      <c r="C14" s="31"/>
      <c r="D14" s="26"/>
      <c r="E14" s="26" t="str">
        <f>IFERROR(VLOOKUP(Tabela48[[#This Row],[Produtos]],cálculos!$E$3:$H$26,4,0),"")</f>
        <v/>
      </c>
      <c r="F14" s="26"/>
      <c r="G14" s="27">
        <f>IFERROR(VLOOKUP(Tabela48[[#This Row],[Produtos]],cálculos!$E$3:$H$26,2,0),0)</f>
        <v>0</v>
      </c>
      <c r="H14" s="27">
        <f>Tabela48[[#This Row],[Preço Unitário]]*Tabela48[[#This Row],[Quantidade]]</f>
        <v>0</v>
      </c>
      <c r="I14" s="107"/>
      <c r="J14" s="26"/>
      <c r="K14" s="27">
        <f>IFERROR(VLOOKUP(Tabela48[[#This Row],[Entrega]],cálculos!$B$3:$C$7,2,0),0)</f>
        <v>0</v>
      </c>
      <c r="L14" s="27">
        <f>Tabela48[[#This Row],[SubTotal]]*(1-Tabela48[[#This Row],[Desconto]])+Tabela48[[#This Row],[Valor da Entrega]]</f>
        <v>0</v>
      </c>
      <c r="M14" s="28">
        <f>IF(Tabela48[[#This Row],[Id da Venda]]=B15,"",SUMIF(Tabela48[Id da Venda],Tabela48[[#This Row],[Id da Venda]],Tabela48[Total]))</f>
        <v>0</v>
      </c>
    </row>
    <row r="15" spans="1:13" x14ac:dyDescent="0.25">
      <c r="B15" s="25">
        <f t="shared" si="0"/>
        <v>13</v>
      </c>
      <c r="C15" s="31"/>
      <c r="D15" s="26"/>
      <c r="E15" s="26" t="str">
        <f>IFERROR(VLOOKUP(Tabela48[[#This Row],[Produtos]],cálculos!$E$3:$H$26,4,0),"")</f>
        <v/>
      </c>
      <c r="F15" s="26"/>
      <c r="G15" s="27">
        <f>IFERROR(VLOOKUP(Tabela48[[#This Row],[Produtos]],cálculos!$E$3:$H$26,2,0),0)</f>
        <v>0</v>
      </c>
      <c r="H15" s="27">
        <f>Tabela48[[#This Row],[Preço Unitário]]*Tabela48[[#This Row],[Quantidade]]</f>
        <v>0</v>
      </c>
      <c r="I15" s="107"/>
      <c r="J15" s="26"/>
      <c r="K15" s="27">
        <f>IFERROR(VLOOKUP(Tabela48[[#This Row],[Entrega]],cálculos!$B$3:$C$7,2,0),0)</f>
        <v>0</v>
      </c>
      <c r="L15" s="27">
        <f>Tabela48[[#This Row],[SubTotal]]*(1-Tabela48[[#This Row],[Desconto]])+Tabela48[[#This Row],[Valor da Entrega]]</f>
        <v>0</v>
      </c>
      <c r="M15" s="28">
        <f>IF(Tabela48[[#This Row],[Id da Venda]]=B16,"",SUMIF(Tabela48[Id da Venda],Tabela48[[#This Row],[Id da Venda]],Tabela48[Total]))</f>
        <v>0</v>
      </c>
    </row>
    <row r="16" spans="1:13" x14ac:dyDescent="0.25">
      <c r="B16" s="25">
        <f t="shared" si="0"/>
        <v>12</v>
      </c>
      <c r="C16" s="31"/>
      <c r="D16" s="26"/>
      <c r="E16" s="26" t="str">
        <f>IFERROR(VLOOKUP(Tabela48[[#This Row],[Produtos]],cálculos!$E$3:$H$26,4,0),"")</f>
        <v/>
      </c>
      <c r="F16" s="26"/>
      <c r="G16" s="27">
        <f>IFERROR(VLOOKUP(Tabela48[[#This Row],[Produtos]],cálculos!$E$3:$H$26,2,0),0)</f>
        <v>0</v>
      </c>
      <c r="H16" s="27">
        <f>Tabela48[[#This Row],[Preço Unitário]]*Tabela48[[#This Row],[Quantidade]]</f>
        <v>0</v>
      </c>
      <c r="I16" s="107"/>
      <c r="J16" s="26"/>
      <c r="K16" s="27">
        <f>IFERROR(VLOOKUP(Tabela48[[#This Row],[Entrega]],cálculos!$B$3:$C$7,2,0),0)</f>
        <v>0</v>
      </c>
      <c r="L16" s="27">
        <f>Tabela48[[#This Row],[SubTotal]]*(1-Tabela48[[#This Row],[Desconto]])+Tabela48[[#This Row],[Valor da Entrega]]</f>
        <v>0</v>
      </c>
      <c r="M16" s="28">
        <f>IF(Tabela48[[#This Row],[Id da Venda]]=B17,"",SUMIF(Tabela48[Id da Venda],Tabela48[[#This Row],[Id da Venda]],Tabela48[Total]))</f>
        <v>0</v>
      </c>
    </row>
    <row r="17" spans="2:13" x14ac:dyDescent="0.25">
      <c r="B17" s="25">
        <f t="shared" si="0"/>
        <v>11</v>
      </c>
      <c r="C17" s="31"/>
      <c r="D17" s="26"/>
      <c r="E17" s="26" t="str">
        <f>IFERROR(VLOOKUP(Tabela48[[#This Row],[Produtos]],cálculos!$E$3:$H$26,4,0),"")</f>
        <v/>
      </c>
      <c r="F17" s="26"/>
      <c r="G17" s="27">
        <f>IFERROR(VLOOKUP(Tabela48[[#This Row],[Produtos]],cálculos!$E$3:$H$26,2,0),0)</f>
        <v>0</v>
      </c>
      <c r="H17" s="27">
        <f>Tabela48[[#This Row],[Preço Unitário]]*Tabela48[[#This Row],[Quantidade]]</f>
        <v>0</v>
      </c>
      <c r="I17" s="107"/>
      <c r="J17" s="26"/>
      <c r="K17" s="27">
        <f>IFERROR(VLOOKUP(Tabela48[[#This Row],[Entrega]],cálculos!$B$3:$C$7,2,0),0)</f>
        <v>0</v>
      </c>
      <c r="L17" s="27">
        <f>Tabela48[[#This Row],[SubTotal]]*(1-Tabela48[[#This Row],[Desconto]])+Tabela48[[#This Row],[Valor da Entrega]]</f>
        <v>0</v>
      </c>
      <c r="M17" s="28">
        <f>IF(Tabela48[[#This Row],[Id da Venda]]=B18,"",SUMIF(Tabela48[Id da Venda],Tabela48[[#This Row],[Id da Venda]],Tabela48[Total]))</f>
        <v>0</v>
      </c>
    </row>
    <row r="18" spans="2:13" x14ac:dyDescent="0.25">
      <c r="B18" s="25">
        <f t="shared" si="0"/>
        <v>10</v>
      </c>
      <c r="C18" s="31"/>
      <c r="D18" s="26"/>
      <c r="E18" s="26" t="str">
        <f>IFERROR(VLOOKUP(Tabela48[[#This Row],[Produtos]],cálculos!$E$3:$H$26,4,0),"")</f>
        <v/>
      </c>
      <c r="F18" s="26"/>
      <c r="G18" s="27">
        <f>IFERROR(VLOOKUP(Tabela48[[#This Row],[Produtos]],cálculos!$E$3:$H$26,2,0),0)</f>
        <v>0</v>
      </c>
      <c r="H18" s="27">
        <f>Tabela48[[#This Row],[Preço Unitário]]*Tabela48[[#This Row],[Quantidade]]</f>
        <v>0</v>
      </c>
      <c r="I18" s="107"/>
      <c r="J18" s="26"/>
      <c r="K18" s="27">
        <f>IFERROR(VLOOKUP(Tabela48[[#This Row],[Entrega]],cálculos!$B$3:$C$7,2,0),0)</f>
        <v>0</v>
      </c>
      <c r="L18" s="27">
        <f>Tabela48[[#This Row],[SubTotal]]*(1-Tabela48[[#This Row],[Desconto]])+Tabela48[[#This Row],[Valor da Entrega]]</f>
        <v>0</v>
      </c>
      <c r="M18" s="28">
        <f>IF(Tabela48[[#This Row],[Id da Venda]]=B19,"",SUMIF(Tabela48[Id da Venda],Tabela48[[#This Row],[Id da Venda]],Tabela48[Total]))</f>
        <v>0</v>
      </c>
    </row>
    <row r="19" spans="2:13" x14ac:dyDescent="0.25">
      <c r="B19" s="25">
        <f t="shared" si="0"/>
        <v>9</v>
      </c>
      <c r="C19" s="31"/>
      <c r="D19" s="26"/>
      <c r="E19" s="26" t="str">
        <f>IFERROR(VLOOKUP(Tabela48[[#This Row],[Produtos]],cálculos!$E$3:$H$26,4,0),"")</f>
        <v/>
      </c>
      <c r="F19" s="26"/>
      <c r="G19" s="27">
        <f>IFERROR(VLOOKUP(Tabela48[[#This Row],[Produtos]],cálculos!$E$3:$H$26,2,0),0)</f>
        <v>0</v>
      </c>
      <c r="H19" s="27">
        <f>Tabela48[[#This Row],[Preço Unitário]]*Tabela48[[#This Row],[Quantidade]]</f>
        <v>0</v>
      </c>
      <c r="I19" s="107"/>
      <c r="J19" s="26"/>
      <c r="K19" s="27">
        <f>IFERROR(VLOOKUP(Tabela48[[#This Row],[Entrega]],cálculos!$B$3:$C$7,2,0),0)</f>
        <v>0</v>
      </c>
      <c r="L19" s="27">
        <f>Tabela48[[#This Row],[SubTotal]]*(1-Tabela48[[#This Row],[Desconto]])+Tabela48[[#This Row],[Valor da Entrega]]</f>
        <v>0</v>
      </c>
      <c r="M19" s="28">
        <f>IF(Tabela48[[#This Row],[Id da Venda]]=B20,"",SUMIF(Tabela48[Id da Venda],Tabela48[[#This Row],[Id da Venda]],Tabela48[Total]))</f>
        <v>0</v>
      </c>
    </row>
    <row r="20" spans="2:13" x14ac:dyDescent="0.25">
      <c r="B20" s="25">
        <f t="shared" si="0"/>
        <v>8</v>
      </c>
      <c r="C20" s="31"/>
      <c r="D20" s="26"/>
      <c r="E20" s="26" t="str">
        <f>IFERROR(VLOOKUP(Tabela48[[#This Row],[Produtos]],cálculos!$E$3:$H$26,4,0),"")</f>
        <v/>
      </c>
      <c r="F20" s="26"/>
      <c r="G20" s="27">
        <f>IFERROR(VLOOKUP(Tabela48[[#This Row],[Produtos]],cálculos!$E$3:$H$26,2,0),0)</f>
        <v>0</v>
      </c>
      <c r="H20" s="27">
        <f>Tabela48[[#This Row],[Preço Unitário]]*Tabela48[[#This Row],[Quantidade]]</f>
        <v>0</v>
      </c>
      <c r="I20" s="107"/>
      <c r="J20" s="26"/>
      <c r="K20" s="27">
        <f>IFERROR(VLOOKUP(Tabela48[[#This Row],[Entrega]],cálculos!$B$3:$C$7,2,0),0)</f>
        <v>0</v>
      </c>
      <c r="L20" s="27">
        <f>Tabela48[[#This Row],[SubTotal]]*(1-Tabela48[[#This Row],[Desconto]])+Tabela48[[#This Row],[Valor da Entrega]]</f>
        <v>0</v>
      </c>
      <c r="M20" s="28">
        <f>IF(Tabela48[[#This Row],[Id da Venda]]=B21,"",SUMIF(Tabela48[Id da Venda],Tabela48[[#This Row],[Id da Venda]],Tabela48[Total]))</f>
        <v>0</v>
      </c>
    </row>
    <row r="21" spans="2:13" x14ac:dyDescent="0.25">
      <c r="B21" s="25">
        <f t="shared" si="0"/>
        <v>7</v>
      </c>
      <c r="C21" s="31"/>
      <c r="D21" s="26"/>
      <c r="E21" s="26" t="str">
        <f>IFERROR(VLOOKUP(Tabela48[[#This Row],[Produtos]],cálculos!$E$3:$H$26,4,0),"")</f>
        <v/>
      </c>
      <c r="F21" s="26"/>
      <c r="G21" s="27">
        <f>IFERROR(VLOOKUP(Tabela48[[#This Row],[Produtos]],cálculos!$E$3:$H$26,2,0),0)</f>
        <v>0</v>
      </c>
      <c r="H21" s="27">
        <f>Tabela48[[#This Row],[Preço Unitário]]*Tabela48[[#This Row],[Quantidade]]</f>
        <v>0</v>
      </c>
      <c r="I21" s="107"/>
      <c r="J21" s="26"/>
      <c r="K21" s="27">
        <f>IFERROR(VLOOKUP(Tabela48[[#This Row],[Entrega]],cálculos!$B$3:$C$7,2,0),0)</f>
        <v>0</v>
      </c>
      <c r="L21" s="27">
        <f>Tabela48[[#This Row],[SubTotal]]*(1-Tabela48[[#This Row],[Desconto]])+Tabela48[[#This Row],[Valor da Entrega]]</f>
        <v>0</v>
      </c>
      <c r="M21" s="28">
        <f>IF(Tabela48[[#This Row],[Id da Venda]]=B22,"",SUMIF(Tabela48[Id da Venda],Tabela48[[#This Row],[Id da Venda]],Tabela48[Total]))</f>
        <v>0</v>
      </c>
    </row>
    <row r="22" spans="2:13" x14ac:dyDescent="0.25">
      <c r="B22" s="25">
        <f t="shared" si="0"/>
        <v>6</v>
      </c>
      <c r="C22" s="31"/>
      <c r="D22" s="26"/>
      <c r="E22" s="26" t="str">
        <f>IFERROR(VLOOKUP(Tabela48[[#This Row],[Produtos]],cálculos!$E$3:$H$26,4,0),"")</f>
        <v/>
      </c>
      <c r="F22" s="26"/>
      <c r="G22" s="27">
        <f>IFERROR(VLOOKUP(Tabela48[[#This Row],[Produtos]],cálculos!$E$3:$H$26,2,0),0)</f>
        <v>0</v>
      </c>
      <c r="H22" s="27">
        <f>Tabela48[[#This Row],[Preço Unitário]]*Tabela48[[#This Row],[Quantidade]]</f>
        <v>0</v>
      </c>
      <c r="I22" s="107"/>
      <c r="J22" s="26"/>
      <c r="K22" s="27">
        <f>IFERROR(VLOOKUP(Tabela48[[#This Row],[Entrega]],cálculos!$B$3:$C$7,2,0),0)</f>
        <v>0</v>
      </c>
      <c r="L22" s="27">
        <f>Tabela48[[#This Row],[SubTotal]]*(1-Tabela48[[#This Row],[Desconto]])+Tabela48[[#This Row],[Valor da Entrega]]</f>
        <v>0</v>
      </c>
      <c r="M22" s="28">
        <f>IF(Tabela48[[#This Row],[Id da Venda]]=B23,"",SUMIF(Tabela48[Id da Venda],Tabela48[[#This Row],[Id da Venda]],Tabela48[Total]))</f>
        <v>0</v>
      </c>
    </row>
    <row r="23" spans="2:13" x14ac:dyDescent="0.25">
      <c r="B23" s="25">
        <f t="shared" si="0"/>
        <v>5</v>
      </c>
      <c r="C23" s="31"/>
      <c r="D23" s="26"/>
      <c r="E23" s="26" t="str">
        <f>IFERROR(VLOOKUP(Tabela48[[#This Row],[Produtos]],cálculos!$E$3:$H$26,4,0),"")</f>
        <v/>
      </c>
      <c r="F23" s="26"/>
      <c r="G23" s="27">
        <f>IFERROR(VLOOKUP(Tabela48[[#This Row],[Produtos]],cálculos!$E$3:$H$26,2,0),0)</f>
        <v>0</v>
      </c>
      <c r="H23" s="27">
        <f>Tabela48[[#This Row],[Preço Unitário]]*Tabela48[[#This Row],[Quantidade]]</f>
        <v>0</v>
      </c>
      <c r="I23" s="107"/>
      <c r="J23" s="26"/>
      <c r="K23" s="27">
        <f>IFERROR(VLOOKUP(Tabela48[[#This Row],[Entrega]],cálculos!$B$3:$C$7,2,0),0)</f>
        <v>0</v>
      </c>
      <c r="L23" s="27">
        <f>Tabela48[[#This Row],[SubTotal]]*(1-Tabela48[[#This Row],[Desconto]])+Tabela48[[#This Row],[Valor da Entrega]]</f>
        <v>0</v>
      </c>
      <c r="M23" s="28">
        <f>IF(Tabela48[[#This Row],[Id da Venda]]=B24,"",SUMIF(Tabela48[Id da Venda],Tabela48[[#This Row],[Id da Venda]],Tabela48[Total]))</f>
        <v>0</v>
      </c>
    </row>
    <row r="24" spans="2:13" x14ac:dyDescent="0.25">
      <c r="B24" s="25">
        <f t="shared" si="0"/>
        <v>4</v>
      </c>
      <c r="C24" s="31"/>
      <c r="D24" s="26"/>
      <c r="E24" s="26" t="str">
        <f>IFERROR(VLOOKUP(Tabela48[[#This Row],[Produtos]],cálculos!$E$3:$H$26,4,0),"")</f>
        <v/>
      </c>
      <c r="F24" s="26"/>
      <c r="G24" s="27">
        <f>IFERROR(VLOOKUP(Tabela48[[#This Row],[Produtos]],cálculos!$E$3:$H$26,2,0),0)</f>
        <v>0</v>
      </c>
      <c r="H24" s="27">
        <f>Tabela48[[#This Row],[Preço Unitário]]*Tabela48[[#This Row],[Quantidade]]</f>
        <v>0</v>
      </c>
      <c r="I24" s="107"/>
      <c r="J24" s="26"/>
      <c r="K24" s="27">
        <f>IFERROR(VLOOKUP(Tabela48[[#This Row],[Entrega]],cálculos!$B$3:$C$7,2,0),0)</f>
        <v>0</v>
      </c>
      <c r="L24" s="27">
        <f>Tabela48[[#This Row],[SubTotal]]*(1-Tabela48[[#This Row],[Desconto]])+Tabela48[[#This Row],[Valor da Entrega]]</f>
        <v>0</v>
      </c>
      <c r="M24" s="28">
        <f>IF(Tabela48[[#This Row],[Id da Venda]]=B25,"",SUMIF(Tabela48[Id da Venda],Tabela48[[#This Row],[Id da Venda]],Tabela48[Total]))</f>
        <v>0</v>
      </c>
    </row>
    <row r="25" spans="2:13" x14ac:dyDescent="0.25">
      <c r="B25" s="25">
        <f t="shared" si="0"/>
        <v>3</v>
      </c>
      <c r="C25" s="31"/>
      <c r="D25" s="26"/>
      <c r="E25" s="26" t="str">
        <f>IFERROR(VLOOKUP(Tabela48[[#This Row],[Produtos]],cálculos!$E$3:$H$26,4,0),"")</f>
        <v/>
      </c>
      <c r="F25" s="26"/>
      <c r="G25" s="27">
        <f>IFERROR(VLOOKUP(Tabela48[[#This Row],[Produtos]],cálculos!$E$3:$H$26,2,0),0)</f>
        <v>0</v>
      </c>
      <c r="H25" s="27">
        <f>Tabela48[[#This Row],[Preço Unitário]]*Tabela48[[#This Row],[Quantidade]]</f>
        <v>0</v>
      </c>
      <c r="I25" s="107"/>
      <c r="J25" s="26"/>
      <c r="K25" s="27">
        <f>IFERROR(VLOOKUP(Tabela48[[#This Row],[Entrega]],cálculos!$B$3:$C$7,2,0),0)</f>
        <v>0</v>
      </c>
      <c r="L25" s="27">
        <f>Tabela48[[#This Row],[SubTotal]]*(1-Tabela48[[#This Row],[Desconto]])+Tabela48[[#This Row],[Valor da Entrega]]</f>
        <v>0</v>
      </c>
      <c r="M25" s="28">
        <f>IF(Tabela48[[#This Row],[Id da Venda]]=B26,"",SUMIF(Tabela48[Id da Venda],Tabela48[[#This Row],[Id da Venda]],Tabela48[Total]))</f>
        <v>0</v>
      </c>
    </row>
    <row r="26" spans="2:13" x14ac:dyDescent="0.25">
      <c r="B26" s="25">
        <f t="shared" si="0"/>
        <v>2</v>
      </c>
      <c r="C26" s="31"/>
      <c r="D26" s="26"/>
      <c r="E26" s="26" t="str">
        <f>IFERROR(VLOOKUP(Tabela48[[#This Row],[Produtos]],cálculos!$E$3:$H$26,4,0),"")</f>
        <v/>
      </c>
      <c r="F26" s="26"/>
      <c r="G26" s="27">
        <f>IFERROR(VLOOKUP(Tabela48[[#This Row],[Produtos]],cálculos!$E$3:$H$26,2,0),0)</f>
        <v>0</v>
      </c>
      <c r="H26" s="27">
        <f>Tabela48[[#This Row],[Preço Unitário]]*Tabela48[[#This Row],[Quantidade]]</f>
        <v>0</v>
      </c>
      <c r="I26" s="107"/>
      <c r="J26" s="26"/>
      <c r="K26" s="27">
        <f>IFERROR(VLOOKUP(Tabela48[[#This Row],[Entrega]],cálculos!$B$3:$C$7,2,0),0)</f>
        <v>0</v>
      </c>
      <c r="L26" s="27">
        <f>Tabela48[[#This Row],[SubTotal]]*(1-Tabela48[[#This Row],[Desconto]])+Tabela48[[#This Row],[Valor da Entrega]]</f>
        <v>0</v>
      </c>
      <c r="M26" s="28">
        <f>IF(Tabela48[[#This Row],[Id da Venda]]=B27,"",SUMIF(Tabela48[Id da Venda],Tabela48[[#This Row],[Id da Venda]],Tabela48[Total]))</f>
        <v>0</v>
      </c>
    </row>
    <row r="27" spans="2:13" x14ac:dyDescent="0.25">
      <c r="B27" s="33">
        <f t="shared" si="0"/>
        <v>1</v>
      </c>
      <c r="C27" s="108"/>
      <c r="D27" s="35"/>
      <c r="E27" s="35" t="str">
        <f>IFERROR(VLOOKUP(Tabela48[[#This Row],[Produtos]],cálculos!$E$3:$H$26,4,0),"")</f>
        <v/>
      </c>
      <c r="F27" s="35"/>
      <c r="G27" s="109">
        <f>IFERROR(VLOOKUP(Tabela48[[#This Row],[Produtos]],cálculos!$E$3:$H$26,2,0),0)</f>
        <v>0</v>
      </c>
      <c r="H27" s="109">
        <f>Tabela48[[#This Row],[Preço Unitário]]*Tabela48[[#This Row],[Quantidade]]</f>
        <v>0</v>
      </c>
      <c r="I27" s="110"/>
      <c r="J27" s="35"/>
      <c r="K27" s="109">
        <f>IFERROR(VLOOKUP(Tabela48[[#This Row],[Entrega]],cálculos!$B$3:$C$7,2,0),0)</f>
        <v>0</v>
      </c>
      <c r="L27" s="109">
        <f>Tabela48[[#This Row],[SubTotal]]*(1-Tabela48[[#This Row],[Desconto]])+Tabela48[[#This Row],[Valor da Entrega]]</f>
        <v>0</v>
      </c>
      <c r="M27" s="37">
        <f>IF(Tabela48[[#This Row],[Id da Venda]]=B28,"",SUMIF(Tabela48[Id da Venda],Tabela48[[#This Row],[Id da Venda]],Tabela48[Total]))</f>
        <v>0</v>
      </c>
    </row>
    <row r="29" spans="2:13" ht="21.75" thickBot="1" x14ac:dyDescent="0.4">
      <c r="B29" s="100" t="s">
        <v>107</v>
      </c>
      <c r="C29" s="100"/>
      <c r="D29" s="100"/>
      <c r="E29" s="101"/>
      <c r="F29" s="101"/>
      <c r="G29" s="101"/>
      <c r="H29" s="101"/>
      <c r="I29" s="101"/>
      <c r="J29" s="101"/>
      <c r="K29" s="101"/>
      <c r="L29" s="102">
        <f>SUM(Tabela48[Valor da Entrega])</f>
        <v>0</v>
      </c>
    </row>
    <row r="30" spans="2:13" ht="21.75" thickBot="1" x14ac:dyDescent="0.4">
      <c r="B30" s="104" t="s">
        <v>120</v>
      </c>
      <c r="C30" s="105"/>
      <c r="D30" s="105"/>
      <c r="E30" s="105"/>
      <c r="F30" s="105"/>
      <c r="G30" s="105"/>
      <c r="H30" s="105"/>
      <c r="I30" s="105"/>
      <c r="J30" s="105"/>
      <c r="K30" s="105"/>
      <c r="L30" s="106">
        <f>SUM(Tabela48[Total])</f>
        <v>0</v>
      </c>
    </row>
    <row r="31" spans="2:13" ht="21" x14ac:dyDescent="0.35">
      <c r="B31" s="99" t="s">
        <v>121</v>
      </c>
      <c r="L31" s="103">
        <f>SUM(IF(FREQUENCY(Tabela48[Id da Venda],Tabela48[Id da Venda])&gt;0,1))</f>
        <v>23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1000000}">
          <x14:formula1>
            <xm:f>cálculos!$B$3:$B$7</xm:f>
          </x14:formula1>
          <xm:sqref>J5:J27</xm:sqref>
        </x14:dataValidation>
        <x14:dataValidation type="list" allowBlank="1" showInputMessage="1" showErrorMessage="1" xr:uid="{00000000-0002-0000-0B00-000000000000}">
          <x14:formula1>
            <xm:f>cálculos!$E$3:$E$26</xm:f>
          </x14:formula1>
          <xm:sqref>D5:D27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3"/>
  <dimension ref="A2:M32"/>
  <sheetViews>
    <sheetView showGridLines="0" zoomScaleNormal="100" workbookViewId="0">
      <selection activeCell="B3" sqref="B3"/>
    </sheetView>
  </sheetViews>
  <sheetFormatPr defaultRowHeight="15" x14ac:dyDescent="0.25"/>
  <cols>
    <col min="1" max="1" width="21.710937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3" s="69" customFormat="1" ht="36.75" customHeight="1" x14ac:dyDescent="0.55000000000000004">
      <c r="A2" s="66"/>
      <c r="B2" s="67" t="s">
        <v>146</v>
      </c>
      <c r="C2" s="68"/>
    </row>
    <row r="3" spans="1:13" ht="32.25" customHeight="1" x14ac:dyDescent="0.25"/>
    <row r="4" spans="1:13" x14ac:dyDescent="0.25">
      <c r="B4" s="22" t="s">
        <v>60</v>
      </c>
      <c r="C4" s="23" t="s">
        <v>106</v>
      </c>
      <c r="D4" s="23" t="s">
        <v>59</v>
      </c>
      <c r="E4" s="23" t="s">
        <v>78</v>
      </c>
      <c r="F4" s="23" t="s">
        <v>56</v>
      </c>
      <c r="G4" s="23" t="s">
        <v>57</v>
      </c>
      <c r="H4" s="23" t="s">
        <v>61</v>
      </c>
      <c r="I4" s="23" t="s">
        <v>58</v>
      </c>
      <c r="J4" s="23" t="s">
        <v>63</v>
      </c>
      <c r="K4" s="23" t="s">
        <v>105</v>
      </c>
      <c r="L4" s="23" t="s">
        <v>62</v>
      </c>
      <c r="M4" s="24" t="s">
        <v>108</v>
      </c>
    </row>
    <row r="5" spans="1:13" x14ac:dyDescent="0.25">
      <c r="B5" s="25">
        <f>B6+1</f>
        <v>24</v>
      </c>
      <c r="C5" s="31"/>
      <c r="D5" s="26"/>
      <c r="E5" s="26" t="str">
        <f>IFERROR(VLOOKUP(Tabela4811[[#This Row],[Produtos]],cálculos!$E$3:$H$26,4,0),"")</f>
        <v/>
      </c>
      <c r="F5" s="26"/>
      <c r="G5" s="27">
        <f>IFERROR(VLOOKUP(Tabela4811[[#This Row],[Produtos]],cálculos!$E$3:$H$26,2,0),0)</f>
        <v>0</v>
      </c>
      <c r="H5" s="27">
        <f>Tabela4811[[#This Row],[Preço Unitário]]*Tabela4811[[#This Row],[Quantidade]]</f>
        <v>0</v>
      </c>
      <c r="I5" s="107"/>
      <c r="J5" s="26"/>
      <c r="K5" s="27">
        <f>IFERROR(VLOOKUP(Tabela4811[[#This Row],[Entrega]],cálculos!$B$3:$C$7,2,0),0)</f>
        <v>0</v>
      </c>
      <c r="L5" s="27">
        <f>Tabela4811[[#This Row],[SubTotal]]*(1-Tabela4811[[#This Row],[Desconto]])+Tabela4811[[#This Row],[Valor da Entrega]]</f>
        <v>0</v>
      </c>
      <c r="M5" s="28">
        <f>IF(Tabela4811[[#This Row],[Id da Venda]]=B6,"",SUMIF(Tabela4811[Id da Venda],Tabela4811[[#This Row],[Id da Venda]],Tabela4811[Total]))</f>
        <v>0</v>
      </c>
    </row>
    <row r="6" spans="1:13" x14ac:dyDescent="0.25">
      <c r="B6" s="25">
        <f t="shared" ref="B6:B28" si="0">B7+1</f>
        <v>23</v>
      </c>
      <c r="C6" s="31"/>
      <c r="D6" s="26"/>
      <c r="E6" s="26" t="str">
        <f>IFERROR(VLOOKUP(Tabela4811[[#This Row],[Produtos]],cálculos!$E$3:$H$26,4,0),"")</f>
        <v/>
      </c>
      <c r="F6" s="26"/>
      <c r="G6" s="27">
        <f>IFERROR(VLOOKUP(Tabela4811[[#This Row],[Produtos]],cálculos!$E$3:$H$26,2,0),0)</f>
        <v>0</v>
      </c>
      <c r="H6" s="27">
        <f>Tabela4811[[#This Row],[Preço Unitário]]*Tabela4811[[#This Row],[Quantidade]]</f>
        <v>0</v>
      </c>
      <c r="I6" s="107"/>
      <c r="J6" s="26"/>
      <c r="K6" s="27">
        <f>IFERROR(VLOOKUP(Tabela4811[[#This Row],[Entrega]],cálculos!$B$3:$C$7,2,0),0)</f>
        <v>0</v>
      </c>
      <c r="L6" s="27">
        <f>Tabela4811[[#This Row],[SubTotal]]*(1-Tabela4811[[#This Row],[Desconto]])+Tabela4811[[#This Row],[Valor da Entrega]]</f>
        <v>0</v>
      </c>
      <c r="M6" s="28">
        <f>IF(Tabela4811[[#This Row],[Id da Venda]]=B7,"",SUMIF(Tabela4811[Id da Venda],Tabela4811[[#This Row],[Id da Venda]],Tabela4811[Total]))</f>
        <v>0</v>
      </c>
    </row>
    <row r="7" spans="1:13" x14ac:dyDescent="0.25">
      <c r="B7" s="25">
        <f t="shared" si="0"/>
        <v>22</v>
      </c>
      <c r="C7" s="31"/>
      <c r="D7" s="26"/>
      <c r="E7" s="26" t="str">
        <f>IFERROR(VLOOKUP(Tabela4811[[#This Row],[Produtos]],cálculos!$E$3:$H$26,4,0),"")</f>
        <v/>
      </c>
      <c r="F7" s="26"/>
      <c r="G7" s="27">
        <f>IFERROR(VLOOKUP(Tabela4811[[#This Row],[Produtos]],cálculos!$E$3:$H$26,2,0),0)</f>
        <v>0</v>
      </c>
      <c r="H7" s="27">
        <f>Tabela4811[[#This Row],[Preço Unitário]]*Tabela4811[[#This Row],[Quantidade]]</f>
        <v>0</v>
      </c>
      <c r="I7" s="107"/>
      <c r="J7" s="26"/>
      <c r="K7" s="27">
        <f>IFERROR(VLOOKUP(Tabela4811[[#This Row],[Entrega]],cálculos!$B$3:$C$7,2,0),0)</f>
        <v>0</v>
      </c>
      <c r="L7" s="27">
        <f>Tabela4811[[#This Row],[SubTotal]]*(1-Tabela4811[[#This Row],[Desconto]])+Tabela4811[[#This Row],[Valor da Entrega]]</f>
        <v>0</v>
      </c>
      <c r="M7" s="28">
        <f>IF(Tabela4811[[#This Row],[Id da Venda]]=B8,"",SUMIF(Tabela4811[Id da Venda],Tabela4811[[#This Row],[Id da Venda]],Tabela4811[Total]))</f>
        <v>0</v>
      </c>
    </row>
    <row r="8" spans="1:13" x14ac:dyDescent="0.25">
      <c r="B8" s="25">
        <f t="shared" si="0"/>
        <v>21</v>
      </c>
      <c r="C8" s="31"/>
      <c r="D8" s="26"/>
      <c r="E8" s="26" t="str">
        <f>IFERROR(VLOOKUP(Tabela4811[[#This Row],[Produtos]],cálculos!$E$3:$H$26,4,0),"")</f>
        <v/>
      </c>
      <c r="F8" s="26"/>
      <c r="G8" s="27">
        <f>IFERROR(VLOOKUP(Tabela4811[[#This Row],[Produtos]],cálculos!$E$3:$H$26,2,0),0)</f>
        <v>0</v>
      </c>
      <c r="H8" s="27">
        <f>Tabela4811[[#This Row],[Preço Unitário]]*Tabela4811[[#This Row],[Quantidade]]</f>
        <v>0</v>
      </c>
      <c r="I8" s="107"/>
      <c r="J8" s="26"/>
      <c r="K8" s="27">
        <f>IFERROR(VLOOKUP(Tabela4811[[#This Row],[Entrega]],cálculos!$B$3:$C$7,2,0),0)</f>
        <v>0</v>
      </c>
      <c r="L8" s="27">
        <f>Tabela4811[[#This Row],[SubTotal]]*(1-Tabela4811[[#This Row],[Desconto]])+Tabela4811[[#This Row],[Valor da Entrega]]</f>
        <v>0</v>
      </c>
      <c r="M8" s="28">
        <f>IF(Tabela4811[[#This Row],[Id da Venda]]=B9,"",SUMIF(Tabela4811[Id da Venda],Tabela4811[[#This Row],[Id da Venda]],Tabela4811[Total]))</f>
        <v>0</v>
      </c>
    </row>
    <row r="9" spans="1:13" x14ac:dyDescent="0.25">
      <c r="B9" s="25">
        <f t="shared" si="0"/>
        <v>20</v>
      </c>
      <c r="C9" s="31"/>
      <c r="D9" s="26"/>
      <c r="E9" s="26" t="str">
        <f>IFERROR(VLOOKUP(Tabela4811[[#This Row],[Produtos]],cálculos!$E$3:$H$26,4,0),"")</f>
        <v/>
      </c>
      <c r="F9" s="26"/>
      <c r="G9" s="27">
        <f>IFERROR(VLOOKUP(Tabela4811[[#This Row],[Produtos]],cálculos!$E$3:$H$26,2,0),0)</f>
        <v>0</v>
      </c>
      <c r="H9" s="27">
        <f>Tabela4811[[#This Row],[Preço Unitário]]*Tabela4811[[#This Row],[Quantidade]]</f>
        <v>0</v>
      </c>
      <c r="I9" s="107"/>
      <c r="J9" s="26"/>
      <c r="K9" s="27">
        <f>IFERROR(VLOOKUP(Tabela4811[[#This Row],[Entrega]],cálculos!$B$3:$C$7,2,0),0)</f>
        <v>0</v>
      </c>
      <c r="L9" s="27">
        <f>Tabela4811[[#This Row],[SubTotal]]*(1-Tabela4811[[#This Row],[Desconto]])+Tabela4811[[#This Row],[Valor da Entrega]]</f>
        <v>0</v>
      </c>
      <c r="M9" s="28">
        <f>IF(Tabela4811[[#This Row],[Id da Venda]]=B10,"",SUMIF(Tabela4811[Id da Venda],Tabela4811[[#This Row],[Id da Venda]],Tabela4811[Total]))</f>
        <v>0</v>
      </c>
    </row>
    <row r="10" spans="1:13" x14ac:dyDescent="0.25">
      <c r="B10" s="25">
        <f t="shared" si="0"/>
        <v>19</v>
      </c>
      <c r="C10" s="31"/>
      <c r="D10" s="26"/>
      <c r="E10" s="26" t="str">
        <f>IFERROR(VLOOKUP(Tabela4811[[#This Row],[Produtos]],cálculos!$E$3:$H$26,4,0),"")</f>
        <v/>
      </c>
      <c r="F10" s="26"/>
      <c r="G10" s="27">
        <f>IFERROR(VLOOKUP(Tabela4811[[#This Row],[Produtos]],cálculos!$E$3:$H$26,2,0),0)</f>
        <v>0</v>
      </c>
      <c r="H10" s="27">
        <f>Tabela4811[[#This Row],[Preço Unitário]]*Tabela4811[[#This Row],[Quantidade]]</f>
        <v>0</v>
      </c>
      <c r="I10" s="107"/>
      <c r="J10" s="26"/>
      <c r="K10" s="27">
        <f>IFERROR(VLOOKUP(Tabela4811[[#This Row],[Entrega]],cálculos!$B$3:$C$7,2,0),0)</f>
        <v>0</v>
      </c>
      <c r="L10" s="27">
        <f>Tabela4811[[#This Row],[SubTotal]]*(1-Tabela4811[[#This Row],[Desconto]])+Tabela4811[[#This Row],[Valor da Entrega]]</f>
        <v>0</v>
      </c>
      <c r="M10" s="28">
        <f>IF(Tabela4811[[#This Row],[Id da Venda]]=B11,"",SUMIF(Tabela4811[Id da Venda],Tabela4811[[#This Row],[Id da Venda]],Tabela4811[Total]))</f>
        <v>0</v>
      </c>
    </row>
    <row r="11" spans="1:13" x14ac:dyDescent="0.25">
      <c r="B11" s="25">
        <f t="shared" si="0"/>
        <v>18</v>
      </c>
      <c r="C11" s="31"/>
      <c r="D11" s="26"/>
      <c r="E11" s="26" t="str">
        <f>IFERROR(VLOOKUP(Tabela4811[[#This Row],[Produtos]],cálculos!$E$3:$H$26,4,0),"")</f>
        <v/>
      </c>
      <c r="F11" s="26"/>
      <c r="G11" s="27">
        <f>IFERROR(VLOOKUP(Tabela4811[[#This Row],[Produtos]],cálculos!$E$3:$H$26,2,0),0)</f>
        <v>0</v>
      </c>
      <c r="H11" s="27">
        <f>Tabela4811[[#This Row],[Preço Unitário]]*Tabela4811[[#This Row],[Quantidade]]</f>
        <v>0</v>
      </c>
      <c r="I11" s="107"/>
      <c r="J11" s="26"/>
      <c r="K11" s="27">
        <f>IFERROR(VLOOKUP(Tabela4811[[#This Row],[Entrega]],cálculos!$B$3:$C$7,2,0),0)</f>
        <v>0</v>
      </c>
      <c r="L11" s="27">
        <f>Tabela4811[[#This Row],[SubTotal]]*(1-Tabela4811[[#This Row],[Desconto]])+Tabela4811[[#This Row],[Valor da Entrega]]</f>
        <v>0</v>
      </c>
      <c r="M11" s="28">
        <f>IF(Tabela4811[[#This Row],[Id da Venda]]=B12,"",SUMIF(Tabela4811[Id da Venda],Tabela4811[[#This Row],[Id da Venda]],Tabela4811[Total]))</f>
        <v>0</v>
      </c>
    </row>
    <row r="12" spans="1:13" x14ac:dyDescent="0.25">
      <c r="B12" s="25">
        <f t="shared" si="0"/>
        <v>17</v>
      </c>
      <c r="C12" s="31"/>
      <c r="D12" s="26"/>
      <c r="E12" s="26" t="str">
        <f>IFERROR(VLOOKUP(Tabela4811[[#This Row],[Produtos]],cálculos!$E$3:$H$26,4,0),"")</f>
        <v/>
      </c>
      <c r="F12" s="26"/>
      <c r="G12" s="27">
        <f>IFERROR(VLOOKUP(Tabela4811[[#This Row],[Produtos]],cálculos!$E$3:$H$26,2,0),0)</f>
        <v>0</v>
      </c>
      <c r="H12" s="27">
        <f>Tabela4811[[#This Row],[Preço Unitário]]*Tabela4811[[#This Row],[Quantidade]]</f>
        <v>0</v>
      </c>
      <c r="I12" s="107"/>
      <c r="J12" s="26"/>
      <c r="K12" s="27">
        <f>IFERROR(VLOOKUP(Tabela4811[[#This Row],[Entrega]],cálculos!$B$3:$C$7,2,0),0)</f>
        <v>0</v>
      </c>
      <c r="L12" s="27">
        <f>Tabela4811[[#This Row],[SubTotal]]*(1-Tabela4811[[#This Row],[Desconto]])+Tabela4811[[#This Row],[Valor da Entrega]]</f>
        <v>0</v>
      </c>
      <c r="M12" s="28">
        <f>IF(Tabela4811[[#This Row],[Id da Venda]]=B13,"",SUMIF(Tabela4811[Id da Venda],Tabela4811[[#This Row],[Id da Venda]],Tabela4811[Total]))</f>
        <v>0</v>
      </c>
    </row>
    <row r="13" spans="1:13" x14ac:dyDescent="0.25">
      <c r="B13" s="25">
        <f t="shared" si="0"/>
        <v>16</v>
      </c>
      <c r="C13" s="31"/>
      <c r="D13" s="26"/>
      <c r="E13" s="26" t="str">
        <f>IFERROR(VLOOKUP(Tabela4811[[#This Row],[Produtos]],cálculos!$E$3:$H$26,4,0),"")</f>
        <v/>
      </c>
      <c r="F13" s="26"/>
      <c r="G13" s="27">
        <f>IFERROR(VLOOKUP(Tabela4811[[#This Row],[Produtos]],cálculos!$E$3:$H$26,2,0),0)</f>
        <v>0</v>
      </c>
      <c r="H13" s="27">
        <f>Tabela4811[[#This Row],[Preço Unitário]]*Tabela4811[[#This Row],[Quantidade]]</f>
        <v>0</v>
      </c>
      <c r="I13" s="107"/>
      <c r="J13" s="26"/>
      <c r="K13" s="27">
        <f>IFERROR(VLOOKUP(Tabela4811[[#This Row],[Entrega]],cálculos!$B$3:$C$7,2,0),0)</f>
        <v>0</v>
      </c>
      <c r="L13" s="27">
        <f>Tabela4811[[#This Row],[SubTotal]]*(1-Tabela4811[[#This Row],[Desconto]])+Tabela4811[[#This Row],[Valor da Entrega]]</f>
        <v>0</v>
      </c>
      <c r="M13" s="28">
        <f>IF(Tabela4811[[#This Row],[Id da Venda]]=B14,"",SUMIF(Tabela4811[Id da Venda],Tabela4811[[#This Row],[Id da Venda]],Tabela4811[Total]))</f>
        <v>0</v>
      </c>
    </row>
    <row r="14" spans="1:13" x14ac:dyDescent="0.25">
      <c r="B14" s="25">
        <f t="shared" si="0"/>
        <v>15</v>
      </c>
      <c r="C14" s="31"/>
      <c r="D14" s="26"/>
      <c r="E14" s="26" t="str">
        <f>IFERROR(VLOOKUP(Tabela4811[[#This Row],[Produtos]],cálculos!$E$3:$H$26,4,0),"")</f>
        <v/>
      </c>
      <c r="F14" s="26"/>
      <c r="G14" s="27">
        <f>IFERROR(VLOOKUP(Tabela4811[[#This Row],[Produtos]],cálculos!$E$3:$H$26,2,0),0)</f>
        <v>0</v>
      </c>
      <c r="H14" s="27">
        <f>Tabela4811[[#This Row],[Preço Unitário]]*Tabela4811[[#This Row],[Quantidade]]</f>
        <v>0</v>
      </c>
      <c r="I14" s="107"/>
      <c r="J14" s="26"/>
      <c r="K14" s="27">
        <f>IFERROR(VLOOKUP(Tabela4811[[#This Row],[Entrega]],cálculos!$B$3:$C$7,2,0),0)</f>
        <v>0</v>
      </c>
      <c r="L14" s="27">
        <f>Tabela4811[[#This Row],[SubTotal]]*(1-Tabela4811[[#This Row],[Desconto]])+Tabela4811[[#This Row],[Valor da Entrega]]</f>
        <v>0</v>
      </c>
      <c r="M14" s="28">
        <f>IF(Tabela4811[[#This Row],[Id da Venda]]=B15,"",SUMIF(Tabela4811[Id da Venda],Tabela4811[[#This Row],[Id da Venda]],Tabela4811[Total]))</f>
        <v>0</v>
      </c>
    </row>
    <row r="15" spans="1:13" x14ac:dyDescent="0.25">
      <c r="B15" s="25">
        <f t="shared" si="0"/>
        <v>14</v>
      </c>
      <c r="C15" s="31"/>
      <c r="D15" s="26"/>
      <c r="E15" s="26" t="str">
        <f>IFERROR(VLOOKUP(Tabela4811[[#This Row],[Produtos]],cálculos!$E$3:$H$26,4,0),"")</f>
        <v/>
      </c>
      <c r="F15" s="26"/>
      <c r="G15" s="27">
        <f>IFERROR(VLOOKUP(Tabela4811[[#This Row],[Produtos]],cálculos!$E$3:$H$26,2,0),0)</f>
        <v>0</v>
      </c>
      <c r="H15" s="27">
        <f>Tabela4811[[#This Row],[Preço Unitário]]*Tabela4811[[#This Row],[Quantidade]]</f>
        <v>0</v>
      </c>
      <c r="I15" s="107"/>
      <c r="J15" s="26"/>
      <c r="K15" s="27">
        <f>IFERROR(VLOOKUP(Tabela4811[[#This Row],[Entrega]],cálculos!$B$3:$C$7,2,0),0)</f>
        <v>0</v>
      </c>
      <c r="L15" s="27">
        <f>Tabela4811[[#This Row],[SubTotal]]*(1-Tabela4811[[#This Row],[Desconto]])+Tabela4811[[#This Row],[Valor da Entrega]]</f>
        <v>0</v>
      </c>
      <c r="M15" s="28">
        <f>IF(Tabela4811[[#This Row],[Id da Venda]]=B16,"",SUMIF(Tabela4811[Id da Venda],Tabela4811[[#This Row],[Id da Venda]],Tabela4811[Total]))</f>
        <v>0</v>
      </c>
    </row>
    <row r="16" spans="1:13" x14ac:dyDescent="0.25">
      <c r="B16" s="25">
        <f t="shared" si="0"/>
        <v>13</v>
      </c>
      <c r="C16" s="31"/>
      <c r="D16" s="26"/>
      <c r="E16" s="26" t="str">
        <f>IFERROR(VLOOKUP(Tabela4811[[#This Row],[Produtos]],cálculos!$E$3:$H$26,4,0),"")</f>
        <v/>
      </c>
      <c r="F16" s="26"/>
      <c r="G16" s="27">
        <f>IFERROR(VLOOKUP(Tabela4811[[#This Row],[Produtos]],cálculos!$E$3:$H$26,2,0),0)</f>
        <v>0</v>
      </c>
      <c r="H16" s="27">
        <f>Tabela4811[[#This Row],[Preço Unitário]]*Tabela4811[[#This Row],[Quantidade]]</f>
        <v>0</v>
      </c>
      <c r="I16" s="107"/>
      <c r="J16" s="26"/>
      <c r="K16" s="27">
        <f>IFERROR(VLOOKUP(Tabela4811[[#This Row],[Entrega]],cálculos!$B$3:$C$7,2,0),0)</f>
        <v>0</v>
      </c>
      <c r="L16" s="27">
        <f>Tabela4811[[#This Row],[SubTotal]]*(1-Tabela4811[[#This Row],[Desconto]])+Tabela4811[[#This Row],[Valor da Entrega]]</f>
        <v>0</v>
      </c>
      <c r="M16" s="28">
        <f>IF(Tabela4811[[#This Row],[Id da Venda]]=B17,"",SUMIF(Tabela4811[Id da Venda],Tabela4811[[#This Row],[Id da Venda]],Tabela4811[Total]))</f>
        <v>0</v>
      </c>
    </row>
    <row r="17" spans="2:13" x14ac:dyDescent="0.25">
      <c r="B17" s="25">
        <f t="shared" si="0"/>
        <v>12</v>
      </c>
      <c r="C17" s="31"/>
      <c r="D17" s="26"/>
      <c r="E17" s="26" t="str">
        <f>IFERROR(VLOOKUP(Tabela4811[[#This Row],[Produtos]],cálculos!$E$3:$H$26,4,0),"")</f>
        <v/>
      </c>
      <c r="F17" s="26"/>
      <c r="G17" s="27">
        <f>IFERROR(VLOOKUP(Tabela4811[[#This Row],[Produtos]],cálculos!$E$3:$H$26,2,0),0)</f>
        <v>0</v>
      </c>
      <c r="H17" s="27">
        <f>Tabela4811[[#This Row],[Preço Unitário]]*Tabela4811[[#This Row],[Quantidade]]</f>
        <v>0</v>
      </c>
      <c r="I17" s="107"/>
      <c r="J17" s="26"/>
      <c r="K17" s="27">
        <f>IFERROR(VLOOKUP(Tabela4811[[#This Row],[Entrega]],cálculos!$B$3:$C$7,2,0),0)</f>
        <v>0</v>
      </c>
      <c r="L17" s="27">
        <f>Tabela4811[[#This Row],[SubTotal]]*(1-Tabela4811[[#This Row],[Desconto]])+Tabela4811[[#This Row],[Valor da Entrega]]</f>
        <v>0</v>
      </c>
      <c r="M17" s="28">
        <f>IF(Tabela4811[[#This Row],[Id da Venda]]=B18,"",SUMIF(Tabela4811[Id da Venda],Tabela4811[[#This Row],[Id da Venda]],Tabela4811[Total]))</f>
        <v>0</v>
      </c>
    </row>
    <row r="18" spans="2:13" x14ac:dyDescent="0.25">
      <c r="B18" s="25">
        <f t="shared" si="0"/>
        <v>11</v>
      </c>
      <c r="C18" s="31"/>
      <c r="D18" s="26"/>
      <c r="E18" s="26" t="str">
        <f>IFERROR(VLOOKUP(Tabela4811[[#This Row],[Produtos]],cálculos!$E$3:$H$26,4,0),"")</f>
        <v/>
      </c>
      <c r="F18" s="26"/>
      <c r="G18" s="27">
        <f>IFERROR(VLOOKUP(Tabela4811[[#This Row],[Produtos]],cálculos!$E$3:$H$26,2,0),0)</f>
        <v>0</v>
      </c>
      <c r="H18" s="27">
        <f>Tabela4811[[#This Row],[Preço Unitário]]*Tabela4811[[#This Row],[Quantidade]]</f>
        <v>0</v>
      </c>
      <c r="I18" s="107"/>
      <c r="J18" s="26"/>
      <c r="K18" s="27">
        <f>IFERROR(VLOOKUP(Tabela4811[[#This Row],[Entrega]],cálculos!$B$3:$C$7,2,0),0)</f>
        <v>0</v>
      </c>
      <c r="L18" s="27">
        <f>Tabela4811[[#This Row],[SubTotal]]*(1-Tabela4811[[#This Row],[Desconto]])+Tabela4811[[#This Row],[Valor da Entrega]]</f>
        <v>0</v>
      </c>
      <c r="M18" s="28">
        <f>IF(Tabela4811[[#This Row],[Id da Venda]]=B19,"",SUMIF(Tabela4811[Id da Venda],Tabela4811[[#This Row],[Id da Venda]],Tabela4811[Total]))</f>
        <v>0</v>
      </c>
    </row>
    <row r="19" spans="2:13" x14ac:dyDescent="0.25">
      <c r="B19" s="25">
        <f t="shared" si="0"/>
        <v>10</v>
      </c>
      <c r="C19" s="31"/>
      <c r="D19" s="26"/>
      <c r="E19" s="26" t="str">
        <f>IFERROR(VLOOKUP(Tabela4811[[#This Row],[Produtos]],cálculos!$E$3:$H$26,4,0),"")</f>
        <v/>
      </c>
      <c r="F19" s="26"/>
      <c r="G19" s="27">
        <f>IFERROR(VLOOKUP(Tabela4811[[#This Row],[Produtos]],cálculos!$E$3:$H$26,2,0),0)</f>
        <v>0</v>
      </c>
      <c r="H19" s="27">
        <f>Tabela4811[[#This Row],[Preço Unitário]]*Tabela4811[[#This Row],[Quantidade]]</f>
        <v>0</v>
      </c>
      <c r="I19" s="107"/>
      <c r="J19" s="26"/>
      <c r="K19" s="27">
        <f>IFERROR(VLOOKUP(Tabela4811[[#This Row],[Entrega]],cálculos!$B$3:$C$7,2,0),0)</f>
        <v>0</v>
      </c>
      <c r="L19" s="27">
        <f>Tabela4811[[#This Row],[SubTotal]]*(1-Tabela4811[[#This Row],[Desconto]])+Tabela4811[[#This Row],[Valor da Entrega]]</f>
        <v>0</v>
      </c>
      <c r="M19" s="28">
        <f>IF(Tabela4811[[#This Row],[Id da Venda]]=B20,"",SUMIF(Tabela4811[Id da Venda],Tabela4811[[#This Row],[Id da Venda]],Tabela4811[Total]))</f>
        <v>0</v>
      </c>
    </row>
    <row r="20" spans="2:13" x14ac:dyDescent="0.25">
      <c r="B20" s="25">
        <f t="shared" si="0"/>
        <v>9</v>
      </c>
      <c r="C20" s="31"/>
      <c r="D20" s="26"/>
      <c r="E20" s="26" t="str">
        <f>IFERROR(VLOOKUP(Tabela4811[[#This Row],[Produtos]],cálculos!$E$3:$H$26,4,0),"")</f>
        <v/>
      </c>
      <c r="F20" s="26"/>
      <c r="G20" s="27">
        <f>IFERROR(VLOOKUP(Tabela4811[[#This Row],[Produtos]],cálculos!$E$3:$H$26,2,0),0)</f>
        <v>0</v>
      </c>
      <c r="H20" s="27">
        <f>Tabela4811[[#This Row],[Preço Unitário]]*Tabela4811[[#This Row],[Quantidade]]</f>
        <v>0</v>
      </c>
      <c r="I20" s="107"/>
      <c r="J20" s="26"/>
      <c r="K20" s="27">
        <f>IFERROR(VLOOKUP(Tabela4811[[#This Row],[Entrega]],cálculos!$B$3:$C$7,2,0),0)</f>
        <v>0</v>
      </c>
      <c r="L20" s="27">
        <f>Tabela4811[[#This Row],[SubTotal]]*(1-Tabela4811[[#This Row],[Desconto]])+Tabela4811[[#This Row],[Valor da Entrega]]</f>
        <v>0</v>
      </c>
      <c r="M20" s="28">
        <f>IF(Tabela4811[[#This Row],[Id da Venda]]=B21,"",SUMIF(Tabela4811[Id da Venda],Tabela4811[[#This Row],[Id da Venda]],Tabela4811[Total]))</f>
        <v>0</v>
      </c>
    </row>
    <row r="21" spans="2:13" x14ac:dyDescent="0.25">
      <c r="B21" s="25">
        <f t="shared" si="0"/>
        <v>8</v>
      </c>
      <c r="C21" s="31"/>
      <c r="D21" s="26"/>
      <c r="E21" s="26" t="str">
        <f>IFERROR(VLOOKUP(Tabela4811[[#This Row],[Produtos]],cálculos!$E$3:$H$26,4,0),"")</f>
        <v/>
      </c>
      <c r="F21" s="26"/>
      <c r="G21" s="27">
        <f>IFERROR(VLOOKUP(Tabela4811[[#This Row],[Produtos]],cálculos!$E$3:$H$26,2,0),0)</f>
        <v>0</v>
      </c>
      <c r="H21" s="27">
        <f>Tabela4811[[#This Row],[Preço Unitário]]*Tabela4811[[#This Row],[Quantidade]]</f>
        <v>0</v>
      </c>
      <c r="I21" s="107"/>
      <c r="J21" s="26"/>
      <c r="K21" s="27">
        <f>IFERROR(VLOOKUP(Tabela4811[[#This Row],[Entrega]],cálculos!$B$3:$C$7,2,0),0)</f>
        <v>0</v>
      </c>
      <c r="L21" s="27">
        <f>Tabela4811[[#This Row],[SubTotal]]*(1-Tabela4811[[#This Row],[Desconto]])+Tabela4811[[#This Row],[Valor da Entrega]]</f>
        <v>0</v>
      </c>
      <c r="M21" s="28">
        <f>IF(Tabela4811[[#This Row],[Id da Venda]]=B22,"",SUMIF(Tabela4811[Id da Venda],Tabela4811[[#This Row],[Id da Venda]],Tabela4811[Total]))</f>
        <v>0</v>
      </c>
    </row>
    <row r="22" spans="2:13" x14ac:dyDescent="0.25">
      <c r="B22" s="25">
        <f t="shared" si="0"/>
        <v>7</v>
      </c>
      <c r="C22" s="31"/>
      <c r="D22" s="26"/>
      <c r="E22" s="26" t="str">
        <f>IFERROR(VLOOKUP(Tabela4811[[#This Row],[Produtos]],cálculos!$E$3:$H$26,4,0),"")</f>
        <v/>
      </c>
      <c r="F22" s="26"/>
      <c r="G22" s="27">
        <f>IFERROR(VLOOKUP(Tabela4811[[#This Row],[Produtos]],cálculos!$E$3:$H$26,2,0),0)</f>
        <v>0</v>
      </c>
      <c r="H22" s="27">
        <f>Tabela4811[[#This Row],[Preço Unitário]]*Tabela4811[[#This Row],[Quantidade]]</f>
        <v>0</v>
      </c>
      <c r="I22" s="107"/>
      <c r="J22" s="26"/>
      <c r="K22" s="27">
        <f>IFERROR(VLOOKUP(Tabela4811[[#This Row],[Entrega]],cálculos!$B$3:$C$7,2,0),0)</f>
        <v>0</v>
      </c>
      <c r="L22" s="27">
        <f>Tabela4811[[#This Row],[SubTotal]]*(1-Tabela4811[[#This Row],[Desconto]])+Tabela4811[[#This Row],[Valor da Entrega]]</f>
        <v>0</v>
      </c>
      <c r="M22" s="28">
        <f>IF(Tabela4811[[#This Row],[Id da Venda]]=B23,"",SUMIF(Tabela4811[Id da Venda],Tabela4811[[#This Row],[Id da Venda]],Tabela4811[Total]))</f>
        <v>0</v>
      </c>
    </row>
    <row r="23" spans="2:13" x14ac:dyDescent="0.25">
      <c r="B23" s="25">
        <f t="shared" si="0"/>
        <v>6</v>
      </c>
      <c r="C23" s="31"/>
      <c r="D23" s="26"/>
      <c r="E23" s="26" t="str">
        <f>IFERROR(VLOOKUP(Tabela4811[[#This Row],[Produtos]],cálculos!$E$3:$H$26,4,0),"")</f>
        <v/>
      </c>
      <c r="F23" s="26"/>
      <c r="G23" s="27">
        <f>IFERROR(VLOOKUP(Tabela4811[[#This Row],[Produtos]],cálculos!$E$3:$H$26,2,0),0)</f>
        <v>0</v>
      </c>
      <c r="H23" s="27">
        <f>Tabela4811[[#This Row],[Preço Unitário]]*Tabela4811[[#This Row],[Quantidade]]</f>
        <v>0</v>
      </c>
      <c r="I23" s="107"/>
      <c r="J23" s="26"/>
      <c r="K23" s="27">
        <f>IFERROR(VLOOKUP(Tabela4811[[#This Row],[Entrega]],cálculos!$B$3:$C$7,2,0),0)</f>
        <v>0</v>
      </c>
      <c r="L23" s="27">
        <f>Tabela4811[[#This Row],[SubTotal]]*(1-Tabela4811[[#This Row],[Desconto]])+Tabela4811[[#This Row],[Valor da Entrega]]</f>
        <v>0</v>
      </c>
      <c r="M23" s="28">
        <f>IF(Tabela4811[[#This Row],[Id da Venda]]=B24,"",SUMIF(Tabela4811[Id da Venda],Tabela4811[[#This Row],[Id da Venda]],Tabela4811[Total]))</f>
        <v>0</v>
      </c>
    </row>
    <row r="24" spans="2:13" x14ac:dyDescent="0.25">
      <c r="B24" s="25">
        <f t="shared" si="0"/>
        <v>5</v>
      </c>
      <c r="C24" s="31"/>
      <c r="D24" s="26"/>
      <c r="E24" s="26" t="str">
        <f>IFERROR(VLOOKUP(Tabela4811[[#This Row],[Produtos]],cálculos!$E$3:$H$26,4,0),"")</f>
        <v/>
      </c>
      <c r="F24" s="26"/>
      <c r="G24" s="27">
        <f>IFERROR(VLOOKUP(Tabela4811[[#This Row],[Produtos]],cálculos!$E$3:$H$26,2,0),0)</f>
        <v>0</v>
      </c>
      <c r="H24" s="27">
        <f>Tabela4811[[#This Row],[Preço Unitário]]*Tabela4811[[#This Row],[Quantidade]]</f>
        <v>0</v>
      </c>
      <c r="I24" s="107"/>
      <c r="J24" s="26"/>
      <c r="K24" s="27">
        <f>IFERROR(VLOOKUP(Tabela4811[[#This Row],[Entrega]],cálculos!$B$3:$C$7,2,0),0)</f>
        <v>0</v>
      </c>
      <c r="L24" s="27">
        <f>Tabela4811[[#This Row],[SubTotal]]*(1-Tabela4811[[#This Row],[Desconto]])+Tabela4811[[#This Row],[Valor da Entrega]]</f>
        <v>0</v>
      </c>
      <c r="M24" s="28">
        <f>IF(Tabela4811[[#This Row],[Id da Venda]]=B25,"",SUMIF(Tabela4811[Id da Venda],Tabela4811[[#This Row],[Id da Venda]],Tabela4811[Total]))</f>
        <v>0</v>
      </c>
    </row>
    <row r="25" spans="2:13" x14ac:dyDescent="0.25">
      <c r="B25" s="25">
        <f t="shared" si="0"/>
        <v>4</v>
      </c>
      <c r="C25" s="31"/>
      <c r="D25" s="26"/>
      <c r="E25" s="26" t="str">
        <f>IFERROR(VLOOKUP(Tabela4811[[#This Row],[Produtos]],cálculos!$E$3:$H$26,4,0),"")</f>
        <v/>
      </c>
      <c r="F25" s="26"/>
      <c r="G25" s="27">
        <f>IFERROR(VLOOKUP(Tabela4811[[#This Row],[Produtos]],cálculos!$E$3:$H$26,2,0),0)</f>
        <v>0</v>
      </c>
      <c r="H25" s="27">
        <f>Tabela4811[[#This Row],[Preço Unitário]]*Tabela4811[[#This Row],[Quantidade]]</f>
        <v>0</v>
      </c>
      <c r="I25" s="107"/>
      <c r="J25" s="26"/>
      <c r="K25" s="27">
        <f>IFERROR(VLOOKUP(Tabela4811[[#This Row],[Entrega]],cálculos!$B$3:$C$7,2,0),0)</f>
        <v>0</v>
      </c>
      <c r="L25" s="27">
        <f>Tabela4811[[#This Row],[SubTotal]]*(1-Tabela4811[[#This Row],[Desconto]])+Tabela4811[[#This Row],[Valor da Entrega]]</f>
        <v>0</v>
      </c>
      <c r="M25" s="28">
        <f>IF(Tabela4811[[#This Row],[Id da Venda]]=B26,"",SUMIF(Tabela4811[Id da Venda],Tabela4811[[#This Row],[Id da Venda]],Tabela4811[Total]))</f>
        <v>0</v>
      </c>
    </row>
    <row r="26" spans="2:13" x14ac:dyDescent="0.25">
      <c r="B26" s="25">
        <f t="shared" si="0"/>
        <v>3</v>
      </c>
      <c r="C26" s="31"/>
      <c r="D26" s="26"/>
      <c r="E26" s="26" t="str">
        <f>IFERROR(VLOOKUP(Tabela4811[[#This Row],[Produtos]],cálculos!$E$3:$H$26,4,0),"")</f>
        <v/>
      </c>
      <c r="F26" s="26"/>
      <c r="G26" s="27">
        <f>IFERROR(VLOOKUP(Tabela4811[[#This Row],[Produtos]],cálculos!$E$3:$H$26,2,0),0)</f>
        <v>0</v>
      </c>
      <c r="H26" s="27">
        <f>Tabela4811[[#This Row],[Preço Unitário]]*Tabela4811[[#This Row],[Quantidade]]</f>
        <v>0</v>
      </c>
      <c r="I26" s="107"/>
      <c r="J26" s="26"/>
      <c r="K26" s="27">
        <f>IFERROR(VLOOKUP(Tabela4811[[#This Row],[Entrega]],cálculos!$B$3:$C$7,2,0),0)</f>
        <v>0</v>
      </c>
      <c r="L26" s="27">
        <f>Tabela4811[[#This Row],[SubTotal]]*(1-Tabela4811[[#This Row],[Desconto]])+Tabela4811[[#This Row],[Valor da Entrega]]</f>
        <v>0</v>
      </c>
      <c r="M26" s="28">
        <f>IF(Tabela4811[[#This Row],[Id da Venda]]=B27,"",SUMIF(Tabela4811[Id da Venda],Tabela4811[[#This Row],[Id da Venda]],Tabela4811[Total]))</f>
        <v>0</v>
      </c>
    </row>
    <row r="27" spans="2:13" x14ac:dyDescent="0.25">
      <c r="B27" s="25">
        <f t="shared" si="0"/>
        <v>2</v>
      </c>
      <c r="C27" s="31"/>
      <c r="D27" s="26"/>
      <c r="E27" s="26" t="str">
        <f>IFERROR(VLOOKUP(Tabela4811[[#This Row],[Produtos]],cálculos!$E$3:$H$26,4,0),"")</f>
        <v/>
      </c>
      <c r="F27" s="26"/>
      <c r="G27" s="27">
        <f>IFERROR(VLOOKUP(Tabela4811[[#This Row],[Produtos]],cálculos!$E$3:$H$26,2,0),0)</f>
        <v>0</v>
      </c>
      <c r="H27" s="27">
        <f>Tabela4811[[#This Row],[Preço Unitário]]*Tabela4811[[#This Row],[Quantidade]]</f>
        <v>0</v>
      </c>
      <c r="I27" s="107"/>
      <c r="J27" s="26"/>
      <c r="K27" s="27">
        <f>IFERROR(VLOOKUP(Tabela4811[[#This Row],[Entrega]],cálculos!$B$3:$C$7,2,0),0)</f>
        <v>0</v>
      </c>
      <c r="L27" s="27">
        <f>Tabela4811[[#This Row],[SubTotal]]*(1-Tabela4811[[#This Row],[Desconto]])+Tabela4811[[#This Row],[Valor da Entrega]]</f>
        <v>0</v>
      </c>
      <c r="M27" s="28">
        <f>IF(Tabela4811[[#This Row],[Id da Venda]]=B28,"",SUMIF(Tabela4811[Id da Venda],Tabela4811[[#This Row],[Id da Venda]],Tabela4811[Total]))</f>
        <v>0</v>
      </c>
    </row>
    <row r="28" spans="2:13" x14ac:dyDescent="0.25">
      <c r="B28" s="33">
        <f t="shared" si="0"/>
        <v>1</v>
      </c>
      <c r="C28" s="108"/>
      <c r="D28" s="35"/>
      <c r="E28" s="35" t="str">
        <f>IFERROR(VLOOKUP(Tabela4811[[#This Row],[Produtos]],cálculos!$E$3:$H$26,4,0),"")</f>
        <v/>
      </c>
      <c r="F28" s="35"/>
      <c r="G28" s="109">
        <f>IFERROR(VLOOKUP(Tabela4811[[#This Row],[Produtos]],cálculos!$E$3:$H$26,2,0),0)</f>
        <v>0</v>
      </c>
      <c r="H28" s="109">
        <f>Tabela4811[[#This Row],[Preço Unitário]]*Tabela4811[[#This Row],[Quantidade]]</f>
        <v>0</v>
      </c>
      <c r="I28" s="110"/>
      <c r="J28" s="35"/>
      <c r="K28" s="109">
        <f>IFERROR(VLOOKUP(Tabela4811[[#This Row],[Entrega]],cálculos!$B$3:$C$7,2,0),0)</f>
        <v>0</v>
      </c>
      <c r="L28" s="109">
        <f>Tabela4811[[#This Row],[SubTotal]]*(1-Tabela4811[[#This Row],[Desconto]])+Tabela4811[[#This Row],[Valor da Entrega]]</f>
        <v>0</v>
      </c>
      <c r="M28" s="37">
        <f>IF(Tabela4811[[#This Row],[Id da Venda]]=B29,"",SUMIF(Tabela4811[Id da Venda],Tabela4811[[#This Row],[Id da Venda]],Tabela4811[Total]))</f>
        <v>0</v>
      </c>
    </row>
    <row r="30" spans="2:13" ht="21.75" thickBot="1" x14ac:dyDescent="0.4">
      <c r="B30" s="100" t="s">
        <v>107</v>
      </c>
      <c r="C30" s="100"/>
      <c r="D30" s="100"/>
      <c r="E30" s="101"/>
      <c r="F30" s="101"/>
      <c r="G30" s="101"/>
      <c r="H30" s="101"/>
      <c r="I30" s="101"/>
      <c r="J30" s="101"/>
      <c r="K30" s="101"/>
      <c r="L30" s="102">
        <f>SUM(Tabela4811[Valor da Entrega])</f>
        <v>0</v>
      </c>
    </row>
    <row r="31" spans="2:13" ht="21.75" thickBot="1" x14ac:dyDescent="0.4">
      <c r="B31" s="104" t="s">
        <v>120</v>
      </c>
      <c r="C31" s="105"/>
      <c r="D31" s="105"/>
      <c r="E31" s="105"/>
      <c r="F31" s="105"/>
      <c r="G31" s="105"/>
      <c r="H31" s="105"/>
      <c r="I31" s="105"/>
      <c r="J31" s="105"/>
      <c r="K31" s="105"/>
      <c r="L31" s="106">
        <f>SUM(Tabela4811[Total])</f>
        <v>0</v>
      </c>
    </row>
    <row r="32" spans="2:13" ht="21" x14ac:dyDescent="0.35">
      <c r="B32" s="99" t="s">
        <v>121</v>
      </c>
      <c r="L32" s="103">
        <f>SUM(IF(FREQUENCY(Tabela4811[Id da Venda],Tabela4811[Id da Venda])&gt;0,1))</f>
        <v>24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1000000}">
          <x14:formula1>
            <xm:f>cálculos!$B$3:$B$7</xm:f>
          </x14:formula1>
          <xm:sqref>J5:J28</xm:sqref>
        </x14:dataValidation>
        <x14:dataValidation type="list" allowBlank="1" showInputMessage="1" showErrorMessage="1" xr:uid="{00000000-0002-0000-0C00-000000000000}">
          <x14:formula1>
            <xm:f>cálculos!$E$3:$E$26</xm:f>
          </x14:formula1>
          <xm:sqref>D5:D28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4"/>
  <dimension ref="A2:M35"/>
  <sheetViews>
    <sheetView showGridLines="0" zoomScaleNormal="100" workbookViewId="0">
      <selection activeCell="B2" sqref="B2"/>
    </sheetView>
  </sheetViews>
  <sheetFormatPr defaultRowHeight="15" x14ac:dyDescent="0.25"/>
  <cols>
    <col min="1" max="1" width="21.710937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3" s="69" customFormat="1" ht="36.75" customHeight="1" x14ac:dyDescent="0.55000000000000004">
      <c r="A2" s="66"/>
      <c r="B2" s="67" t="s">
        <v>148</v>
      </c>
      <c r="C2" s="68"/>
    </row>
    <row r="3" spans="1:13" ht="32.25" customHeight="1" x14ac:dyDescent="0.25"/>
    <row r="4" spans="1:13" x14ac:dyDescent="0.25">
      <c r="B4" s="22" t="s">
        <v>60</v>
      </c>
      <c r="C4" s="23" t="s">
        <v>106</v>
      </c>
      <c r="D4" s="23" t="s">
        <v>59</v>
      </c>
      <c r="E4" s="23" t="s">
        <v>78</v>
      </c>
      <c r="F4" s="23" t="s">
        <v>56</v>
      </c>
      <c r="G4" s="23" t="s">
        <v>57</v>
      </c>
      <c r="H4" s="23" t="s">
        <v>61</v>
      </c>
      <c r="I4" s="23" t="s">
        <v>58</v>
      </c>
      <c r="J4" s="23" t="s">
        <v>63</v>
      </c>
      <c r="K4" s="23" t="s">
        <v>105</v>
      </c>
      <c r="L4" s="23" t="s">
        <v>62</v>
      </c>
      <c r="M4" s="24" t="s">
        <v>108</v>
      </c>
    </row>
    <row r="5" spans="1:13" x14ac:dyDescent="0.25">
      <c r="B5" s="25">
        <f t="shared" ref="B5:B31" si="0">B6+1</f>
        <v>27</v>
      </c>
      <c r="C5" s="31"/>
      <c r="D5" s="26"/>
      <c r="E5" s="26" t="str">
        <f>IFERROR(VLOOKUP(Tabela4812[[#This Row],[Produtos]],cálculos!$E$3:$H$26,4,0),"")</f>
        <v/>
      </c>
      <c r="F5" s="26"/>
      <c r="G5" s="27">
        <f>IFERROR(VLOOKUP(Tabela4812[[#This Row],[Produtos]],cálculos!$E$3:$H$26,2,0),0)</f>
        <v>0</v>
      </c>
      <c r="H5" s="27">
        <f>Tabela4812[[#This Row],[Preço Unitário]]*Tabela4812[[#This Row],[Quantidade]]</f>
        <v>0</v>
      </c>
      <c r="I5" s="107"/>
      <c r="J5" s="26"/>
      <c r="K5" s="27">
        <f>IFERROR(VLOOKUP(Tabela4812[[#This Row],[Entrega]],cálculos!$B$3:$C$7,2,0),0)</f>
        <v>0</v>
      </c>
      <c r="L5" s="27">
        <f>Tabela4812[[#This Row],[SubTotal]]*(1-Tabela4812[[#This Row],[Desconto]])+Tabela4812[[#This Row],[Valor da Entrega]]</f>
        <v>0</v>
      </c>
      <c r="M5" s="28">
        <f>IF(Tabela4812[[#This Row],[Id da Venda]]=B6,"",SUMIF(Tabela4812[Id da Venda],Tabela4812[[#This Row],[Id da Venda]],Tabela4812[Total]))</f>
        <v>0</v>
      </c>
    </row>
    <row r="6" spans="1:13" x14ac:dyDescent="0.25">
      <c r="B6" s="25">
        <f t="shared" si="0"/>
        <v>26</v>
      </c>
      <c r="C6" s="31"/>
      <c r="D6" s="26"/>
      <c r="E6" s="26" t="str">
        <f>IFERROR(VLOOKUP(Tabela4812[[#This Row],[Produtos]],cálculos!$E$3:$H$26,4,0),"")</f>
        <v/>
      </c>
      <c r="F6" s="26"/>
      <c r="G6" s="27">
        <f>IFERROR(VLOOKUP(Tabela4812[[#This Row],[Produtos]],cálculos!$E$3:$H$26,2,0),0)</f>
        <v>0</v>
      </c>
      <c r="H6" s="27">
        <f>Tabela4812[[#This Row],[Preço Unitário]]*Tabela4812[[#This Row],[Quantidade]]</f>
        <v>0</v>
      </c>
      <c r="I6" s="107"/>
      <c r="J6" s="26"/>
      <c r="K6" s="27">
        <f>IFERROR(VLOOKUP(Tabela4812[[#This Row],[Entrega]],cálculos!$B$3:$C$7,2,0),0)</f>
        <v>0</v>
      </c>
      <c r="L6" s="27">
        <f>Tabela4812[[#This Row],[SubTotal]]*(1-Tabela4812[[#This Row],[Desconto]])+Tabela4812[[#This Row],[Valor da Entrega]]</f>
        <v>0</v>
      </c>
      <c r="M6" s="28">
        <f>IF(Tabela4812[[#This Row],[Id da Venda]]=B7,"",SUMIF(Tabela4812[Id da Venda],Tabela4812[[#This Row],[Id da Venda]],Tabela4812[Total]))</f>
        <v>0</v>
      </c>
    </row>
    <row r="7" spans="1:13" x14ac:dyDescent="0.25">
      <c r="B7" s="25">
        <f t="shared" si="0"/>
        <v>25</v>
      </c>
      <c r="C7" s="31"/>
      <c r="D7" s="26"/>
      <c r="E7" s="26" t="str">
        <f>IFERROR(VLOOKUP(Tabela4812[[#This Row],[Produtos]],cálculos!$E$3:$H$26,4,0),"")</f>
        <v/>
      </c>
      <c r="F7" s="26"/>
      <c r="G7" s="27">
        <f>IFERROR(VLOOKUP(Tabela4812[[#This Row],[Produtos]],cálculos!$E$3:$H$26,2,0),0)</f>
        <v>0</v>
      </c>
      <c r="H7" s="27">
        <f>Tabela4812[[#This Row],[Preço Unitário]]*Tabela4812[[#This Row],[Quantidade]]</f>
        <v>0</v>
      </c>
      <c r="I7" s="107"/>
      <c r="J7" s="26"/>
      <c r="K7" s="27">
        <f>IFERROR(VLOOKUP(Tabela4812[[#This Row],[Entrega]],cálculos!$B$3:$C$7,2,0),0)</f>
        <v>0</v>
      </c>
      <c r="L7" s="27">
        <f>Tabela4812[[#This Row],[SubTotal]]*(1-Tabela4812[[#This Row],[Desconto]])+Tabela4812[[#This Row],[Valor da Entrega]]</f>
        <v>0</v>
      </c>
      <c r="M7" s="28">
        <f>IF(Tabela4812[[#This Row],[Id da Venda]]=B8,"",SUMIF(Tabela4812[Id da Venda],Tabela4812[[#This Row],[Id da Venda]],Tabela4812[Total]))</f>
        <v>0</v>
      </c>
    </row>
    <row r="8" spans="1:13" x14ac:dyDescent="0.25">
      <c r="B8" s="25">
        <f t="shared" si="0"/>
        <v>24</v>
      </c>
      <c r="C8" s="31"/>
      <c r="D8" s="26"/>
      <c r="E8" s="26" t="str">
        <f>IFERROR(VLOOKUP(Tabela4812[[#This Row],[Produtos]],cálculos!$E$3:$H$26,4,0),"")</f>
        <v/>
      </c>
      <c r="F8" s="26"/>
      <c r="G8" s="27">
        <f>IFERROR(VLOOKUP(Tabela4812[[#This Row],[Produtos]],cálculos!$E$3:$H$26,2,0),0)</f>
        <v>0</v>
      </c>
      <c r="H8" s="27">
        <f>Tabela4812[[#This Row],[Preço Unitário]]*Tabela4812[[#This Row],[Quantidade]]</f>
        <v>0</v>
      </c>
      <c r="I8" s="107"/>
      <c r="J8" s="26"/>
      <c r="K8" s="27">
        <f>IFERROR(VLOOKUP(Tabela4812[[#This Row],[Entrega]],cálculos!$B$3:$C$7,2,0),0)</f>
        <v>0</v>
      </c>
      <c r="L8" s="27">
        <f>Tabela4812[[#This Row],[SubTotal]]*(1-Tabela4812[[#This Row],[Desconto]])+Tabela4812[[#This Row],[Valor da Entrega]]</f>
        <v>0</v>
      </c>
      <c r="M8" s="28">
        <f>IF(Tabela4812[[#This Row],[Id da Venda]]=B9,"",SUMIF(Tabela4812[Id da Venda],Tabela4812[[#This Row],[Id da Venda]],Tabela4812[Total]))</f>
        <v>0</v>
      </c>
    </row>
    <row r="9" spans="1:13" x14ac:dyDescent="0.25">
      <c r="B9" s="25">
        <f t="shared" si="0"/>
        <v>23</v>
      </c>
      <c r="C9" s="31"/>
      <c r="D9" s="26"/>
      <c r="E9" s="26" t="str">
        <f>IFERROR(VLOOKUP(Tabela4812[[#This Row],[Produtos]],cálculos!$E$3:$H$26,4,0),"")</f>
        <v/>
      </c>
      <c r="F9" s="26"/>
      <c r="G9" s="27">
        <f>IFERROR(VLOOKUP(Tabela4812[[#This Row],[Produtos]],cálculos!$E$3:$H$26,2,0),0)</f>
        <v>0</v>
      </c>
      <c r="H9" s="27">
        <f>Tabela4812[[#This Row],[Preço Unitário]]*Tabela4812[[#This Row],[Quantidade]]</f>
        <v>0</v>
      </c>
      <c r="I9" s="107"/>
      <c r="J9" s="26"/>
      <c r="K9" s="27">
        <f>IFERROR(VLOOKUP(Tabela4812[[#This Row],[Entrega]],cálculos!$B$3:$C$7,2,0),0)</f>
        <v>0</v>
      </c>
      <c r="L9" s="27">
        <f>Tabela4812[[#This Row],[SubTotal]]*(1-Tabela4812[[#This Row],[Desconto]])+Tabela4812[[#This Row],[Valor da Entrega]]</f>
        <v>0</v>
      </c>
      <c r="M9" s="28">
        <f>IF(Tabela4812[[#This Row],[Id da Venda]]=B10,"",SUMIF(Tabela4812[Id da Venda],Tabela4812[[#This Row],[Id da Venda]],Tabela4812[Total]))</f>
        <v>0</v>
      </c>
    </row>
    <row r="10" spans="1:13" x14ac:dyDescent="0.25">
      <c r="B10" s="25">
        <f t="shared" si="0"/>
        <v>22</v>
      </c>
      <c r="C10" s="31"/>
      <c r="D10" s="26"/>
      <c r="E10" s="26" t="str">
        <f>IFERROR(VLOOKUP(Tabela4812[[#This Row],[Produtos]],cálculos!$E$3:$H$26,4,0),"")</f>
        <v/>
      </c>
      <c r="F10" s="26"/>
      <c r="G10" s="27">
        <f>IFERROR(VLOOKUP(Tabela4812[[#This Row],[Produtos]],cálculos!$E$3:$H$26,2,0),0)</f>
        <v>0</v>
      </c>
      <c r="H10" s="27">
        <f>Tabela4812[[#This Row],[Preço Unitário]]*Tabela4812[[#This Row],[Quantidade]]</f>
        <v>0</v>
      </c>
      <c r="I10" s="107"/>
      <c r="J10" s="26"/>
      <c r="K10" s="27">
        <f>IFERROR(VLOOKUP(Tabela4812[[#This Row],[Entrega]],cálculos!$B$3:$C$7,2,0),0)</f>
        <v>0</v>
      </c>
      <c r="L10" s="27">
        <f>Tabela4812[[#This Row],[SubTotal]]*(1-Tabela4812[[#This Row],[Desconto]])+Tabela4812[[#This Row],[Valor da Entrega]]</f>
        <v>0</v>
      </c>
      <c r="M10" s="28">
        <f>IF(Tabela4812[[#This Row],[Id da Venda]]=B11,"",SUMIF(Tabela4812[Id da Venda],Tabela4812[[#This Row],[Id da Venda]],Tabela4812[Total]))</f>
        <v>0</v>
      </c>
    </row>
    <row r="11" spans="1:13" x14ac:dyDescent="0.25">
      <c r="B11" s="25">
        <f t="shared" si="0"/>
        <v>21</v>
      </c>
      <c r="C11" s="31"/>
      <c r="D11" s="26"/>
      <c r="E11" s="26" t="str">
        <f>IFERROR(VLOOKUP(Tabela4812[[#This Row],[Produtos]],cálculos!$E$3:$H$26,4,0),"")</f>
        <v/>
      </c>
      <c r="F11" s="26"/>
      <c r="G11" s="27">
        <f>IFERROR(VLOOKUP(Tabela4812[[#This Row],[Produtos]],cálculos!$E$3:$H$26,2,0),0)</f>
        <v>0</v>
      </c>
      <c r="H11" s="27">
        <f>Tabela4812[[#This Row],[Preço Unitário]]*Tabela4812[[#This Row],[Quantidade]]</f>
        <v>0</v>
      </c>
      <c r="I11" s="107"/>
      <c r="J11" s="26"/>
      <c r="K11" s="27">
        <f>IFERROR(VLOOKUP(Tabela4812[[#This Row],[Entrega]],cálculos!$B$3:$C$7,2,0),0)</f>
        <v>0</v>
      </c>
      <c r="L11" s="27">
        <f>Tabela4812[[#This Row],[SubTotal]]*(1-Tabela4812[[#This Row],[Desconto]])+Tabela4812[[#This Row],[Valor da Entrega]]</f>
        <v>0</v>
      </c>
      <c r="M11" s="28">
        <f>IF(Tabela4812[[#This Row],[Id da Venda]]=B12,"",SUMIF(Tabela4812[Id da Venda],Tabela4812[[#This Row],[Id da Venda]],Tabela4812[Total]))</f>
        <v>0</v>
      </c>
    </row>
    <row r="12" spans="1:13" x14ac:dyDescent="0.25">
      <c r="B12" s="25">
        <f t="shared" si="0"/>
        <v>20</v>
      </c>
      <c r="C12" s="31"/>
      <c r="D12" s="26"/>
      <c r="E12" s="26" t="str">
        <f>IFERROR(VLOOKUP(Tabela4812[[#This Row],[Produtos]],cálculos!$E$3:$H$26,4,0),"")</f>
        <v/>
      </c>
      <c r="F12" s="26"/>
      <c r="G12" s="27">
        <f>IFERROR(VLOOKUP(Tabela4812[[#This Row],[Produtos]],cálculos!$E$3:$H$26,2,0),0)</f>
        <v>0</v>
      </c>
      <c r="H12" s="27">
        <f>Tabela4812[[#This Row],[Preço Unitário]]*Tabela4812[[#This Row],[Quantidade]]</f>
        <v>0</v>
      </c>
      <c r="I12" s="107"/>
      <c r="J12" s="26"/>
      <c r="K12" s="27">
        <f>IFERROR(VLOOKUP(Tabela4812[[#This Row],[Entrega]],cálculos!$B$3:$C$7,2,0),0)</f>
        <v>0</v>
      </c>
      <c r="L12" s="27">
        <f>Tabela4812[[#This Row],[SubTotal]]*(1-Tabela4812[[#This Row],[Desconto]])+Tabela4812[[#This Row],[Valor da Entrega]]</f>
        <v>0</v>
      </c>
      <c r="M12" s="28">
        <f>IF(Tabela4812[[#This Row],[Id da Venda]]=B13,"",SUMIF(Tabela4812[Id da Venda],Tabela4812[[#This Row],[Id da Venda]],Tabela4812[Total]))</f>
        <v>0</v>
      </c>
    </row>
    <row r="13" spans="1:13" x14ac:dyDescent="0.25">
      <c r="B13" s="25">
        <f t="shared" si="0"/>
        <v>19</v>
      </c>
      <c r="C13" s="31"/>
      <c r="D13" s="26"/>
      <c r="E13" s="26" t="str">
        <f>IFERROR(VLOOKUP(Tabela4812[[#This Row],[Produtos]],cálculos!$E$3:$H$26,4,0),"")</f>
        <v/>
      </c>
      <c r="F13" s="26"/>
      <c r="G13" s="27">
        <f>IFERROR(VLOOKUP(Tabela4812[[#This Row],[Produtos]],cálculos!$E$3:$H$26,2,0),0)</f>
        <v>0</v>
      </c>
      <c r="H13" s="27">
        <f>Tabela4812[[#This Row],[Preço Unitário]]*Tabela4812[[#This Row],[Quantidade]]</f>
        <v>0</v>
      </c>
      <c r="I13" s="107"/>
      <c r="J13" s="26"/>
      <c r="K13" s="27">
        <f>IFERROR(VLOOKUP(Tabela4812[[#This Row],[Entrega]],cálculos!$B$3:$C$7,2,0),0)</f>
        <v>0</v>
      </c>
      <c r="L13" s="27">
        <f>Tabela4812[[#This Row],[SubTotal]]*(1-Tabela4812[[#This Row],[Desconto]])+Tabela4812[[#This Row],[Valor da Entrega]]</f>
        <v>0</v>
      </c>
      <c r="M13" s="28">
        <f>IF(Tabela4812[[#This Row],[Id da Venda]]=B14,"",SUMIF(Tabela4812[Id da Venda],Tabela4812[[#This Row],[Id da Venda]],Tabela4812[Total]))</f>
        <v>0</v>
      </c>
    </row>
    <row r="14" spans="1:13" x14ac:dyDescent="0.25">
      <c r="B14" s="25">
        <f t="shared" si="0"/>
        <v>18</v>
      </c>
      <c r="C14" s="31"/>
      <c r="D14" s="26"/>
      <c r="E14" s="26" t="str">
        <f>IFERROR(VLOOKUP(Tabela4812[[#This Row],[Produtos]],cálculos!$E$3:$H$26,4,0),"")</f>
        <v/>
      </c>
      <c r="F14" s="26"/>
      <c r="G14" s="27">
        <f>IFERROR(VLOOKUP(Tabela4812[[#This Row],[Produtos]],cálculos!$E$3:$H$26,2,0),0)</f>
        <v>0</v>
      </c>
      <c r="H14" s="27">
        <f>Tabela4812[[#This Row],[Preço Unitário]]*Tabela4812[[#This Row],[Quantidade]]</f>
        <v>0</v>
      </c>
      <c r="I14" s="107"/>
      <c r="J14" s="26"/>
      <c r="K14" s="27">
        <f>IFERROR(VLOOKUP(Tabela4812[[#This Row],[Entrega]],cálculos!$B$3:$C$7,2,0),0)</f>
        <v>0</v>
      </c>
      <c r="L14" s="27">
        <f>Tabela4812[[#This Row],[SubTotal]]*(1-Tabela4812[[#This Row],[Desconto]])+Tabela4812[[#This Row],[Valor da Entrega]]</f>
        <v>0</v>
      </c>
      <c r="M14" s="28">
        <f>IF(Tabela4812[[#This Row],[Id da Venda]]=B15,"",SUMIF(Tabela4812[Id da Venda],Tabela4812[[#This Row],[Id da Venda]],Tabela4812[Total]))</f>
        <v>0</v>
      </c>
    </row>
    <row r="15" spans="1:13" x14ac:dyDescent="0.25">
      <c r="B15" s="25">
        <f t="shared" si="0"/>
        <v>17</v>
      </c>
      <c r="C15" s="31"/>
      <c r="D15" s="26"/>
      <c r="E15" s="26" t="str">
        <f>IFERROR(VLOOKUP(Tabela4812[[#This Row],[Produtos]],cálculos!$E$3:$H$26,4,0),"")</f>
        <v/>
      </c>
      <c r="F15" s="26"/>
      <c r="G15" s="27">
        <f>IFERROR(VLOOKUP(Tabela4812[[#This Row],[Produtos]],cálculos!$E$3:$H$26,2,0),0)</f>
        <v>0</v>
      </c>
      <c r="H15" s="27">
        <f>Tabela4812[[#This Row],[Preço Unitário]]*Tabela4812[[#This Row],[Quantidade]]</f>
        <v>0</v>
      </c>
      <c r="I15" s="107"/>
      <c r="J15" s="26"/>
      <c r="K15" s="27">
        <f>IFERROR(VLOOKUP(Tabela4812[[#This Row],[Entrega]],cálculos!$B$3:$C$7,2,0),0)</f>
        <v>0</v>
      </c>
      <c r="L15" s="27">
        <f>Tabela4812[[#This Row],[SubTotal]]*(1-Tabela4812[[#This Row],[Desconto]])+Tabela4812[[#This Row],[Valor da Entrega]]</f>
        <v>0</v>
      </c>
      <c r="M15" s="28">
        <f>IF(Tabela4812[[#This Row],[Id da Venda]]=B16,"",SUMIF(Tabela4812[Id da Venda],Tabela4812[[#This Row],[Id da Venda]],Tabela4812[Total]))</f>
        <v>0</v>
      </c>
    </row>
    <row r="16" spans="1:13" x14ac:dyDescent="0.25">
      <c r="B16" s="25">
        <f t="shared" si="0"/>
        <v>16</v>
      </c>
      <c r="C16" s="31"/>
      <c r="D16" s="26"/>
      <c r="E16" s="26" t="str">
        <f>IFERROR(VLOOKUP(Tabela4812[[#This Row],[Produtos]],cálculos!$E$3:$H$26,4,0),"")</f>
        <v/>
      </c>
      <c r="F16" s="26"/>
      <c r="G16" s="27">
        <f>IFERROR(VLOOKUP(Tabela4812[[#This Row],[Produtos]],cálculos!$E$3:$H$26,2,0),0)</f>
        <v>0</v>
      </c>
      <c r="H16" s="27">
        <f>Tabela4812[[#This Row],[Preço Unitário]]*Tabela4812[[#This Row],[Quantidade]]</f>
        <v>0</v>
      </c>
      <c r="I16" s="107"/>
      <c r="J16" s="26"/>
      <c r="K16" s="27">
        <f>IFERROR(VLOOKUP(Tabela4812[[#This Row],[Entrega]],cálculos!$B$3:$C$7,2,0),0)</f>
        <v>0</v>
      </c>
      <c r="L16" s="27">
        <f>Tabela4812[[#This Row],[SubTotal]]*(1-Tabela4812[[#This Row],[Desconto]])+Tabela4812[[#This Row],[Valor da Entrega]]</f>
        <v>0</v>
      </c>
      <c r="M16" s="28">
        <f>IF(Tabela4812[[#This Row],[Id da Venda]]=B17,"",SUMIF(Tabela4812[Id da Venda],Tabela4812[[#This Row],[Id da Venda]],Tabela4812[Total]))</f>
        <v>0</v>
      </c>
    </row>
    <row r="17" spans="2:13" x14ac:dyDescent="0.25">
      <c r="B17" s="25">
        <f t="shared" si="0"/>
        <v>15</v>
      </c>
      <c r="C17" s="31"/>
      <c r="D17" s="26"/>
      <c r="E17" s="26" t="str">
        <f>IFERROR(VLOOKUP(Tabela4812[[#This Row],[Produtos]],cálculos!$E$3:$H$26,4,0),"")</f>
        <v/>
      </c>
      <c r="F17" s="26"/>
      <c r="G17" s="27">
        <f>IFERROR(VLOOKUP(Tabela4812[[#This Row],[Produtos]],cálculos!$E$3:$H$26,2,0),0)</f>
        <v>0</v>
      </c>
      <c r="H17" s="27">
        <f>Tabela4812[[#This Row],[Preço Unitário]]*Tabela4812[[#This Row],[Quantidade]]</f>
        <v>0</v>
      </c>
      <c r="I17" s="107"/>
      <c r="J17" s="26"/>
      <c r="K17" s="27">
        <f>IFERROR(VLOOKUP(Tabela4812[[#This Row],[Entrega]],cálculos!$B$3:$C$7,2,0),0)</f>
        <v>0</v>
      </c>
      <c r="L17" s="27">
        <f>Tabela4812[[#This Row],[SubTotal]]*(1-Tabela4812[[#This Row],[Desconto]])+Tabela4812[[#This Row],[Valor da Entrega]]</f>
        <v>0</v>
      </c>
      <c r="M17" s="28">
        <f>IF(Tabela4812[[#This Row],[Id da Venda]]=B18,"",SUMIF(Tabela4812[Id da Venda],Tabela4812[[#This Row],[Id da Venda]],Tabela4812[Total]))</f>
        <v>0</v>
      </c>
    </row>
    <row r="18" spans="2:13" x14ac:dyDescent="0.25">
      <c r="B18" s="25">
        <f t="shared" si="0"/>
        <v>14</v>
      </c>
      <c r="C18" s="31"/>
      <c r="D18" s="26"/>
      <c r="E18" s="26" t="str">
        <f>IFERROR(VLOOKUP(Tabela4812[[#This Row],[Produtos]],cálculos!$E$3:$H$26,4,0),"")</f>
        <v/>
      </c>
      <c r="F18" s="26"/>
      <c r="G18" s="27">
        <f>IFERROR(VLOOKUP(Tabela4812[[#This Row],[Produtos]],cálculos!$E$3:$H$26,2,0),0)</f>
        <v>0</v>
      </c>
      <c r="H18" s="27">
        <f>Tabela4812[[#This Row],[Preço Unitário]]*Tabela4812[[#This Row],[Quantidade]]</f>
        <v>0</v>
      </c>
      <c r="I18" s="107"/>
      <c r="J18" s="26"/>
      <c r="K18" s="27">
        <f>IFERROR(VLOOKUP(Tabela4812[[#This Row],[Entrega]],cálculos!$B$3:$C$7,2,0),0)</f>
        <v>0</v>
      </c>
      <c r="L18" s="27">
        <f>Tabela4812[[#This Row],[SubTotal]]*(1-Tabela4812[[#This Row],[Desconto]])+Tabela4812[[#This Row],[Valor da Entrega]]</f>
        <v>0</v>
      </c>
      <c r="M18" s="28">
        <f>IF(Tabela4812[[#This Row],[Id da Venda]]=B19,"",SUMIF(Tabela4812[Id da Venda],Tabela4812[[#This Row],[Id da Venda]],Tabela4812[Total]))</f>
        <v>0</v>
      </c>
    </row>
    <row r="19" spans="2:13" x14ac:dyDescent="0.25">
      <c r="B19" s="25">
        <f t="shared" si="0"/>
        <v>13</v>
      </c>
      <c r="C19" s="31"/>
      <c r="D19" s="26"/>
      <c r="E19" s="26" t="str">
        <f>IFERROR(VLOOKUP(Tabela4812[[#This Row],[Produtos]],cálculos!$E$3:$H$26,4,0),"")</f>
        <v/>
      </c>
      <c r="F19" s="26"/>
      <c r="G19" s="27">
        <f>IFERROR(VLOOKUP(Tabela4812[[#This Row],[Produtos]],cálculos!$E$3:$H$26,2,0),0)</f>
        <v>0</v>
      </c>
      <c r="H19" s="27">
        <f>Tabela4812[[#This Row],[Preço Unitário]]*Tabela4812[[#This Row],[Quantidade]]</f>
        <v>0</v>
      </c>
      <c r="I19" s="107"/>
      <c r="J19" s="26"/>
      <c r="K19" s="27">
        <f>IFERROR(VLOOKUP(Tabela4812[[#This Row],[Entrega]],cálculos!$B$3:$C$7,2,0),0)</f>
        <v>0</v>
      </c>
      <c r="L19" s="27">
        <f>Tabela4812[[#This Row],[SubTotal]]*(1-Tabela4812[[#This Row],[Desconto]])+Tabela4812[[#This Row],[Valor da Entrega]]</f>
        <v>0</v>
      </c>
      <c r="M19" s="28">
        <f>IF(Tabela4812[[#This Row],[Id da Venda]]=B20,"",SUMIF(Tabela4812[Id da Venda],Tabela4812[[#This Row],[Id da Venda]],Tabela4812[Total]))</f>
        <v>0</v>
      </c>
    </row>
    <row r="20" spans="2:13" x14ac:dyDescent="0.25">
      <c r="B20" s="25">
        <f t="shared" si="0"/>
        <v>12</v>
      </c>
      <c r="C20" s="31"/>
      <c r="D20" s="26"/>
      <c r="E20" s="26" t="str">
        <f>IFERROR(VLOOKUP(Tabela4812[[#This Row],[Produtos]],cálculos!$E$3:$H$26,4,0),"")</f>
        <v/>
      </c>
      <c r="F20" s="26"/>
      <c r="G20" s="27">
        <f>IFERROR(VLOOKUP(Tabela4812[[#This Row],[Produtos]],cálculos!$E$3:$H$26,2,0),0)</f>
        <v>0</v>
      </c>
      <c r="H20" s="27">
        <f>Tabela4812[[#This Row],[Preço Unitário]]*Tabela4812[[#This Row],[Quantidade]]</f>
        <v>0</v>
      </c>
      <c r="I20" s="107"/>
      <c r="J20" s="26"/>
      <c r="K20" s="27">
        <f>IFERROR(VLOOKUP(Tabela4812[[#This Row],[Entrega]],cálculos!$B$3:$C$7,2,0),0)</f>
        <v>0</v>
      </c>
      <c r="L20" s="27">
        <f>Tabela4812[[#This Row],[SubTotal]]*(1-Tabela4812[[#This Row],[Desconto]])+Tabela4812[[#This Row],[Valor da Entrega]]</f>
        <v>0</v>
      </c>
      <c r="M20" s="28">
        <f>IF(Tabela4812[[#This Row],[Id da Venda]]=B21,"",SUMIF(Tabela4812[Id da Venda],Tabela4812[[#This Row],[Id da Venda]],Tabela4812[Total]))</f>
        <v>0</v>
      </c>
    </row>
    <row r="21" spans="2:13" x14ac:dyDescent="0.25">
      <c r="B21" s="25">
        <f t="shared" si="0"/>
        <v>11</v>
      </c>
      <c r="C21" s="31"/>
      <c r="D21" s="26"/>
      <c r="E21" s="26" t="str">
        <f>IFERROR(VLOOKUP(Tabela4812[[#This Row],[Produtos]],cálculos!$E$3:$H$26,4,0),"")</f>
        <v/>
      </c>
      <c r="F21" s="26"/>
      <c r="G21" s="27">
        <f>IFERROR(VLOOKUP(Tabela4812[[#This Row],[Produtos]],cálculos!$E$3:$H$26,2,0),0)</f>
        <v>0</v>
      </c>
      <c r="H21" s="27">
        <f>Tabela4812[[#This Row],[Preço Unitário]]*Tabela4812[[#This Row],[Quantidade]]</f>
        <v>0</v>
      </c>
      <c r="I21" s="107"/>
      <c r="J21" s="26"/>
      <c r="K21" s="27">
        <f>IFERROR(VLOOKUP(Tabela4812[[#This Row],[Entrega]],cálculos!$B$3:$C$7,2,0),0)</f>
        <v>0</v>
      </c>
      <c r="L21" s="27">
        <f>Tabela4812[[#This Row],[SubTotal]]*(1-Tabela4812[[#This Row],[Desconto]])+Tabela4812[[#This Row],[Valor da Entrega]]</f>
        <v>0</v>
      </c>
      <c r="M21" s="28">
        <f>IF(Tabela4812[[#This Row],[Id da Venda]]=B22,"",SUMIF(Tabela4812[Id da Venda],Tabela4812[[#This Row],[Id da Venda]],Tabela4812[Total]))</f>
        <v>0</v>
      </c>
    </row>
    <row r="22" spans="2:13" x14ac:dyDescent="0.25">
      <c r="B22" s="25">
        <f t="shared" si="0"/>
        <v>10</v>
      </c>
      <c r="C22" s="31"/>
      <c r="D22" s="26"/>
      <c r="E22" s="26" t="str">
        <f>IFERROR(VLOOKUP(Tabela4812[[#This Row],[Produtos]],cálculos!$E$3:$H$26,4,0),"")</f>
        <v/>
      </c>
      <c r="F22" s="26"/>
      <c r="G22" s="27">
        <f>IFERROR(VLOOKUP(Tabela4812[[#This Row],[Produtos]],cálculos!$E$3:$H$26,2,0),0)</f>
        <v>0</v>
      </c>
      <c r="H22" s="27">
        <f>Tabela4812[[#This Row],[Preço Unitário]]*Tabela4812[[#This Row],[Quantidade]]</f>
        <v>0</v>
      </c>
      <c r="I22" s="107"/>
      <c r="J22" s="26"/>
      <c r="K22" s="27">
        <f>IFERROR(VLOOKUP(Tabela4812[[#This Row],[Entrega]],cálculos!$B$3:$C$7,2,0),0)</f>
        <v>0</v>
      </c>
      <c r="L22" s="27">
        <f>Tabela4812[[#This Row],[SubTotal]]*(1-Tabela4812[[#This Row],[Desconto]])+Tabela4812[[#This Row],[Valor da Entrega]]</f>
        <v>0</v>
      </c>
      <c r="M22" s="28">
        <f>IF(Tabela4812[[#This Row],[Id da Venda]]=B23,"",SUMIF(Tabela4812[Id da Venda],Tabela4812[[#This Row],[Id da Venda]],Tabela4812[Total]))</f>
        <v>0</v>
      </c>
    </row>
    <row r="23" spans="2:13" x14ac:dyDescent="0.25">
      <c r="B23" s="25">
        <f t="shared" si="0"/>
        <v>9</v>
      </c>
      <c r="C23" s="31"/>
      <c r="D23" s="26"/>
      <c r="E23" s="26" t="str">
        <f>IFERROR(VLOOKUP(Tabela4812[[#This Row],[Produtos]],cálculos!$E$3:$H$26,4,0),"")</f>
        <v/>
      </c>
      <c r="F23" s="26"/>
      <c r="G23" s="27">
        <f>IFERROR(VLOOKUP(Tabela4812[[#This Row],[Produtos]],cálculos!$E$3:$H$26,2,0),0)</f>
        <v>0</v>
      </c>
      <c r="H23" s="27">
        <f>Tabela4812[[#This Row],[Preço Unitário]]*Tabela4812[[#This Row],[Quantidade]]</f>
        <v>0</v>
      </c>
      <c r="I23" s="107"/>
      <c r="J23" s="26"/>
      <c r="K23" s="27">
        <f>IFERROR(VLOOKUP(Tabela4812[[#This Row],[Entrega]],cálculos!$B$3:$C$7,2,0),0)</f>
        <v>0</v>
      </c>
      <c r="L23" s="27">
        <f>Tabela4812[[#This Row],[SubTotal]]*(1-Tabela4812[[#This Row],[Desconto]])+Tabela4812[[#This Row],[Valor da Entrega]]</f>
        <v>0</v>
      </c>
      <c r="M23" s="28">
        <f>IF(Tabela4812[[#This Row],[Id da Venda]]=B24,"",SUMIF(Tabela4812[Id da Venda],Tabela4812[[#This Row],[Id da Venda]],Tabela4812[Total]))</f>
        <v>0</v>
      </c>
    </row>
    <row r="24" spans="2:13" x14ac:dyDescent="0.25">
      <c r="B24" s="25">
        <f t="shared" si="0"/>
        <v>8</v>
      </c>
      <c r="C24" s="31"/>
      <c r="D24" s="26"/>
      <c r="E24" s="26" t="str">
        <f>IFERROR(VLOOKUP(Tabela4812[[#This Row],[Produtos]],cálculos!$E$3:$H$26,4,0),"")</f>
        <v/>
      </c>
      <c r="F24" s="26"/>
      <c r="G24" s="27">
        <f>IFERROR(VLOOKUP(Tabela4812[[#This Row],[Produtos]],cálculos!$E$3:$H$26,2,0),0)</f>
        <v>0</v>
      </c>
      <c r="H24" s="27">
        <f>Tabela4812[[#This Row],[Preço Unitário]]*Tabela4812[[#This Row],[Quantidade]]</f>
        <v>0</v>
      </c>
      <c r="I24" s="107"/>
      <c r="J24" s="26"/>
      <c r="K24" s="27">
        <f>IFERROR(VLOOKUP(Tabela4812[[#This Row],[Entrega]],cálculos!$B$3:$C$7,2,0),0)</f>
        <v>0</v>
      </c>
      <c r="L24" s="27">
        <f>Tabela4812[[#This Row],[SubTotal]]*(1-Tabela4812[[#This Row],[Desconto]])+Tabela4812[[#This Row],[Valor da Entrega]]</f>
        <v>0</v>
      </c>
      <c r="M24" s="28">
        <f>IF(Tabela4812[[#This Row],[Id da Venda]]=B25,"",SUMIF(Tabela4812[Id da Venda],Tabela4812[[#This Row],[Id da Venda]],Tabela4812[Total]))</f>
        <v>0</v>
      </c>
    </row>
    <row r="25" spans="2:13" x14ac:dyDescent="0.25">
      <c r="B25" s="25">
        <f t="shared" si="0"/>
        <v>7</v>
      </c>
      <c r="C25" s="31"/>
      <c r="D25" s="26"/>
      <c r="E25" s="26" t="str">
        <f>IFERROR(VLOOKUP(Tabela4812[[#This Row],[Produtos]],cálculos!$E$3:$H$26,4,0),"")</f>
        <v/>
      </c>
      <c r="F25" s="26"/>
      <c r="G25" s="27">
        <f>IFERROR(VLOOKUP(Tabela4812[[#This Row],[Produtos]],cálculos!$E$3:$H$26,2,0),0)</f>
        <v>0</v>
      </c>
      <c r="H25" s="27">
        <f>Tabela4812[[#This Row],[Preço Unitário]]*Tabela4812[[#This Row],[Quantidade]]</f>
        <v>0</v>
      </c>
      <c r="I25" s="107"/>
      <c r="J25" s="26"/>
      <c r="K25" s="27">
        <f>IFERROR(VLOOKUP(Tabela4812[[#This Row],[Entrega]],cálculos!$B$3:$C$7,2,0),0)</f>
        <v>0</v>
      </c>
      <c r="L25" s="27">
        <f>Tabela4812[[#This Row],[SubTotal]]*(1-Tabela4812[[#This Row],[Desconto]])+Tabela4812[[#This Row],[Valor da Entrega]]</f>
        <v>0</v>
      </c>
      <c r="M25" s="28">
        <f>IF(Tabela4812[[#This Row],[Id da Venda]]=B26,"",SUMIF(Tabela4812[Id da Venda],Tabela4812[[#This Row],[Id da Venda]],Tabela4812[Total]))</f>
        <v>0</v>
      </c>
    </row>
    <row r="26" spans="2:13" x14ac:dyDescent="0.25">
      <c r="B26" s="25">
        <f t="shared" si="0"/>
        <v>6</v>
      </c>
      <c r="C26" s="31"/>
      <c r="D26" s="26"/>
      <c r="E26" s="26" t="str">
        <f>IFERROR(VLOOKUP(Tabela4812[[#This Row],[Produtos]],cálculos!$E$3:$H$26,4,0),"")</f>
        <v/>
      </c>
      <c r="F26" s="26"/>
      <c r="G26" s="27">
        <f>IFERROR(VLOOKUP(Tabela4812[[#This Row],[Produtos]],cálculos!$E$3:$H$26,2,0),0)</f>
        <v>0</v>
      </c>
      <c r="H26" s="27">
        <f>Tabela4812[[#This Row],[Preço Unitário]]*Tabela4812[[#This Row],[Quantidade]]</f>
        <v>0</v>
      </c>
      <c r="I26" s="107"/>
      <c r="J26" s="26"/>
      <c r="K26" s="27">
        <f>IFERROR(VLOOKUP(Tabela4812[[#This Row],[Entrega]],cálculos!$B$3:$C$7,2,0),0)</f>
        <v>0</v>
      </c>
      <c r="L26" s="27">
        <f>Tabela4812[[#This Row],[SubTotal]]*(1-Tabela4812[[#This Row],[Desconto]])+Tabela4812[[#This Row],[Valor da Entrega]]</f>
        <v>0</v>
      </c>
      <c r="M26" s="28">
        <f>IF(Tabela4812[[#This Row],[Id da Venda]]=B27,"",SUMIF(Tabela4812[Id da Venda],Tabela4812[[#This Row],[Id da Venda]],Tabela4812[Total]))</f>
        <v>0</v>
      </c>
    </row>
    <row r="27" spans="2:13" x14ac:dyDescent="0.25">
      <c r="B27" s="25">
        <f t="shared" si="0"/>
        <v>5</v>
      </c>
      <c r="C27" s="31"/>
      <c r="D27" s="26"/>
      <c r="E27" s="26" t="str">
        <f>IFERROR(VLOOKUP(Tabela4812[[#This Row],[Produtos]],cálculos!$E$3:$H$26,4,0),"")</f>
        <v/>
      </c>
      <c r="F27" s="26"/>
      <c r="G27" s="27">
        <f>IFERROR(VLOOKUP(Tabela4812[[#This Row],[Produtos]],cálculos!$E$3:$H$26,2,0),0)</f>
        <v>0</v>
      </c>
      <c r="H27" s="27">
        <f>Tabela4812[[#This Row],[Preço Unitário]]*Tabela4812[[#This Row],[Quantidade]]</f>
        <v>0</v>
      </c>
      <c r="I27" s="107"/>
      <c r="J27" s="26"/>
      <c r="K27" s="27">
        <f>IFERROR(VLOOKUP(Tabela4812[[#This Row],[Entrega]],cálculos!$B$3:$C$7,2,0),0)</f>
        <v>0</v>
      </c>
      <c r="L27" s="27">
        <f>Tabela4812[[#This Row],[SubTotal]]*(1-Tabela4812[[#This Row],[Desconto]])+Tabela4812[[#This Row],[Valor da Entrega]]</f>
        <v>0</v>
      </c>
      <c r="M27" s="28">
        <f>IF(Tabela4812[[#This Row],[Id da Venda]]=B28,"",SUMIF(Tabela4812[Id da Venda],Tabela4812[[#This Row],[Id da Venda]],Tabela4812[Total]))</f>
        <v>0</v>
      </c>
    </row>
    <row r="28" spans="2:13" x14ac:dyDescent="0.25">
      <c r="B28" s="25">
        <f t="shared" si="0"/>
        <v>4</v>
      </c>
      <c r="C28" s="31"/>
      <c r="D28" s="26"/>
      <c r="E28" s="26" t="str">
        <f>IFERROR(VLOOKUP(Tabela4812[[#This Row],[Produtos]],cálculos!$E$3:$H$26,4,0),"")</f>
        <v/>
      </c>
      <c r="F28" s="26"/>
      <c r="G28" s="27">
        <f>IFERROR(VLOOKUP(Tabela4812[[#This Row],[Produtos]],cálculos!$E$3:$H$26,2,0),0)</f>
        <v>0</v>
      </c>
      <c r="H28" s="27">
        <f>Tabela4812[[#This Row],[Preço Unitário]]*Tabela4812[[#This Row],[Quantidade]]</f>
        <v>0</v>
      </c>
      <c r="I28" s="107"/>
      <c r="J28" s="26"/>
      <c r="K28" s="27">
        <f>IFERROR(VLOOKUP(Tabela4812[[#This Row],[Entrega]],cálculos!$B$3:$C$7,2,0),0)</f>
        <v>0</v>
      </c>
      <c r="L28" s="27">
        <f>Tabela4812[[#This Row],[SubTotal]]*(1-Tabela4812[[#This Row],[Desconto]])+Tabela4812[[#This Row],[Valor da Entrega]]</f>
        <v>0</v>
      </c>
      <c r="M28" s="28">
        <f>IF(Tabela4812[[#This Row],[Id da Venda]]=B29,"",SUMIF(Tabela4812[Id da Venda],Tabela4812[[#This Row],[Id da Venda]],Tabela4812[Total]))</f>
        <v>0</v>
      </c>
    </row>
    <row r="29" spans="2:13" x14ac:dyDescent="0.25">
      <c r="B29" s="25">
        <f t="shared" si="0"/>
        <v>3</v>
      </c>
      <c r="C29" s="31"/>
      <c r="D29" s="26"/>
      <c r="E29" s="26" t="str">
        <f>IFERROR(VLOOKUP(Tabela4812[[#This Row],[Produtos]],cálculos!$E$3:$H$26,4,0),"")</f>
        <v/>
      </c>
      <c r="F29" s="26"/>
      <c r="G29" s="27">
        <f>IFERROR(VLOOKUP(Tabela4812[[#This Row],[Produtos]],cálculos!$E$3:$H$26,2,0),0)</f>
        <v>0</v>
      </c>
      <c r="H29" s="27">
        <f>Tabela4812[[#This Row],[Preço Unitário]]*Tabela4812[[#This Row],[Quantidade]]</f>
        <v>0</v>
      </c>
      <c r="I29" s="107"/>
      <c r="J29" s="26"/>
      <c r="K29" s="27">
        <f>IFERROR(VLOOKUP(Tabela4812[[#This Row],[Entrega]],cálculos!$B$3:$C$7,2,0),0)</f>
        <v>0</v>
      </c>
      <c r="L29" s="27">
        <f>Tabela4812[[#This Row],[SubTotal]]*(1-Tabela4812[[#This Row],[Desconto]])+Tabela4812[[#This Row],[Valor da Entrega]]</f>
        <v>0</v>
      </c>
      <c r="M29" s="28">
        <f>IF(Tabela4812[[#This Row],[Id da Venda]]=B30,"",SUMIF(Tabela4812[Id da Venda],Tabela4812[[#This Row],[Id da Venda]],Tabela4812[Total]))</f>
        <v>0</v>
      </c>
    </row>
    <row r="30" spans="2:13" x14ac:dyDescent="0.25">
      <c r="B30" s="25">
        <f t="shared" si="0"/>
        <v>2</v>
      </c>
      <c r="C30" s="31"/>
      <c r="D30" s="26"/>
      <c r="E30" s="26" t="str">
        <f>IFERROR(VLOOKUP(Tabela4812[[#This Row],[Produtos]],cálculos!$E$3:$H$26,4,0),"")</f>
        <v/>
      </c>
      <c r="F30" s="26"/>
      <c r="G30" s="27">
        <f>IFERROR(VLOOKUP(Tabela4812[[#This Row],[Produtos]],cálculos!$E$3:$H$26,2,0),0)</f>
        <v>0</v>
      </c>
      <c r="H30" s="27">
        <f>Tabela4812[[#This Row],[Preço Unitário]]*Tabela4812[[#This Row],[Quantidade]]</f>
        <v>0</v>
      </c>
      <c r="I30" s="107"/>
      <c r="J30" s="26"/>
      <c r="K30" s="27">
        <f>IFERROR(VLOOKUP(Tabela4812[[#This Row],[Entrega]],cálculos!$B$3:$C$7,2,0),0)</f>
        <v>0</v>
      </c>
      <c r="L30" s="27">
        <f>Tabela4812[[#This Row],[SubTotal]]*(1-Tabela4812[[#This Row],[Desconto]])+Tabela4812[[#This Row],[Valor da Entrega]]</f>
        <v>0</v>
      </c>
      <c r="M30" s="28">
        <f>IF(Tabela4812[[#This Row],[Id da Venda]]=B31,"",SUMIF(Tabela4812[Id da Venda],Tabela4812[[#This Row],[Id da Venda]],Tabela4812[Total]))</f>
        <v>0</v>
      </c>
    </row>
    <row r="31" spans="2:13" x14ac:dyDescent="0.25">
      <c r="B31" s="33">
        <f t="shared" si="0"/>
        <v>1</v>
      </c>
      <c r="C31" s="108"/>
      <c r="D31" s="35"/>
      <c r="E31" s="35" t="str">
        <f>IFERROR(VLOOKUP(Tabela4812[[#This Row],[Produtos]],cálculos!$E$3:$H$26,4,0),"")</f>
        <v/>
      </c>
      <c r="F31" s="35"/>
      <c r="G31" s="109">
        <f>IFERROR(VLOOKUP(Tabela4812[[#This Row],[Produtos]],cálculos!$E$3:$H$26,2,0),0)</f>
        <v>0</v>
      </c>
      <c r="H31" s="109">
        <f>Tabela4812[[#This Row],[Preço Unitário]]*Tabela4812[[#This Row],[Quantidade]]</f>
        <v>0</v>
      </c>
      <c r="I31" s="110"/>
      <c r="J31" s="35"/>
      <c r="K31" s="109">
        <f>IFERROR(VLOOKUP(Tabela4812[[#This Row],[Entrega]],cálculos!$B$3:$C$7,2,0),0)</f>
        <v>0</v>
      </c>
      <c r="L31" s="109">
        <f>Tabela4812[[#This Row],[SubTotal]]*(1-Tabela4812[[#This Row],[Desconto]])+Tabela4812[[#This Row],[Valor da Entrega]]</f>
        <v>0</v>
      </c>
      <c r="M31" s="37">
        <f>IF(Tabela4812[[#This Row],[Id da Venda]]=B32,"",SUMIF(Tabela4812[Id da Venda],Tabela4812[[#This Row],[Id da Venda]],Tabela4812[Total]))</f>
        <v>0</v>
      </c>
    </row>
    <row r="33" spans="2:12" ht="21.75" thickBot="1" x14ac:dyDescent="0.4">
      <c r="B33" s="100" t="s">
        <v>107</v>
      </c>
      <c r="C33" s="100"/>
      <c r="D33" s="100"/>
      <c r="E33" s="101"/>
      <c r="F33" s="101"/>
      <c r="G33" s="101"/>
      <c r="H33" s="101"/>
      <c r="I33" s="101"/>
      <c r="J33" s="101"/>
      <c r="K33" s="101"/>
      <c r="L33" s="102">
        <f>SUM(Tabela4812[Valor da Entrega])</f>
        <v>0</v>
      </c>
    </row>
    <row r="34" spans="2:12" ht="21.75" thickBot="1" x14ac:dyDescent="0.4">
      <c r="B34" s="104" t="s">
        <v>120</v>
      </c>
      <c r="C34" s="105"/>
      <c r="D34" s="105"/>
      <c r="E34" s="105"/>
      <c r="F34" s="105"/>
      <c r="G34" s="105"/>
      <c r="H34" s="105"/>
      <c r="I34" s="105"/>
      <c r="J34" s="105"/>
      <c r="K34" s="105"/>
      <c r="L34" s="106">
        <f>SUM(Tabela4812[Total])</f>
        <v>0</v>
      </c>
    </row>
    <row r="35" spans="2:12" ht="21" x14ac:dyDescent="0.35">
      <c r="B35" s="99" t="s">
        <v>121</v>
      </c>
      <c r="L35" s="103">
        <f>SUM(IF(FREQUENCY(Tabela4812[Id da Venda],Tabela4812[Id da Venda])&gt;0,1))</f>
        <v>27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1000000}">
          <x14:formula1>
            <xm:f>cálculos!$B$3:$B$7</xm:f>
          </x14:formula1>
          <xm:sqref>J5:J31</xm:sqref>
        </x14:dataValidation>
        <x14:dataValidation type="list" allowBlank="1" showInputMessage="1" showErrorMessage="1" xr:uid="{00000000-0002-0000-0D00-000000000000}">
          <x14:formula1>
            <xm:f>cálculos!$E$3:$E$26</xm:f>
          </x14:formula1>
          <xm:sqref>D5:D31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8"/>
  <dimension ref="B2:H26"/>
  <sheetViews>
    <sheetView workbookViewId="0">
      <selection activeCell="G13" sqref="G13"/>
    </sheetView>
  </sheetViews>
  <sheetFormatPr defaultRowHeight="15" x14ac:dyDescent="0.25"/>
  <cols>
    <col min="2" max="2" width="18.140625" bestFit="1" customWidth="1"/>
    <col min="3" max="3" width="11.85546875" bestFit="1" customWidth="1"/>
    <col min="4" max="5" width="9.85546875" bestFit="1" customWidth="1"/>
    <col min="6" max="6" width="22.42578125" bestFit="1" customWidth="1"/>
    <col min="7" max="8" width="9.85546875" bestFit="1" customWidth="1"/>
    <col min="9" max="9" width="15.7109375" bestFit="1" customWidth="1"/>
    <col min="10" max="10" width="24.140625" bestFit="1" customWidth="1"/>
    <col min="11" max="11" width="23" bestFit="1" customWidth="1"/>
    <col min="12" max="12" width="12.7109375" bestFit="1" customWidth="1"/>
    <col min="13" max="13" width="12.42578125" bestFit="1" customWidth="1"/>
  </cols>
  <sheetData>
    <row r="2" spans="2:8" x14ac:dyDescent="0.25">
      <c r="B2" s="116" t="s">
        <v>98</v>
      </c>
      <c r="C2" s="116" t="s">
        <v>103</v>
      </c>
      <c r="E2" s="116" t="s">
        <v>59</v>
      </c>
      <c r="F2" s="116" t="s">
        <v>76</v>
      </c>
      <c r="G2" s="116" t="s">
        <v>77</v>
      </c>
      <c r="H2" s="116" t="s">
        <v>90</v>
      </c>
    </row>
    <row r="3" spans="2:8" x14ac:dyDescent="0.25">
      <c r="B3" s="26" t="s">
        <v>100</v>
      </c>
      <c r="C3" s="27">
        <v>5</v>
      </c>
      <c r="E3" s="26" t="s">
        <v>23</v>
      </c>
      <c r="F3" s="27">
        <v>2.8405</v>
      </c>
      <c r="G3" s="27">
        <v>2.99</v>
      </c>
      <c r="H3" s="26" t="s">
        <v>78</v>
      </c>
    </row>
    <row r="4" spans="2:8" x14ac:dyDescent="0.25">
      <c r="B4" s="26" t="s">
        <v>104</v>
      </c>
      <c r="C4" s="27">
        <v>0</v>
      </c>
      <c r="E4" s="26" t="s">
        <v>32</v>
      </c>
      <c r="F4" s="27">
        <v>1.0580000000000001</v>
      </c>
      <c r="G4" s="27">
        <v>1.1499999999999999</v>
      </c>
      <c r="H4" s="26" t="s">
        <v>80</v>
      </c>
    </row>
    <row r="5" spans="2:8" x14ac:dyDescent="0.25">
      <c r="B5" s="26" t="s">
        <v>99</v>
      </c>
      <c r="C5" s="27">
        <v>6.5</v>
      </c>
      <c r="D5" s="4"/>
      <c r="E5" s="26" t="s">
        <v>20</v>
      </c>
      <c r="F5" s="27">
        <v>2.3406000000000002</v>
      </c>
      <c r="G5" s="27">
        <v>2.4900000000000002</v>
      </c>
      <c r="H5" s="26" t="s">
        <v>79</v>
      </c>
    </row>
    <row r="6" spans="2:8" x14ac:dyDescent="0.25">
      <c r="B6" s="26" t="s">
        <v>101</v>
      </c>
      <c r="C6" s="27">
        <v>8</v>
      </c>
      <c r="D6" s="4"/>
      <c r="E6" s="26" t="s">
        <v>38</v>
      </c>
      <c r="F6" s="27">
        <v>1.8506999999999998</v>
      </c>
      <c r="G6" s="27">
        <v>1.99</v>
      </c>
      <c r="H6" s="26" t="s">
        <v>80</v>
      </c>
    </row>
    <row r="7" spans="2:8" x14ac:dyDescent="0.25">
      <c r="B7" s="26" t="s">
        <v>102</v>
      </c>
      <c r="C7" s="27">
        <v>6.5</v>
      </c>
      <c r="D7" s="4"/>
      <c r="E7" s="26" t="s">
        <v>41</v>
      </c>
      <c r="F7" s="27">
        <v>1.0924999999999998</v>
      </c>
      <c r="G7" s="27">
        <v>1.1499999999999999</v>
      </c>
      <c r="H7" s="26" t="s">
        <v>80</v>
      </c>
    </row>
    <row r="8" spans="2:8" x14ac:dyDescent="0.25">
      <c r="D8" s="4"/>
      <c r="E8" s="26" t="s">
        <v>89</v>
      </c>
      <c r="F8" s="27">
        <v>1.3708</v>
      </c>
      <c r="G8" s="27">
        <v>1.49</v>
      </c>
      <c r="H8" s="26" t="s">
        <v>83</v>
      </c>
    </row>
    <row r="9" spans="2:8" x14ac:dyDescent="0.25">
      <c r="D9" s="4"/>
      <c r="E9" s="26" t="s">
        <v>37</v>
      </c>
      <c r="F9" s="27">
        <v>0.74260000000000004</v>
      </c>
      <c r="G9" s="27">
        <v>0.79</v>
      </c>
      <c r="H9" s="26" t="s">
        <v>80</v>
      </c>
    </row>
    <row r="10" spans="2:8" x14ac:dyDescent="0.25">
      <c r="D10" s="4"/>
      <c r="E10" s="26" t="s">
        <v>24</v>
      </c>
      <c r="F10" s="27">
        <v>14.469000000000001</v>
      </c>
      <c r="G10" s="27">
        <v>15.9</v>
      </c>
      <c r="H10" s="26" t="s">
        <v>79</v>
      </c>
    </row>
    <row r="11" spans="2:8" x14ac:dyDescent="0.25">
      <c r="D11" s="4"/>
      <c r="E11" s="26" t="s">
        <v>30</v>
      </c>
      <c r="F11" s="27">
        <v>3.6309000000000005</v>
      </c>
      <c r="G11" s="27">
        <v>3.99</v>
      </c>
      <c r="H11" s="26" t="s">
        <v>79</v>
      </c>
    </row>
    <row r="12" spans="2:8" x14ac:dyDescent="0.25">
      <c r="D12" s="4"/>
      <c r="E12" s="26" t="s">
        <v>33</v>
      </c>
      <c r="F12" s="27">
        <v>2.1023999999999998</v>
      </c>
      <c r="G12" s="27">
        <v>2.19</v>
      </c>
      <c r="H12" s="26" t="s">
        <v>81</v>
      </c>
    </row>
    <row r="13" spans="2:8" x14ac:dyDescent="0.25">
      <c r="D13" s="4"/>
      <c r="E13" s="26" t="s">
        <v>39</v>
      </c>
      <c r="F13" s="27">
        <v>4.5409000000000006</v>
      </c>
      <c r="G13" s="27">
        <v>4.99</v>
      </c>
      <c r="H13" s="26" t="s">
        <v>82</v>
      </c>
    </row>
    <row r="14" spans="2:8" x14ac:dyDescent="0.25">
      <c r="E14" s="26" t="s">
        <v>40</v>
      </c>
      <c r="F14" s="27">
        <v>6.3449999999999998</v>
      </c>
      <c r="G14" s="27">
        <v>6.75</v>
      </c>
      <c r="H14" s="26" t="s">
        <v>86</v>
      </c>
    </row>
    <row r="15" spans="2:8" x14ac:dyDescent="0.25">
      <c r="E15" s="26" t="s">
        <v>35</v>
      </c>
      <c r="F15" s="27">
        <v>2.3660000000000001</v>
      </c>
      <c r="G15" s="27">
        <v>2.6</v>
      </c>
      <c r="H15" s="26" t="s">
        <v>78</v>
      </c>
    </row>
    <row r="16" spans="2:8" x14ac:dyDescent="0.25">
      <c r="E16" s="26" t="s">
        <v>21</v>
      </c>
      <c r="F16" s="27">
        <v>4.0659999999999998</v>
      </c>
      <c r="G16" s="27">
        <v>4.28</v>
      </c>
      <c r="H16" s="26" t="s">
        <v>79</v>
      </c>
    </row>
    <row r="17" spans="5:8" x14ac:dyDescent="0.25">
      <c r="E17" s="26" t="s">
        <v>25</v>
      </c>
      <c r="F17" s="27">
        <v>6.4216000000000006</v>
      </c>
      <c r="G17" s="27">
        <v>6.98</v>
      </c>
      <c r="H17" s="26" t="s">
        <v>79</v>
      </c>
    </row>
    <row r="18" spans="5:8" x14ac:dyDescent="0.25">
      <c r="E18" s="26" t="s">
        <v>88</v>
      </c>
      <c r="F18" s="27">
        <v>2.6299000000000001</v>
      </c>
      <c r="G18" s="27">
        <v>2.89</v>
      </c>
      <c r="H18" s="26" t="s">
        <v>78</v>
      </c>
    </row>
    <row r="19" spans="5:8" x14ac:dyDescent="0.25">
      <c r="E19" s="26" t="s">
        <v>27</v>
      </c>
      <c r="F19" s="27">
        <v>22.226999999999997</v>
      </c>
      <c r="G19" s="27">
        <v>23.9</v>
      </c>
      <c r="H19" s="26" t="s">
        <v>79</v>
      </c>
    </row>
    <row r="20" spans="5:8" x14ac:dyDescent="0.25">
      <c r="E20" s="26" t="s">
        <v>26</v>
      </c>
      <c r="F20" s="27">
        <v>23.827999999999999</v>
      </c>
      <c r="G20" s="27">
        <v>25.9</v>
      </c>
      <c r="H20" s="26" t="s">
        <v>79</v>
      </c>
    </row>
    <row r="21" spans="5:8" x14ac:dyDescent="0.25">
      <c r="E21" s="26" t="s">
        <v>87</v>
      </c>
      <c r="F21" s="27">
        <v>2.1749000000000001</v>
      </c>
      <c r="G21" s="27">
        <v>2.39</v>
      </c>
      <c r="H21" s="26" t="s">
        <v>83</v>
      </c>
    </row>
    <row r="22" spans="5:8" x14ac:dyDescent="0.25">
      <c r="E22" s="26" t="s">
        <v>29</v>
      </c>
      <c r="F22" s="27">
        <v>3.2084999999999999</v>
      </c>
      <c r="G22" s="27">
        <v>3.45</v>
      </c>
      <c r="H22" s="26" t="s">
        <v>83</v>
      </c>
    </row>
    <row r="23" spans="5:8" x14ac:dyDescent="0.25">
      <c r="E23" s="26" t="s">
        <v>22</v>
      </c>
      <c r="F23" s="27">
        <v>5.3544000000000009</v>
      </c>
      <c r="G23" s="27">
        <v>5.82</v>
      </c>
      <c r="H23" s="26" t="s">
        <v>79</v>
      </c>
    </row>
    <row r="24" spans="5:8" x14ac:dyDescent="0.25">
      <c r="E24" s="26" t="s">
        <v>31</v>
      </c>
      <c r="F24" s="27">
        <v>9.1009999999999991</v>
      </c>
      <c r="G24" s="27">
        <v>9.58</v>
      </c>
      <c r="H24" s="26" t="s">
        <v>79</v>
      </c>
    </row>
    <row r="25" spans="5:8" x14ac:dyDescent="0.25">
      <c r="E25" s="26" t="s">
        <v>28</v>
      </c>
      <c r="F25" s="27">
        <v>26.012999999999998</v>
      </c>
      <c r="G25" s="27">
        <v>29.9</v>
      </c>
      <c r="H25" s="26" t="s">
        <v>84</v>
      </c>
    </row>
    <row r="26" spans="5:8" x14ac:dyDescent="0.25">
      <c r="E26" s="26" t="s">
        <v>34</v>
      </c>
      <c r="F26" s="27">
        <v>46.664999999999999</v>
      </c>
      <c r="G26" s="27">
        <v>54.9</v>
      </c>
      <c r="H26" s="26" t="s">
        <v>84</v>
      </c>
    </row>
  </sheetData>
  <sortState xmlns:xlrd2="http://schemas.microsoft.com/office/spreadsheetml/2017/richdata2" ref="D15:D35">
    <sortCondition ref="D14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Menu</vt:lpstr>
      <vt:lpstr>Despesas Fixas</vt:lpstr>
      <vt:lpstr>Controle de Mercadorias</vt:lpstr>
      <vt:lpstr>Investimentos</vt:lpstr>
      <vt:lpstr>Controle de Estoque</vt:lpstr>
      <vt:lpstr>Resultados</vt:lpstr>
      <vt:lpstr>Vendas</vt:lpstr>
      <vt:lpstr>Sem1</vt:lpstr>
      <vt:lpstr>AnaliseSem1</vt:lpstr>
      <vt:lpstr>Sem2</vt:lpstr>
      <vt:lpstr>AnaliseSem2</vt:lpstr>
      <vt:lpstr>Sem3</vt:lpstr>
      <vt:lpstr>Sem4</vt:lpstr>
      <vt:lpstr>Sem5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Laysa Silva</cp:lastModifiedBy>
  <cp:lastPrinted>2015-07-06T18:17:22Z</cp:lastPrinted>
  <dcterms:created xsi:type="dcterms:W3CDTF">2015-06-24T19:21:22Z</dcterms:created>
  <dcterms:modified xsi:type="dcterms:W3CDTF">2023-09-12T19:35:51Z</dcterms:modified>
</cp:coreProperties>
</file>