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is\Desktop\"/>
    </mc:Choice>
  </mc:AlternateContent>
  <xr:revisionPtr revIDLastSave="0" documentId="13_ncr:1_{109F5907-8B7A-49C4-9D86-B324CEB2D04C}" xr6:coauthVersionLast="47" xr6:coauthVersionMax="47" xr10:uidLastSave="{00000000-0000-0000-0000-000000000000}"/>
  <bookViews>
    <workbookView xWindow="11424" yWindow="0" windowWidth="11712" windowHeight="12336" activeTab="1" xr2:uid="{1B3535A6-1ED6-8F4A-B46A-D0C9D3BD4C34}"/>
  </bookViews>
  <sheets>
    <sheet name="Equipo" sheetId="6" r:id="rId1"/>
    <sheet name="Tareas" sheetId="5" r:id="rId2"/>
    <sheet name="Flujo Acumulado" sheetId="4" r:id="rId3"/>
    <sheet name="Ejempl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4" l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47" i="4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37" i="4"/>
  <c r="J38" i="4" s="1"/>
  <c r="J39" i="4" s="1"/>
  <c r="J40" i="4" s="1"/>
  <c r="J41" i="4" s="1"/>
  <c r="J42" i="4" s="1"/>
  <c r="J43" i="4" s="1"/>
  <c r="J44" i="4" s="1"/>
  <c r="J45" i="4" s="1"/>
  <c r="J46" i="4" s="1"/>
  <c r="J32" i="4"/>
  <c r="J33" i="4" s="1"/>
  <c r="J34" i="4" s="1"/>
  <c r="J35" i="4" s="1"/>
  <c r="J36" i="4" s="1"/>
  <c r="F32" i="4"/>
  <c r="F33" i="4"/>
  <c r="F34" i="4"/>
  <c r="F35" i="4"/>
  <c r="F36" i="4"/>
  <c r="F37" i="4"/>
  <c r="F38" i="4"/>
  <c r="F39" i="4"/>
  <c r="F40" i="4"/>
  <c r="F41" i="4"/>
  <c r="G32" i="4"/>
  <c r="G33" i="4"/>
  <c r="G34" i="4"/>
  <c r="G35" i="4"/>
  <c r="G36" i="4"/>
  <c r="G37" i="4"/>
  <c r="G38" i="4"/>
  <c r="G39" i="4"/>
  <c r="G40" i="4"/>
  <c r="G41" i="4"/>
  <c r="H32" i="4"/>
  <c r="H33" i="4"/>
  <c r="H34" i="4"/>
  <c r="H35" i="4"/>
  <c r="H36" i="4"/>
  <c r="H37" i="4"/>
  <c r="H38" i="4"/>
  <c r="H39" i="4"/>
  <c r="H40" i="4"/>
  <c r="H41" i="4"/>
  <c r="F21" i="4"/>
  <c r="F22" i="4"/>
  <c r="F23" i="4"/>
  <c r="F24" i="4"/>
  <c r="F25" i="4"/>
  <c r="F26" i="4"/>
  <c r="F27" i="4"/>
  <c r="F28" i="4"/>
  <c r="F29" i="4"/>
  <c r="F30" i="4"/>
  <c r="F31" i="4"/>
  <c r="G21" i="4"/>
  <c r="G22" i="4"/>
  <c r="G23" i="4"/>
  <c r="G24" i="4"/>
  <c r="G25" i="4"/>
  <c r="G26" i="4"/>
  <c r="G27" i="4"/>
  <c r="G28" i="4"/>
  <c r="G29" i="4"/>
  <c r="G30" i="4"/>
  <c r="G31" i="4"/>
  <c r="H21" i="4"/>
  <c r="H22" i="4"/>
  <c r="H23" i="4"/>
  <c r="H24" i="4"/>
  <c r="H25" i="4"/>
  <c r="H26" i="4"/>
  <c r="H27" i="4"/>
  <c r="H28" i="4"/>
  <c r="H29" i="4"/>
  <c r="H30" i="4"/>
  <c r="H31" i="4"/>
  <c r="F11" i="4"/>
  <c r="F12" i="4"/>
  <c r="F13" i="4"/>
  <c r="F14" i="4"/>
  <c r="F15" i="4"/>
  <c r="F16" i="4"/>
  <c r="F17" i="4"/>
  <c r="F18" i="4"/>
  <c r="F19" i="4"/>
  <c r="F20" i="4"/>
  <c r="G11" i="4"/>
  <c r="G12" i="4"/>
  <c r="G13" i="4"/>
  <c r="G14" i="4"/>
  <c r="G15" i="4"/>
  <c r="G16" i="4"/>
  <c r="G17" i="4"/>
  <c r="G18" i="4"/>
  <c r="G19" i="4"/>
  <c r="G20" i="4"/>
  <c r="H11" i="4"/>
  <c r="H12" i="4"/>
  <c r="H13" i="4"/>
  <c r="H14" i="4"/>
  <c r="H15" i="4"/>
  <c r="H16" i="4"/>
  <c r="H17" i="4"/>
  <c r="H18" i="4"/>
  <c r="H19" i="4"/>
  <c r="H20" i="4"/>
  <c r="AA29" i="3"/>
  <c r="AA28" i="3"/>
  <c r="W29" i="3"/>
  <c r="W28" i="3"/>
  <c r="T29" i="3"/>
  <c r="T28" i="3"/>
  <c r="J6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H6" i="4"/>
  <c r="H7" i="4"/>
  <c r="H8" i="4"/>
  <c r="H9" i="4"/>
  <c r="H10" i="4"/>
  <c r="G6" i="4"/>
  <c r="G7" i="4"/>
  <c r="G8" i="4"/>
  <c r="G9" i="4"/>
  <c r="G10" i="4"/>
  <c r="T29" i="4" l="1"/>
  <c r="T28" i="4"/>
  <c r="M6" i="4"/>
  <c r="J7" i="3"/>
  <c r="J8" i="3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6" i="3"/>
  <c r="F10" i="4"/>
  <c r="F9" i="4"/>
  <c r="F8" i="4"/>
  <c r="F7" i="4"/>
  <c r="F6" i="4"/>
  <c r="AB29" i="3"/>
  <c r="AB28" i="3"/>
  <c r="X28" i="3"/>
  <c r="F26" i="3"/>
  <c r="F27" i="3"/>
  <c r="F22" i="3"/>
  <c r="F23" i="3"/>
  <c r="F24" i="3"/>
  <c r="F25" i="3"/>
  <c r="F15" i="3"/>
  <c r="F16" i="3"/>
  <c r="F17" i="3"/>
  <c r="F18" i="3"/>
  <c r="F19" i="3"/>
  <c r="F20" i="3"/>
  <c r="F21" i="3"/>
  <c r="F6" i="3"/>
  <c r="F7" i="3"/>
  <c r="F8" i="3"/>
  <c r="F9" i="3"/>
  <c r="F10" i="3"/>
  <c r="F11" i="3"/>
  <c r="F12" i="3"/>
  <c r="F13" i="3"/>
  <c r="F14" i="3"/>
  <c r="N6" i="4" l="1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N6" i="3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X29" i="3"/>
  <c r="X28" i="4"/>
  <c r="W28" i="4" s="1"/>
  <c r="AB28" i="4"/>
  <c r="AA28" i="4" s="1"/>
  <c r="X29" i="4"/>
  <c r="W29" i="4" s="1"/>
  <c r="K6" i="4"/>
  <c r="AB29" i="4"/>
  <c r="AA29" i="4" s="1"/>
  <c r="L6" i="4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L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K7" i="4" l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M7" i="4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Q6" i="4"/>
  <c r="L7" i="4"/>
  <c r="L7" i="3"/>
  <c r="Q6" i="3"/>
  <c r="Q7" i="4" l="1"/>
  <c r="L8" i="4"/>
  <c r="L8" i="3"/>
  <c r="Q7" i="3"/>
  <c r="Q8" i="4" l="1"/>
  <c r="L9" i="4"/>
  <c r="L9" i="3"/>
  <c r="Q8" i="3"/>
  <c r="Q9" i="4" l="1"/>
  <c r="L10" i="4"/>
  <c r="L11" i="4" s="1"/>
  <c r="L10" i="3"/>
  <c r="Q9" i="3"/>
  <c r="L12" i="4" l="1"/>
  <c r="Q11" i="4"/>
  <c r="Q10" i="4"/>
  <c r="L11" i="3"/>
  <c r="Q10" i="3"/>
  <c r="Q12" i="4" l="1"/>
  <c r="L13" i="4"/>
  <c r="L12" i="3"/>
  <c r="Q11" i="3"/>
  <c r="L14" i="4" l="1"/>
  <c r="Q13" i="4"/>
  <c r="L13" i="3"/>
  <c r="Q12" i="3"/>
  <c r="L15" i="4" l="1"/>
  <c r="Q14" i="4"/>
  <c r="L14" i="3"/>
  <c r="Q13" i="3"/>
  <c r="L16" i="4" l="1"/>
  <c r="Q15" i="4"/>
  <c r="L15" i="3"/>
  <c r="Q14" i="3"/>
  <c r="L17" i="4" l="1"/>
  <c r="Q16" i="4"/>
  <c r="L16" i="3"/>
  <c r="Q15" i="3"/>
  <c r="L18" i="4" l="1"/>
  <c r="Q17" i="4"/>
  <c r="L17" i="3"/>
  <c r="Q16" i="3"/>
  <c r="Q18" i="4" l="1"/>
  <c r="L19" i="4"/>
  <c r="L18" i="3"/>
  <c r="Q17" i="3"/>
  <c r="Q19" i="4" l="1"/>
  <c r="L20" i="4"/>
  <c r="L19" i="3"/>
  <c r="Q18" i="3"/>
  <c r="Q20" i="4" l="1"/>
  <c r="L21" i="4"/>
  <c r="L20" i="3"/>
  <c r="Q19" i="3"/>
  <c r="L22" i="4" l="1"/>
  <c r="Q21" i="4"/>
  <c r="L21" i="3"/>
  <c r="Q20" i="3"/>
  <c r="L23" i="4" l="1"/>
  <c r="Q22" i="4"/>
  <c r="L22" i="3"/>
  <c r="Q21" i="3"/>
  <c r="Q23" i="4" l="1"/>
  <c r="L24" i="4"/>
  <c r="L23" i="3"/>
  <c r="Q22" i="3"/>
  <c r="L25" i="4" l="1"/>
  <c r="Q24" i="4"/>
  <c r="L24" i="3"/>
  <c r="Q23" i="3"/>
  <c r="Q25" i="4" l="1"/>
  <c r="L26" i="4"/>
  <c r="L25" i="3"/>
  <c r="Q24" i="3"/>
  <c r="Q26" i="4" l="1"/>
  <c r="L27" i="4"/>
  <c r="L26" i="3"/>
  <c r="Q25" i="3"/>
  <c r="Q27" i="4" l="1"/>
  <c r="L28" i="4"/>
  <c r="L27" i="3"/>
  <c r="Q26" i="3"/>
  <c r="L29" i="4" l="1"/>
  <c r="Q28" i="4"/>
  <c r="L28" i="3"/>
  <c r="Q27" i="3"/>
  <c r="L30" i="4" l="1"/>
  <c r="Q29" i="4"/>
  <c r="L29" i="3"/>
  <c r="Q28" i="3"/>
  <c r="Q30" i="4" l="1"/>
  <c r="L31" i="4"/>
  <c r="L32" i="4" s="1"/>
  <c r="L30" i="3"/>
  <c r="Q29" i="3"/>
  <c r="Q32" i="4" l="1"/>
  <c r="L33" i="4"/>
  <c r="Q31" i="4"/>
  <c r="L31" i="3"/>
  <c r="Q30" i="3"/>
  <c r="L34" i="4" l="1"/>
  <c r="Q33" i="4"/>
  <c r="L32" i="3"/>
  <c r="Q32" i="3" s="1"/>
  <c r="Q31" i="3"/>
  <c r="L35" i="4" l="1"/>
  <c r="Q34" i="4"/>
  <c r="X30" i="3"/>
  <c r="W30" i="3" s="1"/>
  <c r="AB30" i="3"/>
  <c r="AA30" i="3" s="1"/>
  <c r="T30" i="3"/>
  <c r="Q35" i="4" l="1"/>
  <c r="L36" i="4"/>
  <c r="Q36" i="4" l="1"/>
  <c r="L37" i="4"/>
  <c r="L38" i="4" l="1"/>
  <c r="Q37" i="4"/>
  <c r="L39" i="4" l="1"/>
  <c r="Q38" i="4"/>
  <c r="Q39" i="4" l="1"/>
  <c r="L40" i="4"/>
  <c r="L41" i="4" l="1"/>
  <c r="Q40" i="4"/>
  <c r="L42" i="4" l="1"/>
  <c r="Q41" i="4"/>
  <c r="L43" i="4" l="1"/>
  <c r="Q42" i="4"/>
  <c r="Q43" i="4" l="1"/>
  <c r="L44" i="4"/>
  <c r="Q44" i="4" l="1"/>
  <c r="L45" i="4"/>
  <c r="L46" i="4" l="1"/>
  <c r="Q45" i="4"/>
  <c r="Q46" i="4" l="1"/>
  <c r="L47" i="4"/>
  <c r="Q47" i="4" l="1"/>
  <c r="L48" i="4"/>
  <c r="Q48" i="4" l="1"/>
  <c r="L49" i="4"/>
  <c r="Q49" i="4" l="1"/>
  <c r="L50" i="4"/>
  <c r="Q50" i="4" l="1"/>
  <c r="L51" i="4"/>
  <c r="L52" i="4" l="1"/>
  <c r="Q51" i="4"/>
  <c r="L53" i="4" l="1"/>
  <c r="Q52" i="4"/>
  <c r="L54" i="4" l="1"/>
  <c r="Q53" i="4"/>
  <c r="Q54" i="4" l="1"/>
  <c r="L55" i="4"/>
  <c r="L56" i="4" l="1"/>
  <c r="Q55" i="4"/>
  <c r="L57" i="4" l="1"/>
  <c r="Q56" i="4"/>
  <c r="L58" i="4" l="1"/>
  <c r="Q57" i="4"/>
  <c r="L59" i="4" l="1"/>
  <c r="Q58" i="4"/>
  <c r="L60" i="4" l="1"/>
  <c r="Q59" i="4"/>
  <c r="Q60" i="4" l="1"/>
  <c r="L61" i="4"/>
  <c r="L62" i="4" l="1"/>
  <c r="Q61" i="4"/>
  <c r="Q62" i="4" l="1"/>
  <c r="L63" i="4"/>
  <c r="Q63" i="4" l="1"/>
  <c r="L64" i="4"/>
  <c r="L65" i="4" l="1"/>
  <c r="Q64" i="4"/>
  <c r="L66" i="4" l="1"/>
  <c r="Q65" i="4"/>
  <c r="L67" i="4" l="1"/>
  <c r="Q66" i="4"/>
  <c r="Q67" i="4" l="1"/>
  <c r="L68" i="4"/>
  <c r="Q68" i="4" l="1"/>
  <c r="L69" i="4"/>
  <c r="L70" i="4" l="1"/>
  <c r="Q69" i="4"/>
  <c r="L71" i="4" l="1"/>
  <c r="Q70" i="4"/>
  <c r="Q71" i="4" l="1"/>
  <c r="L72" i="4"/>
  <c r="Q72" i="4" l="1"/>
  <c r="L73" i="4"/>
  <c r="L74" i="4" l="1"/>
  <c r="Q73" i="4"/>
  <c r="L75" i="4" l="1"/>
  <c r="Q74" i="4"/>
  <c r="Q75" i="4" l="1"/>
  <c r="L76" i="4"/>
  <c r="Q76" i="4" l="1"/>
  <c r="L77" i="4"/>
  <c r="Q77" i="4" l="1"/>
  <c r="L78" i="4"/>
  <c r="L79" i="4" l="1"/>
  <c r="Q78" i="4"/>
  <c r="Q79" i="4" l="1"/>
  <c r="L80" i="4"/>
  <c r="Q80" i="4" l="1"/>
  <c r="L81" i="4"/>
  <c r="L82" i="4" l="1"/>
  <c r="Q82" i="4" s="1"/>
  <c r="Q81" i="4"/>
  <c r="T30" i="4" l="1"/>
  <c r="X30" i="4"/>
  <c r="W30" i="4" s="1"/>
  <c r="AB30" i="4"/>
  <c r="AA30" i="4" s="1"/>
</calcChain>
</file>

<file path=xl/sharedStrings.xml><?xml version="1.0" encoding="utf-8"?>
<sst xmlns="http://schemas.openxmlformats.org/spreadsheetml/2006/main" count="255" uniqueCount="118">
  <si>
    <t>Tareas en el kanban</t>
  </si>
  <si>
    <t>Por hacer</t>
  </si>
  <si>
    <t>En proceso</t>
  </si>
  <si>
    <t>En revisión</t>
  </si>
  <si>
    <t>Hecho</t>
  </si>
  <si>
    <t>WIP</t>
  </si>
  <si>
    <t>Código Tarea</t>
  </si>
  <si>
    <t>Fecha</t>
  </si>
  <si>
    <t>#001</t>
  </si>
  <si>
    <t>#002</t>
  </si>
  <si>
    <t>#003</t>
  </si>
  <si>
    <t>#004</t>
  </si>
  <si>
    <t>#005</t>
  </si>
  <si>
    <t>#006</t>
  </si>
  <si>
    <t>#007</t>
  </si>
  <si>
    <t>Estado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</si>
  <si>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</si>
  <si>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</si>
  <si>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</si>
  <si>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</si>
  <si>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</si>
  <si>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</si>
  <si>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</si>
  <si>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</si>
  <si>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</si>
  <si>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</si>
  <si>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</si>
  <si>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</si>
  <si>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</si>
  <si>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</si>
  <si>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</si>
  <si>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Registro de actividad</t>
  </si>
  <si>
    <t>Fundamentos de Videojuegos - ETSIINF</t>
  </si>
  <si>
    <t>Tiempo de Entrega</t>
  </si>
  <si>
    <t>Tiempo de Ciclo</t>
  </si>
  <si>
    <t>Límite WIP - Proceso</t>
  </si>
  <si>
    <t>Límite WIP - Revisión</t>
  </si>
  <si>
    <t>Diagrama de Flujo Acumulado</t>
  </si>
  <si>
    <t>Métricas</t>
  </si>
  <si>
    <t>días</t>
  </si>
  <si>
    <t>tareas</t>
  </si>
  <si>
    <t>Tiempo de Entrega promedio:</t>
  </si>
  <si>
    <t>Tiempo de Ciclo promedio:</t>
  </si>
  <si>
    <t>WIP promedio:</t>
  </si>
  <si>
    <t>Ejemplo</t>
  </si>
  <si>
    <t>Registro para el proyecto</t>
  </si>
  <si>
    <t>Descrpción</t>
  </si>
  <si>
    <t>Reunión inicial</t>
  </si>
  <si>
    <t>Planificación del proyecto</t>
  </si>
  <si>
    <t>Crear repositorio GitHub</t>
  </si>
  <si>
    <t>Game Lab: Movimiento player</t>
  </si>
  <si>
    <t>Game Lab: Enemigo Script</t>
  </si>
  <si>
    <t>Tutoriales  Github</t>
  </si>
  <si>
    <t>Game Lab: Ataque melee</t>
  </si>
  <si>
    <t>Game Lab: Sistema movimiento de camara</t>
  </si>
  <si>
    <t>Prototipo: Implementar mecánica de cambio de personajes</t>
  </si>
  <si>
    <t>Game Lab: Diseñar aspecto de personaje principal</t>
  </si>
  <si>
    <t>Game Lab: Diseñar aspecto enemigo</t>
  </si>
  <si>
    <t>Game Lab: Nivel de prueba</t>
  </si>
  <si>
    <t>Actualizar Backlog</t>
  </si>
  <si>
    <t>StoryBoard</t>
  </si>
  <si>
    <t>Revisar GDD</t>
  </si>
  <si>
    <t>Encargado</t>
  </si>
  <si>
    <t>Nombre</t>
  </si>
  <si>
    <t>Acrónimo</t>
  </si>
  <si>
    <t xml:space="preserve">Daniel Berdasco González </t>
  </si>
  <si>
    <t xml:space="preserve">Daniel Fernández Feas </t>
  </si>
  <si>
    <t>David Henríquez Garrido</t>
  </si>
  <si>
    <t>Noa Alegria Israel Benchaya</t>
  </si>
  <si>
    <t>Lucas Lillo Ramírez</t>
  </si>
  <si>
    <t>Álvaro Salamero García</t>
  </si>
  <si>
    <t>DB</t>
  </si>
  <si>
    <t>DF</t>
  </si>
  <si>
    <t>DH</t>
  </si>
  <si>
    <t>LL</t>
  </si>
  <si>
    <t>NA</t>
  </si>
  <si>
    <t>AS</t>
  </si>
  <si>
    <t xml:space="preserve">Miembros del Grupo 13 </t>
  </si>
  <si>
    <t>Grupo 13</t>
  </si>
  <si>
    <t>DF y NA</t>
  </si>
  <si>
    <t>Resumen Tareas</t>
  </si>
  <si>
    <t>Sistema movimiento cámara</t>
  </si>
  <si>
    <t>Definir Características Personaje Tanque</t>
  </si>
  <si>
    <t>Hablidad especial Tanque</t>
  </si>
  <si>
    <t>Definir Características Personaje Arquero</t>
  </si>
  <si>
    <t>Arquero: Mecánica Disparo Base</t>
  </si>
  <si>
    <t>Pulir mecánica de cambio de personaje</t>
  </si>
  <si>
    <t>Sprites arquero</t>
  </si>
  <si>
    <t>Sprites Tanque</t>
  </si>
  <si>
    <t>Test unitarios</t>
  </si>
  <si>
    <t>Tutorial</t>
  </si>
  <si>
    <t>Actualizar GDD</t>
  </si>
  <si>
    <t>#023</t>
  </si>
  <si>
    <t>#024</t>
  </si>
  <si>
    <t>#025</t>
  </si>
  <si>
    <t>#026</t>
  </si>
  <si>
    <t>Iteración 2</t>
  </si>
  <si>
    <t>LL y DH</t>
  </si>
  <si>
    <t>Iteración 3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</si>
  <si>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</si>
  <si>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</si>
  <si>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</si>
  <si>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</si>
  <si>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</si>
  <si>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</si>
  <si>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</si>
  <si>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</si>
  <si>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</si>
  <si>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</si>
  <si>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Direccionar ataque melee</t>
  </si>
  <si>
    <t>Perfeccionar combate cuerpo a cuerpo</t>
  </si>
  <si>
    <t>Adaptar player para ScriptableObject</t>
  </si>
  <si>
    <t>Pulir mecánica de cambio de personaje (tanque)</t>
  </si>
  <si>
    <t>Mejorar fondo</t>
  </si>
  <si>
    <t>Requisitos de los tests</t>
  </si>
  <si>
    <t>Realizar los tests con jugadores</t>
  </si>
  <si>
    <t>Actualizar GDD v3</t>
  </si>
  <si>
    <t>LL y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</si>
</sst>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2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CE4D6"/>
        <bgColor rgb="FFFCE4D6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1" xfId="0" applyFill="1" applyBorder="1"/>
    <xf numFmtId="165" fontId="0" fillId="0" borderId="0" xfId="0" applyNumberFormat="1"/>
    <xf numFmtId="14" fontId="7" fillId="4" borderId="0" xfId="0" applyNumberFormat="1" applyFont="1" applyFill="1"/>
    <xf numFmtId="14" fontId="7" fillId="0" borderId="0" xfId="0" applyNumberFormat="1" applyFont="1"/>
    <xf numFmtId="0" fontId="6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8" fillId="0" borderId="0" xfId="0" applyFont="1"/>
    <xf numFmtId="0" fontId="0" fillId="3" borderId="3" xfId="0" applyFill="1" applyBorder="1"/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0" formatCode="General"/>
    </dxf>
    <dxf>
      <numFmt numFmtId="165" formatCode="d/m/yy"/>
    </dxf>
    <dxf>
      <numFmt numFmtId="165" formatCode="d/m/yy"/>
    </dxf>
    <dxf>
      <numFmt numFmtId="165" formatCode="d/m/yy"/>
    </dxf>
    <dxf>
      <numFmt numFmtId="165" formatCode="d/m/yy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0" formatCode="General"/>
    </dxf>
    <dxf>
      <numFmt numFmtId="165" formatCode="d/m/yy"/>
    </dxf>
    <dxf>
      <numFmt numFmtId="165" formatCode="d/m/yy"/>
    </dxf>
    <dxf>
      <numFmt numFmtId="165" formatCode="d/m/yy"/>
    </dxf>
    <dxf>
      <numFmt numFmtId="165" formatCode="d/m/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Diagrama de Flujo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'Flujo Acumulado'!$N$5</c:f>
              <c:strCache>
                <c:ptCount val="1"/>
                <c:pt idx="0">
                  <c:v>Hecho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'Flujo Acumulado'!$J$6:$J$32</c:f>
              <c:numCache>
                <c:formatCode>m/d/yyyy</c:formatCode>
                <c:ptCount val="27"/>
                <c:pt idx="0">
                  <c:v>45569</c:v>
                </c:pt>
                <c:pt idx="1">
                  <c:v>45570</c:v>
                </c:pt>
                <c:pt idx="2">
                  <c:v>45571</c:v>
                </c:pt>
                <c:pt idx="3">
                  <c:v>45572</c:v>
                </c:pt>
                <c:pt idx="4">
                  <c:v>45573</c:v>
                </c:pt>
                <c:pt idx="5" formatCode="d/m/yy">
                  <c:v>45574</c:v>
                </c:pt>
                <c:pt idx="6" formatCode="d/m/yy">
                  <c:v>45575</c:v>
                </c:pt>
                <c:pt idx="7" formatCode="d/m/yy">
                  <c:v>45576</c:v>
                </c:pt>
                <c:pt idx="8" formatCode="d/m/yy">
                  <c:v>45577</c:v>
                </c:pt>
                <c:pt idx="9" formatCode="d/m/yy">
                  <c:v>45578</c:v>
                </c:pt>
                <c:pt idx="10" formatCode="d/m/yy">
                  <c:v>45579</c:v>
                </c:pt>
                <c:pt idx="11" formatCode="d/m/yy">
                  <c:v>45580</c:v>
                </c:pt>
                <c:pt idx="12" formatCode="d/m/yy">
                  <c:v>45581</c:v>
                </c:pt>
                <c:pt idx="13" formatCode="d/m/yy">
                  <c:v>45582</c:v>
                </c:pt>
                <c:pt idx="14" formatCode="d/m/yy">
                  <c:v>45583</c:v>
                </c:pt>
                <c:pt idx="15" formatCode="d/m/yy">
                  <c:v>45584</c:v>
                </c:pt>
                <c:pt idx="16" formatCode="d/m/yy">
                  <c:v>45585</c:v>
                </c:pt>
                <c:pt idx="17" formatCode="d/m/yy">
                  <c:v>45586</c:v>
                </c:pt>
                <c:pt idx="18" formatCode="d/m/yy">
                  <c:v>45587</c:v>
                </c:pt>
                <c:pt idx="19" formatCode="d/m/yy">
                  <c:v>45588</c:v>
                </c:pt>
                <c:pt idx="20" formatCode="d/m/yy">
                  <c:v>45589</c:v>
                </c:pt>
                <c:pt idx="21" formatCode="d/m/yy">
                  <c:v>45590</c:v>
                </c:pt>
                <c:pt idx="22" formatCode="d/m/yy">
                  <c:v>45591</c:v>
                </c:pt>
                <c:pt idx="23" formatCode="d/m/yy">
                  <c:v>45592</c:v>
                </c:pt>
                <c:pt idx="24" formatCode="d/m/yy">
                  <c:v>45593</c:v>
                </c:pt>
                <c:pt idx="25" formatCode="d/m/yy">
                  <c:v>45594</c:v>
                </c:pt>
                <c:pt idx="26" formatCode="d/m/yy">
                  <c:v>45595</c:v>
                </c:pt>
              </c:numCache>
            </c:numRef>
          </c:cat>
          <c:val>
            <c:numRef>
              <c:f>'Flujo Acumulado'!$N$6:$N$32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7-474D-82A9-57D7D9DBDDC5}"/>
            </c:ext>
          </c:extLst>
        </c:ser>
        <c:ser>
          <c:idx val="2"/>
          <c:order val="1"/>
          <c:tx>
            <c:strRef>
              <c:f>'Flujo Acumulado'!$M$5</c:f>
              <c:strCache>
                <c:ptCount val="1"/>
                <c:pt idx="0">
                  <c:v>En revisión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'Flujo Acumulado'!$J$6:$J$32</c:f>
              <c:numCache>
                <c:formatCode>m/d/yyyy</c:formatCode>
                <c:ptCount val="27"/>
                <c:pt idx="0">
                  <c:v>45569</c:v>
                </c:pt>
                <c:pt idx="1">
                  <c:v>45570</c:v>
                </c:pt>
                <c:pt idx="2">
                  <c:v>45571</c:v>
                </c:pt>
                <c:pt idx="3">
                  <c:v>45572</c:v>
                </c:pt>
                <c:pt idx="4">
                  <c:v>45573</c:v>
                </c:pt>
                <c:pt idx="5" formatCode="d/m/yy">
                  <c:v>45574</c:v>
                </c:pt>
                <c:pt idx="6" formatCode="d/m/yy">
                  <c:v>45575</c:v>
                </c:pt>
                <c:pt idx="7" formatCode="d/m/yy">
                  <c:v>45576</c:v>
                </c:pt>
                <c:pt idx="8" formatCode="d/m/yy">
                  <c:v>45577</c:v>
                </c:pt>
                <c:pt idx="9" formatCode="d/m/yy">
                  <c:v>45578</c:v>
                </c:pt>
                <c:pt idx="10" formatCode="d/m/yy">
                  <c:v>45579</c:v>
                </c:pt>
                <c:pt idx="11" formatCode="d/m/yy">
                  <c:v>45580</c:v>
                </c:pt>
                <c:pt idx="12" formatCode="d/m/yy">
                  <c:v>45581</c:v>
                </c:pt>
                <c:pt idx="13" formatCode="d/m/yy">
                  <c:v>45582</c:v>
                </c:pt>
                <c:pt idx="14" formatCode="d/m/yy">
                  <c:v>45583</c:v>
                </c:pt>
                <c:pt idx="15" formatCode="d/m/yy">
                  <c:v>45584</c:v>
                </c:pt>
                <c:pt idx="16" formatCode="d/m/yy">
                  <c:v>45585</c:v>
                </c:pt>
                <c:pt idx="17" formatCode="d/m/yy">
                  <c:v>45586</c:v>
                </c:pt>
                <c:pt idx="18" formatCode="d/m/yy">
                  <c:v>45587</c:v>
                </c:pt>
                <c:pt idx="19" formatCode="d/m/yy">
                  <c:v>45588</c:v>
                </c:pt>
                <c:pt idx="20" formatCode="d/m/yy">
                  <c:v>45589</c:v>
                </c:pt>
                <c:pt idx="21" formatCode="d/m/yy">
                  <c:v>45590</c:v>
                </c:pt>
                <c:pt idx="22" formatCode="d/m/yy">
                  <c:v>45591</c:v>
                </c:pt>
                <c:pt idx="23" formatCode="d/m/yy">
                  <c:v>45592</c:v>
                </c:pt>
                <c:pt idx="24" formatCode="d/m/yy">
                  <c:v>45593</c:v>
                </c:pt>
                <c:pt idx="25" formatCode="d/m/yy">
                  <c:v>45594</c:v>
                </c:pt>
                <c:pt idx="26" formatCode="d/m/yy">
                  <c:v>45595</c:v>
                </c:pt>
              </c:numCache>
            </c:numRef>
          </c:cat>
          <c:val>
            <c:numRef>
              <c:f>'Flujo Acumulado'!$M$6:$M$32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7-474D-82A9-57D7D9DBDDC5}"/>
            </c:ext>
          </c:extLst>
        </c:ser>
        <c:ser>
          <c:idx val="1"/>
          <c:order val="2"/>
          <c:tx>
            <c:strRef>
              <c:f>'Flujo Acumulado'!$L$5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'Flujo Acumulado'!$J$6:$J$32</c:f>
              <c:numCache>
                <c:formatCode>m/d/yyyy</c:formatCode>
                <c:ptCount val="27"/>
                <c:pt idx="0">
                  <c:v>45569</c:v>
                </c:pt>
                <c:pt idx="1">
                  <c:v>45570</c:v>
                </c:pt>
                <c:pt idx="2">
                  <c:v>45571</c:v>
                </c:pt>
                <c:pt idx="3">
                  <c:v>45572</c:v>
                </c:pt>
                <c:pt idx="4">
                  <c:v>45573</c:v>
                </c:pt>
                <c:pt idx="5" formatCode="d/m/yy">
                  <c:v>45574</c:v>
                </c:pt>
                <c:pt idx="6" formatCode="d/m/yy">
                  <c:v>45575</c:v>
                </c:pt>
                <c:pt idx="7" formatCode="d/m/yy">
                  <c:v>45576</c:v>
                </c:pt>
                <c:pt idx="8" formatCode="d/m/yy">
                  <c:v>45577</c:v>
                </c:pt>
                <c:pt idx="9" formatCode="d/m/yy">
                  <c:v>45578</c:v>
                </c:pt>
                <c:pt idx="10" formatCode="d/m/yy">
                  <c:v>45579</c:v>
                </c:pt>
                <c:pt idx="11" formatCode="d/m/yy">
                  <c:v>45580</c:v>
                </c:pt>
                <c:pt idx="12" formatCode="d/m/yy">
                  <c:v>45581</c:v>
                </c:pt>
                <c:pt idx="13" formatCode="d/m/yy">
                  <c:v>45582</c:v>
                </c:pt>
                <c:pt idx="14" formatCode="d/m/yy">
                  <c:v>45583</c:v>
                </c:pt>
                <c:pt idx="15" formatCode="d/m/yy">
                  <c:v>45584</c:v>
                </c:pt>
                <c:pt idx="16" formatCode="d/m/yy">
                  <c:v>45585</c:v>
                </c:pt>
                <c:pt idx="17" formatCode="d/m/yy">
                  <c:v>45586</c:v>
                </c:pt>
                <c:pt idx="18" formatCode="d/m/yy">
                  <c:v>45587</c:v>
                </c:pt>
                <c:pt idx="19" formatCode="d/m/yy">
                  <c:v>45588</c:v>
                </c:pt>
                <c:pt idx="20" formatCode="d/m/yy">
                  <c:v>45589</c:v>
                </c:pt>
                <c:pt idx="21" formatCode="d/m/yy">
                  <c:v>45590</c:v>
                </c:pt>
                <c:pt idx="22" formatCode="d/m/yy">
                  <c:v>45591</c:v>
                </c:pt>
                <c:pt idx="23" formatCode="d/m/yy">
                  <c:v>45592</c:v>
                </c:pt>
                <c:pt idx="24" formatCode="d/m/yy">
                  <c:v>45593</c:v>
                </c:pt>
                <c:pt idx="25" formatCode="d/m/yy">
                  <c:v>45594</c:v>
                </c:pt>
                <c:pt idx="26" formatCode="d/m/yy">
                  <c:v>45595</c:v>
                </c:pt>
              </c:numCache>
            </c:numRef>
          </c:cat>
          <c:val>
            <c:numRef>
              <c:f>'Flujo Acumulado'!$L$6:$L$32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7-474D-82A9-57D7D9DBDDC5}"/>
            </c:ext>
          </c:extLst>
        </c:ser>
        <c:ser>
          <c:idx val="0"/>
          <c:order val="3"/>
          <c:tx>
            <c:strRef>
              <c:f>'Flujo Acumulado'!$K$5</c:f>
              <c:strCache>
                <c:ptCount val="1"/>
                <c:pt idx="0">
                  <c:v>Por hacer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'Flujo Acumulado'!$J$6:$J$32</c:f>
              <c:numCache>
                <c:formatCode>m/d/yyyy</c:formatCode>
                <c:ptCount val="27"/>
                <c:pt idx="0">
                  <c:v>45569</c:v>
                </c:pt>
                <c:pt idx="1">
                  <c:v>45570</c:v>
                </c:pt>
                <c:pt idx="2">
                  <c:v>45571</c:v>
                </c:pt>
                <c:pt idx="3">
                  <c:v>45572</c:v>
                </c:pt>
                <c:pt idx="4">
                  <c:v>45573</c:v>
                </c:pt>
                <c:pt idx="5" formatCode="d/m/yy">
                  <c:v>45574</c:v>
                </c:pt>
                <c:pt idx="6" formatCode="d/m/yy">
                  <c:v>45575</c:v>
                </c:pt>
                <c:pt idx="7" formatCode="d/m/yy">
                  <c:v>45576</c:v>
                </c:pt>
                <c:pt idx="8" formatCode="d/m/yy">
                  <c:v>45577</c:v>
                </c:pt>
                <c:pt idx="9" formatCode="d/m/yy">
                  <c:v>45578</c:v>
                </c:pt>
                <c:pt idx="10" formatCode="d/m/yy">
                  <c:v>45579</c:v>
                </c:pt>
                <c:pt idx="11" formatCode="d/m/yy">
                  <c:v>45580</c:v>
                </c:pt>
                <c:pt idx="12" formatCode="d/m/yy">
                  <c:v>45581</c:v>
                </c:pt>
                <c:pt idx="13" formatCode="d/m/yy">
                  <c:v>45582</c:v>
                </c:pt>
                <c:pt idx="14" formatCode="d/m/yy">
                  <c:v>45583</c:v>
                </c:pt>
                <c:pt idx="15" formatCode="d/m/yy">
                  <c:v>45584</c:v>
                </c:pt>
                <c:pt idx="16" formatCode="d/m/yy">
                  <c:v>45585</c:v>
                </c:pt>
                <c:pt idx="17" formatCode="d/m/yy">
                  <c:v>45586</c:v>
                </c:pt>
                <c:pt idx="18" formatCode="d/m/yy">
                  <c:v>45587</c:v>
                </c:pt>
                <c:pt idx="19" formatCode="d/m/yy">
                  <c:v>45588</c:v>
                </c:pt>
                <c:pt idx="20" formatCode="d/m/yy">
                  <c:v>45589</c:v>
                </c:pt>
                <c:pt idx="21" formatCode="d/m/yy">
                  <c:v>45590</c:v>
                </c:pt>
                <c:pt idx="22" formatCode="d/m/yy">
                  <c:v>45591</c:v>
                </c:pt>
                <c:pt idx="23" formatCode="d/m/yy">
                  <c:v>45592</c:v>
                </c:pt>
                <c:pt idx="24" formatCode="d/m/yy">
                  <c:v>45593</c:v>
                </c:pt>
                <c:pt idx="25" formatCode="d/m/yy">
                  <c:v>45594</c:v>
                </c:pt>
                <c:pt idx="26" formatCode="d/m/yy">
                  <c:v>45595</c:v>
                </c:pt>
              </c:numCache>
            </c:numRef>
          </c:cat>
          <c:val>
            <c:numRef>
              <c:f>'Flujo Acumulado'!$K$6:$K$32</c:f>
              <c:numCache>
                <c:formatCode>General</c:formatCode>
                <c:ptCount val="2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7-474D-82A9-57D7D9DB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70639"/>
        <c:axId val="1553593471"/>
      </c:areaChart>
      <c:dateAx>
        <c:axId val="1553370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593471"/>
        <c:crosses val="autoZero"/>
        <c:auto val="1"/>
        <c:lblOffset val="100"/>
        <c:baseTimeUnit val="days"/>
      </c:dateAx>
      <c:valAx>
        <c:axId val="1553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37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Diagrama de Flujo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Ejemplo!$N$5</c:f>
              <c:strCache>
                <c:ptCount val="1"/>
                <c:pt idx="0">
                  <c:v>Hecho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Ejemplo!$J$6:$J$32</c:f>
              <c:numCache>
                <c:formatCode>m/d/yyyy</c:formatCode>
                <c:ptCount val="27"/>
                <c:pt idx="0">
                  <c:v>45187</c:v>
                </c:pt>
                <c:pt idx="1">
                  <c:v>45188</c:v>
                </c:pt>
                <c:pt idx="2">
                  <c:v>45189</c:v>
                </c:pt>
                <c:pt idx="3">
                  <c:v>45190</c:v>
                </c:pt>
                <c:pt idx="4">
                  <c:v>45191</c:v>
                </c:pt>
                <c:pt idx="5">
                  <c:v>45192</c:v>
                </c:pt>
                <c:pt idx="6">
                  <c:v>45193</c:v>
                </c:pt>
                <c:pt idx="7">
                  <c:v>45194</c:v>
                </c:pt>
                <c:pt idx="8">
                  <c:v>45195</c:v>
                </c:pt>
                <c:pt idx="9">
                  <c:v>45196</c:v>
                </c:pt>
                <c:pt idx="10">
                  <c:v>45197</c:v>
                </c:pt>
                <c:pt idx="11">
                  <c:v>45198</c:v>
                </c:pt>
                <c:pt idx="12">
                  <c:v>45199</c:v>
                </c:pt>
                <c:pt idx="13">
                  <c:v>45200</c:v>
                </c:pt>
                <c:pt idx="14">
                  <c:v>45201</c:v>
                </c:pt>
                <c:pt idx="15">
                  <c:v>45202</c:v>
                </c:pt>
                <c:pt idx="16">
                  <c:v>45203</c:v>
                </c:pt>
                <c:pt idx="17">
                  <c:v>45204</c:v>
                </c:pt>
                <c:pt idx="18">
                  <c:v>45205</c:v>
                </c:pt>
                <c:pt idx="19">
                  <c:v>45206</c:v>
                </c:pt>
                <c:pt idx="20">
                  <c:v>45207</c:v>
                </c:pt>
                <c:pt idx="21">
                  <c:v>45208</c:v>
                </c:pt>
                <c:pt idx="22">
                  <c:v>45209</c:v>
                </c:pt>
                <c:pt idx="23">
                  <c:v>45210</c:v>
                </c:pt>
                <c:pt idx="24">
                  <c:v>45211</c:v>
                </c:pt>
                <c:pt idx="25">
                  <c:v>45212</c:v>
                </c:pt>
                <c:pt idx="26">
                  <c:v>45213</c:v>
                </c:pt>
              </c:numCache>
            </c:numRef>
          </c:cat>
          <c:val>
            <c:numRef>
              <c:f>Ejemplo!$N$6:$N$32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E-0D43-8520-EC857C1E3653}"/>
            </c:ext>
          </c:extLst>
        </c:ser>
        <c:ser>
          <c:idx val="2"/>
          <c:order val="1"/>
          <c:tx>
            <c:strRef>
              <c:f>Ejemplo!$M$5</c:f>
              <c:strCache>
                <c:ptCount val="1"/>
                <c:pt idx="0">
                  <c:v>En revisión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Ejemplo!$J$6:$J$32</c:f>
              <c:numCache>
                <c:formatCode>m/d/yyyy</c:formatCode>
                <c:ptCount val="27"/>
                <c:pt idx="0">
                  <c:v>45187</c:v>
                </c:pt>
                <c:pt idx="1">
                  <c:v>45188</c:v>
                </c:pt>
                <c:pt idx="2">
                  <c:v>45189</c:v>
                </c:pt>
                <c:pt idx="3">
                  <c:v>45190</c:v>
                </c:pt>
                <c:pt idx="4">
                  <c:v>45191</c:v>
                </c:pt>
                <c:pt idx="5">
                  <c:v>45192</c:v>
                </c:pt>
                <c:pt idx="6">
                  <c:v>45193</c:v>
                </c:pt>
                <c:pt idx="7">
                  <c:v>45194</c:v>
                </c:pt>
                <c:pt idx="8">
                  <c:v>45195</c:v>
                </c:pt>
                <c:pt idx="9">
                  <c:v>45196</c:v>
                </c:pt>
                <c:pt idx="10">
                  <c:v>45197</c:v>
                </c:pt>
                <c:pt idx="11">
                  <c:v>45198</c:v>
                </c:pt>
                <c:pt idx="12">
                  <c:v>45199</c:v>
                </c:pt>
                <c:pt idx="13">
                  <c:v>45200</c:v>
                </c:pt>
                <c:pt idx="14">
                  <c:v>45201</c:v>
                </c:pt>
                <c:pt idx="15">
                  <c:v>45202</c:v>
                </c:pt>
                <c:pt idx="16">
                  <c:v>45203</c:v>
                </c:pt>
                <c:pt idx="17">
                  <c:v>45204</c:v>
                </c:pt>
                <c:pt idx="18">
                  <c:v>45205</c:v>
                </c:pt>
                <c:pt idx="19">
                  <c:v>45206</c:v>
                </c:pt>
                <c:pt idx="20">
                  <c:v>45207</c:v>
                </c:pt>
                <c:pt idx="21">
                  <c:v>45208</c:v>
                </c:pt>
                <c:pt idx="22">
                  <c:v>45209</c:v>
                </c:pt>
                <c:pt idx="23">
                  <c:v>45210</c:v>
                </c:pt>
                <c:pt idx="24">
                  <c:v>45211</c:v>
                </c:pt>
                <c:pt idx="25">
                  <c:v>45212</c:v>
                </c:pt>
                <c:pt idx="26">
                  <c:v>45213</c:v>
                </c:pt>
              </c:numCache>
            </c:numRef>
          </c:cat>
          <c:val>
            <c:numRef>
              <c:f>Ejemplo!$M$6:$M$32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E-0D43-8520-EC857C1E3653}"/>
            </c:ext>
          </c:extLst>
        </c:ser>
        <c:ser>
          <c:idx val="1"/>
          <c:order val="2"/>
          <c:tx>
            <c:strRef>
              <c:f>Ejemplo!$L$5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Ejemplo!$J$6:$J$32</c:f>
              <c:numCache>
                <c:formatCode>m/d/yyyy</c:formatCode>
                <c:ptCount val="27"/>
                <c:pt idx="0">
                  <c:v>45187</c:v>
                </c:pt>
                <c:pt idx="1">
                  <c:v>45188</c:v>
                </c:pt>
                <c:pt idx="2">
                  <c:v>45189</c:v>
                </c:pt>
                <c:pt idx="3">
                  <c:v>45190</c:v>
                </c:pt>
                <c:pt idx="4">
                  <c:v>45191</c:v>
                </c:pt>
                <c:pt idx="5">
                  <c:v>45192</c:v>
                </c:pt>
                <c:pt idx="6">
                  <c:v>45193</c:v>
                </c:pt>
                <c:pt idx="7">
                  <c:v>45194</c:v>
                </c:pt>
                <c:pt idx="8">
                  <c:v>45195</c:v>
                </c:pt>
                <c:pt idx="9">
                  <c:v>45196</c:v>
                </c:pt>
                <c:pt idx="10">
                  <c:v>45197</c:v>
                </c:pt>
                <c:pt idx="11">
                  <c:v>45198</c:v>
                </c:pt>
                <c:pt idx="12">
                  <c:v>45199</c:v>
                </c:pt>
                <c:pt idx="13">
                  <c:v>45200</c:v>
                </c:pt>
                <c:pt idx="14">
                  <c:v>45201</c:v>
                </c:pt>
                <c:pt idx="15">
                  <c:v>45202</c:v>
                </c:pt>
                <c:pt idx="16">
                  <c:v>45203</c:v>
                </c:pt>
                <c:pt idx="17">
                  <c:v>45204</c:v>
                </c:pt>
                <c:pt idx="18">
                  <c:v>45205</c:v>
                </c:pt>
                <c:pt idx="19">
                  <c:v>45206</c:v>
                </c:pt>
                <c:pt idx="20">
                  <c:v>45207</c:v>
                </c:pt>
                <c:pt idx="21">
                  <c:v>45208</c:v>
                </c:pt>
                <c:pt idx="22">
                  <c:v>45209</c:v>
                </c:pt>
                <c:pt idx="23">
                  <c:v>45210</c:v>
                </c:pt>
                <c:pt idx="24">
                  <c:v>45211</c:v>
                </c:pt>
                <c:pt idx="25">
                  <c:v>45212</c:v>
                </c:pt>
                <c:pt idx="26">
                  <c:v>45213</c:v>
                </c:pt>
              </c:numCache>
            </c:numRef>
          </c:cat>
          <c:val>
            <c:numRef>
              <c:f>Ejemplo!$L$6:$L$32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E-0D43-8520-EC857C1E3653}"/>
            </c:ext>
          </c:extLst>
        </c:ser>
        <c:ser>
          <c:idx val="0"/>
          <c:order val="3"/>
          <c:tx>
            <c:strRef>
              <c:f>Ejemplo!$K$5</c:f>
              <c:strCache>
                <c:ptCount val="1"/>
                <c:pt idx="0">
                  <c:v>Por hacer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Ejemplo!$J$6:$J$32</c:f>
              <c:numCache>
                <c:formatCode>m/d/yyyy</c:formatCode>
                <c:ptCount val="27"/>
                <c:pt idx="0">
                  <c:v>45187</c:v>
                </c:pt>
                <c:pt idx="1">
                  <c:v>45188</c:v>
                </c:pt>
                <c:pt idx="2">
                  <c:v>45189</c:v>
                </c:pt>
                <c:pt idx="3">
                  <c:v>45190</c:v>
                </c:pt>
                <c:pt idx="4">
                  <c:v>45191</c:v>
                </c:pt>
                <c:pt idx="5">
                  <c:v>45192</c:v>
                </c:pt>
                <c:pt idx="6">
                  <c:v>45193</c:v>
                </c:pt>
                <c:pt idx="7">
                  <c:v>45194</c:v>
                </c:pt>
                <c:pt idx="8">
                  <c:v>45195</c:v>
                </c:pt>
                <c:pt idx="9">
                  <c:v>45196</c:v>
                </c:pt>
                <c:pt idx="10">
                  <c:v>45197</c:v>
                </c:pt>
                <c:pt idx="11">
                  <c:v>45198</c:v>
                </c:pt>
                <c:pt idx="12">
                  <c:v>45199</c:v>
                </c:pt>
                <c:pt idx="13">
                  <c:v>45200</c:v>
                </c:pt>
                <c:pt idx="14">
                  <c:v>45201</c:v>
                </c:pt>
                <c:pt idx="15">
                  <c:v>45202</c:v>
                </c:pt>
                <c:pt idx="16">
                  <c:v>45203</c:v>
                </c:pt>
                <c:pt idx="17">
                  <c:v>45204</c:v>
                </c:pt>
                <c:pt idx="18">
                  <c:v>45205</c:v>
                </c:pt>
                <c:pt idx="19">
                  <c:v>45206</c:v>
                </c:pt>
                <c:pt idx="20">
                  <c:v>45207</c:v>
                </c:pt>
                <c:pt idx="21">
                  <c:v>45208</c:v>
                </c:pt>
                <c:pt idx="22">
                  <c:v>45209</c:v>
                </c:pt>
                <c:pt idx="23">
                  <c:v>45210</c:v>
                </c:pt>
                <c:pt idx="24">
                  <c:v>45211</c:v>
                </c:pt>
                <c:pt idx="25">
                  <c:v>45212</c:v>
                </c:pt>
                <c:pt idx="26">
                  <c:v>45213</c:v>
                </c:pt>
              </c:numCache>
            </c:numRef>
          </c:cat>
          <c:val>
            <c:numRef>
              <c:f>Ejemplo!$K$6:$K$32</c:f>
              <c:numCache>
                <c:formatCode>General</c:formatCode>
                <c:ptCount val="27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E-0D43-8520-EC857C1E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70639"/>
        <c:axId val="1553593471"/>
      </c:areaChart>
      <c:dateAx>
        <c:axId val="1553370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593471"/>
        <c:crosses val="autoZero"/>
        <c:auto val="1"/>
        <c:lblOffset val="100"/>
        <c:baseTimeUnit val="days"/>
      </c:dateAx>
      <c:valAx>
        <c:axId val="1553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37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</xdr:colOff>
      <xdr:row>4</xdr:row>
      <xdr:rowOff>0</xdr:rowOff>
    </xdr:from>
    <xdr:to>
      <xdr:col>27</xdr:col>
      <xdr:colOff>25400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2B9C0C-F968-B840-8FAC-2B82A7F57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</xdr:colOff>
      <xdr:row>4</xdr:row>
      <xdr:rowOff>0</xdr:rowOff>
    </xdr:from>
    <xdr:to>
      <xdr:col>27</xdr:col>
      <xdr:colOff>25400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4C1D19-6BCC-16F1-7B27-AE6AF7CF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1F05E-4968-9743-B876-58A6FF90A0CE}" name="Registro_proyecto" displayName="Registro_proyecto" ref="A5:H41" totalsRowShown="0" headerRowDxfId="39">
  <autoFilter ref="A5:H41" xr:uid="{7E41C880-750C-1C4E-95C2-C5F1AF1F48EB}"/>
  <tableColumns count="8">
    <tableColumn id="1" xr3:uid="{084D4B41-BB1A-F14D-A7DB-261A095623A8}" name="Código Tarea"/>
    <tableColumn id="2" xr3:uid="{24647FD7-1A93-2944-B3C8-44814247B44B}" name="Por hacer" dataDxfId="38"/>
    <tableColumn id="3" xr3:uid="{31B7D122-0697-464F-A52D-AD2A1B154186}" name="En proceso" dataDxfId="37"/>
    <tableColumn id="4" xr3:uid="{DD5FE396-5DF2-594B-B04E-B389248994B0}" name="En revisión" dataDxfId="36"/>
    <tableColumn id="5" xr3:uid="{091F48CA-66B5-E844-AF12-25E8B3CC31C7}" name="Hecho" dataDxfId="35"/>
    <tableColumn id="6" xr3:uid="{BD02399F-56F5-FC49-A327-9BF636636597}" name="Estado" dataDxfId="34">
      <calculatedColumnFormula>IF(NOT(ISBLANK(Registro_proyecto[[#This Row],[Hecho]])),"Hecho",IF(NOT(ISBLANK(Registro_proyecto[[#This Row],[En revisión]])),"En revisión",IF(NOT(ISBLANK(Registro_proyecto[[#This Row],[En proceso]])),"En proceso","Por Hacer")))</calculatedColumnFormula>
    </tableColumn>
    <tableColumn id="7" xr3:uid="{FD25D361-3E57-BB44-B447-F9ABDB7B71ED}" name="Tiempo de Entrega" dataDxfId="33">
      <calculatedColumnFormula>IF(Registro_proyecto[[#This Row],[Hecho]]="","",Registro_proyecto[[#This Row],[Hecho]]-Registro_proyecto[[#This Row],[Por hacer]])</calculatedColumnFormula>
    </tableColumn>
    <tableColumn id="8" xr3:uid="{B3D1C76A-DFF2-F845-B4A9-C56DEF71A973}" name="Tiempo de Ciclo" dataDxfId="32">
      <calculatedColumnFormula>IF(Registro_proyecto[[#This Row],[Hecho]]="","",Registro_proyecto[[#This Row],[Hecho]]-Registro_proyecto[[#This Row],[En proceso]])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45E45C-F67E-DB4A-8819-4A5AD06C273C}" name="Tareas_proyecto" displayName="Tareas_proyecto" ref="J5:Q82" totalsRowShown="0" headerRowDxfId="31">
  <autoFilter ref="J5:Q82" xr:uid="{6D705243-7643-854C-B19C-9823DCEBE549}"/>
  <tableColumns count="8">
    <tableColumn id="1" xr3:uid="{243BBE1A-6B07-0C47-8575-1D46C9218228}" name="Fecha" dataDxfId="30">
      <calculatedColumnFormula>IF(ISNUMBER(J5),J5+1,Registro_proyecto[[#This Row],[Por hacer]])</calculatedColumnFormula>
    </tableColumn>
    <tableColumn id="2" xr3:uid="{7FECE11E-0B7D-674D-9F0A-8A54F0CC3E37}" name="Por hacer" dataDxfId="29">
      <calculatedColumnFormula>COUNTIF(Registro_proyecto[Por hacer],Tareas_proyecto[[#This Row],[Fecha]])-COUNTIF(Registro_proyecto[En proceso],Tareas_proyecto[[#This Row],[Fecha]])+IF(ISNUMBER(K5),K5,0)</calculatedColumnFormula>
    </tableColumn>
    <tableColumn id="3" xr3:uid="{177DF3AC-2CE4-DA43-A516-73A28C601535}" name="En proceso" dataDxfId="28">
      <calculatedColumnFormula>COUNTIF(Registro_proyecto[En proceso],Tareas_proyecto[[#This Row],[Fecha]])-COUNTIF(Registro_proyecto[En revisión],Tareas_proyecto[[#This Row],[Fecha]])+IF(ISNUMBER(L5),L5,0)</calculatedColumnFormula>
    </tableColumn>
    <tableColumn id="4" xr3:uid="{1DEA09EE-526C-154F-B178-B0309550FE4D}" name="En revisión" dataDxfId="27">
      <calculatedColumnFormula>COUNTIF(Registro_proyecto[En revisión],Tareas_proyecto[[#This Row],[Fecha]])-COUNTIF(Registro_proyecto[Hecho],Tareas_proyecto[[#This Row],[Fecha]])+IF(ISNUMBER(M5),M5,0)</calculatedColumnFormula>
    </tableColumn>
    <tableColumn id="5" xr3:uid="{AE0CA32D-6E83-9049-8EB3-9F2A5FF4A971}" name="Hecho" dataDxfId="26">
      <calculatedColumnFormula>COUNTIF(Registro_proyecto[Hecho],Tareas_proyecto[[#This Row],[Fecha]])+IF(ISNUMBER(N5),N5,0)</calculatedColumnFormula>
    </tableColumn>
    <tableColumn id="6" xr3:uid="{34356E9A-4335-1A41-9B0E-26DD630F2ED4}" name="Límite WIP - Proceso" dataDxfId="25"/>
    <tableColumn id="7" xr3:uid="{E557E1D9-7937-DE49-A6B4-AEF7A0E22CFE}" name="Límite WIP - Revisión" dataDxfId="24"/>
    <tableColumn id="8" xr3:uid="{2E11DB40-35A0-E34C-90C3-B99F6CF7E2C6}" name="WIP" dataDxfId="23">
      <calculatedColumnFormula>SUM(Tareas_proyecto[[#This Row],[En proceso]]+Tareas_proyecto[[#This Row],[En revisión]])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1C880-750C-1C4E-95C2-C5F1AF1F48EB}" name="Registro_ejemplo" displayName="Registro_ejemplo" ref="A5:H27" totalsRowShown="0" headerRowDxfId="22">
  <autoFilter ref="A5:H27" xr:uid="{7E41C880-750C-1C4E-95C2-C5F1AF1F48EB}"/>
  <tableColumns count="8">
    <tableColumn id="1" xr3:uid="{180F83F4-9428-7446-AC41-ABD52E62F91F}" name="Código Tarea"/>
    <tableColumn id="2" xr3:uid="{463B122F-62DA-954F-95FD-331D7FAAB202}" name="Por hacer" dataDxfId="21"/>
    <tableColumn id="3" xr3:uid="{82E8C085-8FCA-FB44-A660-9397FDACB474}" name="En proceso" dataDxfId="20"/>
    <tableColumn id="4" xr3:uid="{87B874D2-CF25-134C-8FDA-70DA772E6914}" name="En revisión" dataDxfId="19"/>
    <tableColumn id="5" xr3:uid="{9730A58C-2241-8445-A952-86CBA5D59D72}" name="Hecho" dataDxfId="18"/>
    <tableColumn id="6" xr3:uid="{6CB970B5-A47E-4A49-96CA-7231F849B790}" name="Estado" dataDxfId="17">
      <calculatedColumnFormula>IF(NOT(ISBLANK(Registro_ejemplo[[#This Row],[Hecho]])),"Hecho",IF(NOT(ISBLANK(Registro_ejemplo[[#This Row],[En revisión]])),"En revisión",IF(NOT(ISBLANK(Registro_ejemplo[[#This Row],[En proceso]])),"En proceso","Por Hacer")))</calculatedColumnFormula>
    </tableColumn>
    <tableColumn id="7" xr3:uid="{77F88428-C7D0-2E40-A482-1F2659D41A55}" name="Tiempo de Entrega" dataDxfId="16">
      <calculatedColumnFormula>IF(Registro_ejemplo[[#This Row],[Hecho]]="","",Registro_ejemplo[[#This Row],[Hecho]]-Registro_ejemplo[[#This Row],[Por hacer]])</calculatedColumnFormula>
    </tableColumn>
    <tableColumn id="8" xr3:uid="{1A2EEA40-7A95-BE4A-B265-911F543B8A70}" name="Tiempo de Ciclo" dataDxfId="15">
      <calculatedColumnFormula>IF(Registro_ejemplo[[#This Row],[Hecho]]="","",Registro_ejemplo[[#This Row],[Hecho]]-Registro_ejemplo[[#This Row],[En proceso]])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705243-7643-854C-B19C-9823DCEBE549}" name="Tareas_ejemplo" displayName="Tareas_ejemplo" ref="J5:Q32" totalsRowShown="0" headerRowDxfId="14">
  <autoFilter ref="J5:Q32" xr:uid="{6D705243-7643-854C-B19C-9823DCEBE549}"/>
  <tableColumns count="8">
    <tableColumn id="1" xr3:uid="{11685733-81D4-2345-9562-4005950B51D3}" name="Fecha" dataDxfId="13">
      <calculatedColumnFormula>IF(ISNUMBER(J5),J5+1,Registro_ejemplo[[#This Row],[Por hacer]])</calculatedColumnFormula>
    </tableColumn>
    <tableColumn id="2" xr3:uid="{B912A3E8-D2F6-F04B-B84F-A941361336E8}" name="Por hacer" dataDxfId="12">
      <calculatedColumnFormula>COUNTIF(Registro_ejemplo[Por hacer],Tareas_ejemplo[[#This Row],[Fecha]])-COUNTIF(Registro_ejemplo[En proceso],Tareas_ejemplo[[#This Row],[Fecha]])+IF(ISNUMBER(K5),K5,0)</calculatedColumnFormula>
    </tableColumn>
    <tableColumn id="3" xr3:uid="{EE43C000-6A54-7542-9D18-FF444D82BACE}" name="En proceso" dataDxfId="11">
      <calculatedColumnFormula>COUNTIF(Registro_ejemplo[En proceso],Tareas_ejemplo[[#This Row],[Fecha]])-COUNTIF(Registro_ejemplo[En revisión],Tareas_ejemplo[[#This Row],[Fecha]])+IF(ISNUMBER(L5),L5,0)</calculatedColumnFormula>
    </tableColumn>
    <tableColumn id="4" xr3:uid="{C6D72137-FC00-2F43-8A68-175D48196E52}" name="En revisión" dataDxfId="10">
      <calculatedColumnFormula>COUNTIF(Registro_ejemplo[En revisión],Tareas_ejemplo[[#This Row],[Fecha]])-COUNTIF(Registro_ejemplo[Hecho],Tareas_ejemplo[[#This Row],[Fecha]])+IF(ISNUMBER(M5),M5,0)</calculatedColumnFormula>
    </tableColumn>
    <tableColumn id="5" xr3:uid="{9B9BA2F7-AAFA-C346-A930-6F5C5016CC15}" name="Hecho" dataDxfId="9">
      <calculatedColumnFormula>COUNTIF(Registro_ejemplo[Hecho],Tareas_ejemplo[[#This Row],[Fecha]])+IF(ISNUMBER(N5),N5,0)</calculatedColumnFormula>
    </tableColumn>
    <tableColumn id="6" xr3:uid="{ECF68C0B-9732-BD49-9804-B9B3CBC8C9D2}" name="Límite WIP - Proceso" dataDxfId="8"/>
    <tableColumn id="7" xr3:uid="{B90BAE6F-C214-294C-8B49-F1FF950AB5F4}" name="Límite WIP - Revisión" dataDxfId="7"/>
    <tableColumn id="8" xr3:uid="{7E2E67BB-8B4A-C845-9F0D-D7215D486CB2}" name="WIP" dataDxfId="6">
      <calculatedColumnFormula>SUM(Tareas_ejemplo[[#This Row],[En proceso]]+Tareas_ejemplo[[#This Row],[En revisión]])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F501-E85B-46A0-A233-71BC61734CF4}">
  <dimension ref="A2:D11"/>
  <sheetViews>
    <sheetView workbookViewId="0">
      <selection activeCell="A2" sqref="A2"/>
    </sheetView>
  </sheetViews>
  <sheetFormatPr defaultRowHeight="15.6" x14ac:dyDescent="0.3"/>
  <cols>
    <col min="3" max="3" width="28.59765625" customWidth="1"/>
    <col min="4" max="4" width="10.5" customWidth="1"/>
  </cols>
  <sheetData>
    <row r="2" spans="1:4" ht="28.8" x14ac:dyDescent="0.55000000000000004">
      <c r="A2" s="16" t="s">
        <v>77</v>
      </c>
    </row>
    <row r="5" spans="1:4" x14ac:dyDescent="0.3">
      <c r="C5" s="14" t="s">
        <v>63</v>
      </c>
      <c r="D5" s="14" t="s">
        <v>64</v>
      </c>
    </row>
    <row r="6" spans="1:4" x14ac:dyDescent="0.3">
      <c r="C6" s="10" t="s">
        <v>65</v>
      </c>
      <c r="D6" s="15" t="s">
        <v>71</v>
      </c>
    </row>
    <row r="7" spans="1:4" x14ac:dyDescent="0.3">
      <c r="C7" s="10" t="s">
        <v>66</v>
      </c>
      <c r="D7" s="15" t="s">
        <v>72</v>
      </c>
    </row>
    <row r="8" spans="1:4" x14ac:dyDescent="0.3">
      <c r="C8" s="10" t="s">
        <v>67</v>
      </c>
      <c r="D8" s="15" t="s">
        <v>73</v>
      </c>
    </row>
    <row r="9" spans="1:4" x14ac:dyDescent="0.3">
      <c r="C9" s="10" t="s">
        <v>68</v>
      </c>
      <c r="D9" s="15" t="s">
        <v>75</v>
      </c>
    </row>
    <row r="10" spans="1:4" x14ac:dyDescent="0.3">
      <c r="C10" s="10" t="s">
        <v>69</v>
      </c>
      <c r="D10" s="15" t="s">
        <v>74</v>
      </c>
    </row>
    <row r="11" spans="1:4" x14ac:dyDescent="0.3">
      <c r="C11" s="10" t="s">
        <v>70</v>
      </c>
      <c r="D11" s="15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5B37-9939-4DF1-929C-AE366762D5D0}">
  <dimension ref="A2:C43"/>
  <sheetViews>
    <sheetView tabSelected="1" topLeftCell="A24" workbookViewId="0">
      <selection activeCell="B37" sqref="B37"/>
    </sheetView>
  </sheetViews>
  <sheetFormatPr defaultRowHeight="15.6" x14ac:dyDescent="0.3"/>
  <cols>
    <col min="1" max="1" width="12.69921875" customWidth="1"/>
    <col min="2" max="2" width="53.19921875" customWidth="1"/>
    <col min="3" max="3" width="16.19921875" customWidth="1"/>
  </cols>
  <sheetData>
    <row r="2" spans="1:3" ht="28.8" x14ac:dyDescent="0.55000000000000004">
      <c r="A2" s="16" t="s">
        <v>80</v>
      </c>
    </row>
    <row r="5" spans="1:3" x14ac:dyDescent="0.3">
      <c r="A5" s="14" t="s">
        <v>6</v>
      </c>
      <c r="B5" s="14" t="s">
        <v>46</v>
      </c>
      <c r="C5" s="14" t="s">
        <v>62</v>
      </c>
    </row>
    <row r="6" spans="1:3" x14ac:dyDescent="0.3">
      <c r="A6" s="10" t="s">
        <v>8</v>
      </c>
      <c r="B6" s="10" t="s">
        <v>47</v>
      </c>
      <c r="C6" s="15" t="s">
        <v>78</v>
      </c>
    </row>
    <row r="7" spans="1:3" x14ac:dyDescent="0.3">
      <c r="A7" s="10" t="s">
        <v>9</v>
      </c>
      <c r="B7" s="10" t="s">
        <v>48</v>
      </c>
      <c r="C7" s="15" t="s">
        <v>78</v>
      </c>
    </row>
    <row r="8" spans="1:3" x14ac:dyDescent="0.3">
      <c r="A8" s="10" t="s">
        <v>10</v>
      </c>
      <c r="B8" s="10" t="s">
        <v>52</v>
      </c>
      <c r="C8" s="15" t="s">
        <v>78</v>
      </c>
    </row>
    <row r="9" spans="1:3" x14ac:dyDescent="0.3">
      <c r="A9" s="10" t="s">
        <v>11</v>
      </c>
      <c r="B9" s="10" t="s">
        <v>49</v>
      </c>
      <c r="C9" s="15" t="s">
        <v>78</v>
      </c>
    </row>
    <row r="10" spans="1:3" x14ac:dyDescent="0.3">
      <c r="A10" s="10" t="s">
        <v>12</v>
      </c>
      <c r="B10" s="10" t="s">
        <v>50</v>
      </c>
      <c r="C10" s="15" t="s">
        <v>73</v>
      </c>
    </row>
    <row r="11" spans="1:3" x14ac:dyDescent="0.3">
      <c r="A11" s="10" t="s">
        <v>13</v>
      </c>
      <c r="B11" s="10" t="s">
        <v>51</v>
      </c>
      <c r="C11" s="15" t="s">
        <v>73</v>
      </c>
    </row>
    <row r="12" spans="1:3" x14ac:dyDescent="0.3">
      <c r="A12" s="10" t="s">
        <v>14</v>
      </c>
      <c r="B12" s="10" t="s">
        <v>53</v>
      </c>
      <c r="C12" s="15" t="s">
        <v>76</v>
      </c>
    </row>
    <row r="13" spans="1:3" x14ac:dyDescent="0.3">
      <c r="A13" s="10" t="s">
        <v>16</v>
      </c>
      <c r="B13" s="10" t="s">
        <v>54</v>
      </c>
      <c r="C13" s="15" t="s">
        <v>76</v>
      </c>
    </row>
    <row r="14" spans="1:3" x14ac:dyDescent="0.3">
      <c r="A14" s="10" t="s">
        <v>17</v>
      </c>
      <c r="B14" s="10" t="s">
        <v>55</v>
      </c>
      <c r="C14" s="15" t="s">
        <v>74</v>
      </c>
    </row>
    <row r="15" spans="1:3" x14ac:dyDescent="0.3">
      <c r="A15" s="10" t="s">
        <v>18</v>
      </c>
      <c r="B15" s="10" t="s">
        <v>56</v>
      </c>
      <c r="C15" s="15" t="s">
        <v>79</v>
      </c>
    </row>
    <row r="16" spans="1:3" x14ac:dyDescent="0.3">
      <c r="A16" s="10" t="s">
        <v>19</v>
      </c>
      <c r="B16" s="10" t="s">
        <v>57</v>
      </c>
      <c r="C16" s="15" t="s">
        <v>79</v>
      </c>
    </row>
    <row r="17" spans="1:3" x14ac:dyDescent="0.3">
      <c r="A17" s="10" t="s">
        <v>20</v>
      </c>
      <c r="B17" s="10" t="s">
        <v>58</v>
      </c>
      <c r="C17" s="15" t="s">
        <v>79</v>
      </c>
    </row>
    <row r="18" spans="1:3" x14ac:dyDescent="0.3">
      <c r="A18" s="10" t="s">
        <v>21</v>
      </c>
      <c r="B18" s="10" t="s">
        <v>59</v>
      </c>
      <c r="C18" s="15" t="s">
        <v>71</v>
      </c>
    </row>
    <row r="19" spans="1:3" x14ac:dyDescent="0.3">
      <c r="A19" s="10" t="s">
        <v>22</v>
      </c>
      <c r="B19" s="10" t="s">
        <v>60</v>
      </c>
      <c r="C19" s="15" t="s">
        <v>71</v>
      </c>
    </row>
    <row r="20" spans="1:3" x14ac:dyDescent="0.3">
      <c r="A20" s="10" t="s">
        <v>23</v>
      </c>
      <c r="B20" s="10" t="s">
        <v>61</v>
      </c>
      <c r="C20" s="15" t="s">
        <v>71</v>
      </c>
    </row>
    <row r="21" spans="1:3" x14ac:dyDescent="0.3">
      <c r="A21" s="18" t="s">
        <v>96</v>
      </c>
      <c r="B21" s="19"/>
      <c r="C21" s="19"/>
    </row>
    <row r="22" spans="1:3" x14ac:dyDescent="0.3">
      <c r="A22" s="10" t="s">
        <v>24</v>
      </c>
      <c r="B22" s="17" t="s">
        <v>81</v>
      </c>
      <c r="C22" s="15" t="s">
        <v>76</v>
      </c>
    </row>
    <row r="23" spans="1:3" x14ac:dyDescent="0.3">
      <c r="A23" s="10" t="s">
        <v>25</v>
      </c>
      <c r="B23" s="17" t="s">
        <v>82</v>
      </c>
      <c r="C23" s="15" t="s">
        <v>73</v>
      </c>
    </row>
    <row r="24" spans="1:3" x14ac:dyDescent="0.3">
      <c r="A24" s="10" t="s">
        <v>26</v>
      </c>
      <c r="B24" s="17" t="s">
        <v>83</v>
      </c>
      <c r="C24" s="15" t="s">
        <v>73</v>
      </c>
    </row>
    <row r="25" spans="1:3" x14ac:dyDescent="0.3">
      <c r="A25" s="10" t="s">
        <v>27</v>
      </c>
      <c r="B25" s="17" t="s">
        <v>84</v>
      </c>
      <c r="C25" s="15" t="s">
        <v>74</v>
      </c>
    </row>
    <row r="26" spans="1:3" x14ac:dyDescent="0.3">
      <c r="A26" s="10" t="s">
        <v>28</v>
      </c>
      <c r="B26" s="17" t="s">
        <v>85</v>
      </c>
      <c r="C26" s="15" t="s">
        <v>74</v>
      </c>
    </row>
    <row r="27" spans="1:3" x14ac:dyDescent="0.3">
      <c r="A27" s="10" t="s">
        <v>29</v>
      </c>
      <c r="B27" s="17" t="s">
        <v>86</v>
      </c>
      <c r="C27" s="15" t="s">
        <v>74</v>
      </c>
    </row>
    <row r="28" spans="1:3" x14ac:dyDescent="0.3">
      <c r="A28" s="10" t="s">
        <v>30</v>
      </c>
      <c r="B28" s="17" t="s">
        <v>87</v>
      </c>
      <c r="C28" s="15" t="s">
        <v>79</v>
      </c>
    </row>
    <row r="29" spans="1:3" x14ac:dyDescent="0.3">
      <c r="A29" s="10" t="s">
        <v>92</v>
      </c>
      <c r="B29" s="17" t="s">
        <v>88</v>
      </c>
      <c r="C29" s="15" t="s">
        <v>79</v>
      </c>
    </row>
    <row r="30" spans="1:3" x14ac:dyDescent="0.3">
      <c r="A30" s="10" t="s">
        <v>93</v>
      </c>
      <c r="B30" s="17" t="s">
        <v>89</v>
      </c>
      <c r="C30" s="15" t="s">
        <v>97</v>
      </c>
    </row>
    <row r="31" spans="1:3" x14ac:dyDescent="0.3">
      <c r="A31" s="10" t="s">
        <v>94</v>
      </c>
      <c r="B31" s="17" t="s">
        <v>90</v>
      </c>
      <c r="C31" s="15" t="s">
        <v>73</v>
      </c>
    </row>
    <row r="32" spans="1:3" x14ac:dyDescent="0.3">
      <c r="A32" s="10" t="s">
        <v>95</v>
      </c>
      <c r="B32" s="10" t="s">
        <v>91</v>
      </c>
      <c r="C32" s="15" t="s">
        <v>71</v>
      </c>
    </row>
    <row r="33" spans="1:3" x14ac:dyDescent="0.3">
      <c r="A33" s="18" t="s">
        <v>98</v>
      </c>
      <c r="B33" s="19"/>
      <c r="C33" s="19"/>
    </row>
    <row r="34" spans="1:3" x14ac:dyDescent="0.3">
      <c r="A34" s="10" t="s">
        <v>99</v>
      </c>
      <c r="B34" s="17" t="s">
        <v>85</v>
      </c>
      <c r="C34" s="15" t="s">
        <v>76</v>
      </c>
    </row>
    <row r="35" spans="1:3" x14ac:dyDescent="0.3">
      <c r="A35" s="10" t="s">
        <v>100</v>
      </c>
      <c r="B35" s="17" t="s">
        <v>109</v>
      </c>
      <c r="C35" s="15" t="s">
        <v>73</v>
      </c>
    </row>
    <row r="36" spans="1:3" x14ac:dyDescent="0.3">
      <c r="A36" s="10" t="s">
        <v>101</v>
      </c>
      <c r="B36" s="17" t="s">
        <v>110</v>
      </c>
      <c r="C36" s="15" t="s">
        <v>73</v>
      </c>
    </row>
    <row r="37" spans="1:3" x14ac:dyDescent="0.3">
      <c r="A37" s="10" t="s">
        <v>102</v>
      </c>
      <c r="B37" s="17" t="s">
        <v>111</v>
      </c>
      <c r="C37" s="15" t="s">
        <v>74</v>
      </c>
    </row>
    <row r="38" spans="1:3" x14ac:dyDescent="0.3">
      <c r="A38" s="10" t="s">
        <v>103</v>
      </c>
      <c r="B38" s="17" t="s">
        <v>112</v>
      </c>
      <c r="C38" s="15" t="s">
        <v>74</v>
      </c>
    </row>
    <row r="39" spans="1:3" x14ac:dyDescent="0.3">
      <c r="A39" s="10" t="s">
        <v>104</v>
      </c>
      <c r="B39" s="17" t="s">
        <v>113</v>
      </c>
      <c r="C39" s="15" t="s">
        <v>72</v>
      </c>
    </row>
    <row r="40" spans="1:3" x14ac:dyDescent="0.3">
      <c r="A40" s="10" t="s">
        <v>105</v>
      </c>
      <c r="B40" s="17" t="s">
        <v>88</v>
      </c>
      <c r="C40" s="15" t="s">
        <v>75</v>
      </c>
    </row>
    <row r="41" spans="1:3" x14ac:dyDescent="0.3">
      <c r="A41" s="10" t="s">
        <v>106</v>
      </c>
      <c r="B41" s="17" t="s">
        <v>114</v>
      </c>
      <c r="C41" s="15" t="s">
        <v>74</v>
      </c>
    </row>
    <row r="42" spans="1:3" x14ac:dyDescent="0.3">
      <c r="A42" s="10" t="s">
        <v>107</v>
      </c>
      <c r="B42" s="17" t="s">
        <v>115</v>
      </c>
      <c r="C42" s="15" t="s">
        <v>117</v>
      </c>
    </row>
    <row r="43" spans="1:3" x14ac:dyDescent="0.3">
      <c r="A43" s="10" t="s">
        <v>108</v>
      </c>
      <c r="B43" s="10" t="s">
        <v>116</v>
      </c>
      <c r="C43" s="15" t="s">
        <v>71</v>
      </c>
    </row>
  </sheetData>
  <mergeCells count="2">
    <mergeCell ref="A21:C21"/>
    <mergeCell ref="A33:C3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28-A56A-8A41-8993-334C4E65BC79}">
  <dimension ref="A1:AC82"/>
  <sheetViews>
    <sheetView zoomScale="53" zoomScaleNormal="64" workbookViewId="0">
      <selection activeCell="AA30" sqref="AA30"/>
    </sheetView>
  </sheetViews>
  <sheetFormatPr defaultColWidth="11.19921875" defaultRowHeight="15.6" x14ac:dyDescent="0.3"/>
  <cols>
    <col min="1" max="1" width="11.69921875" customWidth="1"/>
    <col min="2" max="2" width="12.296875" customWidth="1"/>
    <col min="3" max="4" width="13.69921875" bestFit="1" customWidth="1"/>
    <col min="7" max="8" width="13.5" bestFit="1" customWidth="1"/>
    <col min="11" max="11" width="12.5" bestFit="1" customWidth="1"/>
    <col min="12" max="13" width="13.69921875" bestFit="1" customWidth="1"/>
    <col min="15" max="16" width="13.69921875" bestFit="1" customWidth="1"/>
    <col min="19" max="19" width="26.19921875" customWidth="1"/>
    <col min="20" max="20" width="8.5" bestFit="1" customWidth="1"/>
    <col min="21" max="21" width="6.296875" bestFit="1" customWidth="1"/>
    <col min="22" max="22" width="6.296875" customWidth="1"/>
    <col min="23" max="23" width="34.69921875" bestFit="1" customWidth="1"/>
    <col min="24" max="24" width="3.69921875" customWidth="1"/>
    <col min="25" max="25" width="6.296875" bestFit="1" customWidth="1"/>
    <col min="26" max="26" width="6.5" customWidth="1"/>
    <col min="27" max="27" width="34.796875" bestFit="1" customWidth="1"/>
    <col min="28" max="28" width="3.796875" customWidth="1"/>
  </cols>
  <sheetData>
    <row r="1" spans="1:19" ht="28.8" x14ac:dyDescent="0.55000000000000004">
      <c r="A1" s="8" t="s">
        <v>32</v>
      </c>
    </row>
    <row r="2" spans="1:19" x14ac:dyDescent="0.3">
      <c r="A2" t="s">
        <v>45</v>
      </c>
    </row>
    <row r="4" spans="1:19" ht="18" x14ac:dyDescent="0.35">
      <c r="A4" s="9" t="s">
        <v>31</v>
      </c>
      <c r="C4" s="5"/>
      <c r="D4" s="5"/>
      <c r="J4" s="9" t="s">
        <v>0</v>
      </c>
      <c r="L4" s="5"/>
      <c r="M4" s="5"/>
      <c r="S4" s="9" t="s">
        <v>37</v>
      </c>
    </row>
    <row r="5" spans="1:19" ht="31.2" x14ac:dyDescent="0.3">
      <c r="A5" s="4" t="s">
        <v>6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15</v>
      </c>
      <c r="G5" s="4" t="s">
        <v>33</v>
      </c>
      <c r="H5" s="4" t="s">
        <v>34</v>
      </c>
      <c r="I5" s="4"/>
      <c r="J5" s="4" t="s">
        <v>7</v>
      </c>
      <c r="K5" s="4" t="s">
        <v>1</v>
      </c>
      <c r="L5" s="4" t="s">
        <v>2</v>
      </c>
      <c r="M5" s="4" t="s">
        <v>3</v>
      </c>
      <c r="N5" s="4" t="s">
        <v>4</v>
      </c>
      <c r="O5" s="4" t="s">
        <v>35</v>
      </c>
      <c r="P5" s="4" t="s">
        <v>36</v>
      </c>
      <c r="Q5" s="4" t="s">
        <v>5</v>
      </c>
    </row>
    <row r="6" spans="1:19" x14ac:dyDescent="0.3">
      <c r="A6" t="s">
        <v>8</v>
      </c>
      <c r="B6" s="12">
        <v>45569</v>
      </c>
      <c r="C6" s="12">
        <v>45569</v>
      </c>
      <c r="D6" s="12">
        <v>45569</v>
      </c>
      <c r="E6" s="12">
        <v>45569</v>
      </c>
      <c r="F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6" s="3">
        <f>IF(Registro_proyecto[[#This Row],[Hecho]]="","",Registro_proyecto[[#This Row],[Hecho]]-Registro_proyecto[[#This Row],[Por hacer]])</f>
        <v>0</v>
      </c>
      <c r="H6" s="3">
        <f>IF(Registro_proyecto[[#This Row],[Hecho]]="","",Registro_proyecto[[#This Row],[Hecho]]-Registro_proyecto[[#This Row],[En proceso]])</f>
        <v>0</v>
      </c>
      <c r="I6" s="3"/>
      <c r="J6" s="1">
        <f>IF(ISNUMBER(J5),J5+1,Registro_proyecto[[#This Row],[Por hacer]])</f>
        <v>45569</v>
      </c>
      <c r="K6">
        <f>COUNTIF(Registro_proyecto[Por hacer],Tareas_proyecto[[#This Row],[Fecha]])-COUNTIF(Registro_proyecto[En proceso],Tareas_proyecto[[#This Row],[Fecha]])+IF(ISNUMBER(K5),K5,0)</f>
        <v>12</v>
      </c>
      <c r="L6">
        <f>COUNTIF(Registro_proyecto[En proceso],Tareas_proyecto[[#This Row],[Fecha]])-COUNTIF(Registro_proyecto[En revisión],Tareas_proyecto[[#This Row],[Fecha]])+IF(ISNUMBER(L5),L5,0)</f>
        <v>1</v>
      </c>
      <c r="M6">
        <f>COUNTIF(Registro_proyecto[En revisión],Tareas_proyecto[[#This Row],[Fecha]])-COUNTIF(Registro_proyecto[Hecho],Tareas_proyecto[[#This Row],[Fecha]])+IF(ISNUMBER(M5),M5,0)</f>
        <v>0</v>
      </c>
      <c r="N6" s="3">
        <f>COUNTIF(Registro_proyecto[Hecho],Tareas_proyecto[[#This Row],[Fecha]])+IF(ISNUMBER(N5),N5,0)</f>
        <v>2</v>
      </c>
      <c r="Q6">
        <f>SUM(Tareas_proyecto[[#This Row],[En proceso]]+Tareas_proyecto[[#This Row],[En revisión]])</f>
        <v>1</v>
      </c>
    </row>
    <row r="7" spans="1:19" x14ac:dyDescent="0.3">
      <c r="A7" t="s">
        <v>9</v>
      </c>
      <c r="B7" s="1">
        <v>45569</v>
      </c>
      <c r="C7" s="1">
        <v>45569</v>
      </c>
      <c r="D7" s="1">
        <v>45569</v>
      </c>
      <c r="E7" s="1">
        <v>45569</v>
      </c>
      <c r="F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7" s="3">
        <f>IF(Registro_proyecto[[#This Row],[Hecho]]="","",Registro_proyecto[[#This Row],[Hecho]]-Registro_proyecto[[#This Row],[Por hacer]])</f>
        <v>0</v>
      </c>
      <c r="H7" s="3">
        <f>IF(Registro_proyecto[[#This Row],[Hecho]]="","",Registro_proyecto[[#This Row],[Hecho]]-Registro_proyecto[[#This Row],[En proceso]])</f>
        <v>0</v>
      </c>
      <c r="I7" s="3"/>
      <c r="J7" s="1">
        <f>IF(ISNUMBER(J6),J6+1,Registro_proyecto[[#This Row],[Por hacer]])</f>
        <v>45570</v>
      </c>
      <c r="K7">
        <f>COUNTIF(Registro_proyecto[Por hacer],Tareas_proyecto[[#This Row],[Fecha]])-COUNTIF(Registro_proyecto[En proceso],Tareas_proyecto[[#This Row],[Fecha]])+IF(ISNUMBER(K6),K6,0)</f>
        <v>12</v>
      </c>
      <c r="L7">
        <f>COUNTIF(Registro_proyecto[En proceso],Tareas_proyecto[[#This Row],[Fecha]])-COUNTIF(Registro_proyecto[En revisión],Tareas_proyecto[[#This Row],[Fecha]])+IF(ISNUMBER(L6),L6,0)</f>
        <v>1</v>
      </c>
      <c r="M7">
        <f>COUNTIF(Registro_proyecto[En revisión],Tareas_proyecto[[#This Row],[Fecha]])-COUNTIF(Registro_proyecto[Hecho],Tareas_proyecto[[#This Row],[Fecha]])+IF(ISNUMBER(M6),M6,0)</f>
        <v>0</v>
      </c>
      <c r="N7" s="3">
        <f>COUNTIF(Registro_proyecto[Hecho],Tareas_proyecto[[#This Row],[Fecha]])+IF(ISNUMBER(N6),N6,0)</f>
        <v>2</v>
      </c>
      <c r="Q7">
        <f>SUM(Tareas_proyecto[[#This Row],[En proceso]]+Tareas_proyecto[[#This Row],[En revisión]])</f>
        <v>1</v>
      </c>
    </row>
    <row r="8" spans="1:19" x14ac:dyDescent="0.3">
      <c r="A8" t="s">
        <v>10</v>
      </c>
      <c r="B8" s="1">
        <v>45569</v>
      </c>
      <c r="C8" s="1">
        <v>45569</v>
      </c>
      <c r="D8" s="1">
        <v>45572</v>
      </c>
      <c r="E8" s="1">
        <v>45572</v>
      </c>
      <c r="F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8" s="3">
        <f>IF(Registro_proyecto[[#This Row],[Hecho]]="","",Registro_proyecto[[#This Row],[Hecho]]-Registro_proyecto[[#This Row],[Por hacer]])</f>
        <v>3</v>
      </c>
      <c r="H8" s="3">
        <f>IF(Registro_proyecto[[#This Row],[Hecho]]="","",Registro_proyecto[[#This Row],[Hecho]]-Registro_proyecto[[#This Row],[En proceso]])</f>
        <v>3</v>
      </c>
      <c r="I8" s="3"/>
      <c r="J8" s="1">
        <f>IF(ISNUMBER(J7),J7+1,Registro_proyecto[[#This Row],[Por hacer]])</f>
        <v>45571</v>
      </c>
      <c r="K8">
        <f>COUNTIF(Registro_proyecto[Por hacer],Tareas_proyecto[[#This Row],[Fecha]])-COUNTIF(Registro_proyecto[En proceso],Tareas_proyecto[[#This Row],[Fecha]])+IF(ISNUMBER(K7),K7,0)</f>
        <v>12</v>
      </c>
      <c r="L8">
        <f>COUNTIF(Registro_proyecto[En proceso],Tareas_proyecto[[#This Row],[Fecha]])-COUNTIF(Registro_proyecto[En revisión],Tareas_proyecto[[#This Row],[Fecha]])+IF(ISNUMBER(L7),L7,0)</f>
        <v>1</v>
      </c>
      <c r="M8">
        <f>COUNTIF(Registro_proyecto[En revisión],Tareas_proyecto[[#This Row],[Fecha]])-COUNTIF(Registro_proyecto[Hecho],Tareas_proyecto[[#This Row],[Fecha]])+IF(ISNUMBER(M7),M7,0)</f>
        <v>0</v>
      </c>
      <c r="N8" s="3">
        <f>COUNTIF(Registro_proyecto[Hecho],Tareas_proyecto[[#This Row],[Fecha]])+IF(ISNUMBER(N7),N7,0)</f>
        <v>2</v>
      </c>
      <c r="Q8">
        <f>SUM(Tareas_proyecto[[#This Row],[En proceso]]+Tareas_proyecto[[#This Row],[En revisión]])</f>
        <v>1</v>
      </c>
    </row>
    <row r="9" spans="1:19" x14ac:dyDescent="0.3">
      <c r="A9" t="s">
        <v>11</v>
      </c>
      <c r="B9" s="1">
        <v>45569</v>
      </c>
      <c r="C9" s="1">
        <v>45572</v>
      </c>
      <c r="D9" s="1">
        <v>45572</v>
      </c>
      <c r="E9" s="1">
        <v>45572</v>
      </c>
      <c r="F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9" s="3">
        <f>IF(Registro_proyecto[[#This Row],[Hecho]]="","",Registro_proyecto[[#This Row],[Hecho]]-Registro_proyecto[[#This Row],[Por hacer]])</f>
        <v>3</v>
      </c>
      <c r="H9" s="3">
        <f>IF(Registro_proyecto[[#This Row],[Hecho]]="","",Registro_proyecto[[#This Row],[Hecho]]-Registro_proyecto[[#This Row],[En proceso]])</f>
        <v>0</v>
      </c>
      <c r="I9" s="3"/>
      <c r="J9" s="1">
        <f>IF(ISNUMBER(J8),J8+1,Registro_proyecto[[#This Row],[Por hacer]])</f>
        <v>45572</v>
      </c>
      <c r="K9">
        <f>COUNTIF(Registro_proyecto[Por hacer],Tareas_proyecto[[#This Row],[Fecha]])-COUNTIF(Registro_proyecto[En proceso],Tareas_proyecto[[#This Row],[Fecha]])+IF(ISNUMBER(K8),K8,0)</f>
        <v>11</v>
      </c>
      <c r="L9">
        <f>COUNTIF(Registro_proyecto[En proceso],Tareas_proyecto[[#This Row],[Fecha]])-COUNTIF(Registro_proyecto[En revisión],Tareas_proyecto[[#This Row],[Fecha]])+IF(ISNUMBER(L8),L8,0)</f>
        <v>0</v>
      </c>
      <c r="M9">
        <f>COUNTIF(Registro_proyecto[En revisión],Tareas_proyecto[[#This Row],[Fecha]])-COUNTIF(Registro_proyecto[Hecho],Tareas_proyecto[[#This Row],[Fecha]])+IF(ISNUMBER(M8),M8,0)</f>
        <v>0</v>
      </c>
      <c r="N9" s="3">
        <f>COUNTIF(Registro_proyecto[Hecho],Tareas_proyecto[[#This Row],[Fecha]])+IF(ISNUMBER(N8),N8,0)</f>
        <v>4</v>
      </c>
      <c r="Q9">
        <f>SUM(Tareas_proyecto[[#This Row],[En proceso]]+Tareas_proyecto[[#This Row],[En revisión]])</f>
        <v>0</v>
      </c>
    </row>
    <row r="10" spans="1:19" x14ac:dyDescent="0.3">
      <c r="A10" t="s">
        <v>12</v>
      </c>
      <c r="B10" s="1">
        <v>45569</v>
      </c>
      <c r="C10" s="12">
        <v>45575</v>
      </c>
      <c r="D10" s="12">
        <v>45576</v>
      </c>
      <c r="E10" s="12">
        <v>45579</v>
      </c>
      <c r="F1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0" s="3">
        <f>IF(Registro_proyecto[[#This Row],[Hecho]]="","",Registro_proyecto[[#This Row],[Hecho]]-Registro_proyecto[[#This Row],[Por hacer]])</f>
        <v>10</v>
      </c>
      <c r="H10" s="3">
        <f>IF(Registro_proyecto[[#This Row],[Hecho]]="","",Registro_proyecto[[#This Row],[Hecho]]-Registro_proyecto[[#This Row],[En proceso]])</f>
        <v>4</v>
      </c>
      <c r="I10" s="3"/>
      <c r="J10" s="1">
        <f>IF(ISNUMBER(J9),J9+1,Registro_proyecto[[#This Row],[Por hacer]])</f>
        <v>45573</v>
      </c>
      <c r="K10">
        <f>COUNTIF(Registro_proyecto[Por hacer],Tareas_proyecto[[#This Row],[Fecha]])-COUNTIF(Registro_proyecto[En proceso],Tareas_proyecto[[#This Row],[Fecha]])+IF(ISNUMBER(K9),K9,0)</f>
        <v>11</v>
      </c>
      <c r="L10">
        <f>COUNTIF(Registro_proyecto[En proceso],Tareas_proyecto[[#This Row],[Fecha]])-COUNTIF(Registro_proyecto[En revisión],Tareas_proyecto[[#This Row],[Fecha]])+IF(ISNUMBER(L9),L9,0)</f>
        <v>0</v>
      </c>
      <c r="M10">
        <f>COUNTIF(Registro_proyecto[En revisión],Tareas_proyecto[[#This Row],[Fecha]])-COUNTIF(Registro_proyecto[Hecho],Tareas_proyecto[[#This Row],[Fecha]])+IF(ISNUMBER(M9),M9,0)</f>
        <v>0</v>
      </c>
      <c r="N10" s="3">
        <f>COUNTIF(Registro_proyecto[Hecho],Tareas_proyecto[[#This Row],[Fecha]])+IF(ISNUMBER(N9),N9,0)</f>
        <v>4</v>
      </c>
      <c r="Q10">
        <f>SUM(Tareas_proyecto[[#This Row],[En proceso]]+Tareas_proyecto[[#This Row],[En revisión]])</f>
        <v>0</v>
      </c>
    </row>
    <row r="11" spans="1:19" x14ac:dyDescent="0.3">
      <c r="A11" t="s">
        <v>13</v>
      </c>
      <c r="B11" s="11">
        <v>45569</v>
      </c>
      <c r="C11" s="13">
        <v>45576</v>
      </c>
      <c r="D11" s="13">
        <v>45579</v>
      </c>
      <c r="E11" s="13">
        <v>45580</v>
      </c>
      <c r="F1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1" s="3">
        <f>IF(Registro_proyecto[[#This Row],[Hecho]]="","",Registro_proyecto[[#This Row],[Hecho]]-Registro_proyecto[[#This Row],[Por hacer]])</f>
        <v>11</v>
      </c>
      <c r="H11" s="3">
        <f>IF(Registro_proyecto[[#This Row],[Hecho]]="","",Registro_proyecto[[#This Row],[Hecho]]-Registro_proyecto[[#This Row],[En proceso]])</f>
        <v>4</v>
      </c>
      <c r="I11" s="3"/>
      <c r="J11" s="11">
        <f>IF(ISNUMBER(J10),J10+1,Registro_proyecto[[#This Row],[Por hacer]])</f>
        <v>45574</v>
      </c>
      <c r="K11">
        <f>COUNTIF(Registro_proyecto[Por hacer],Tareas_proyecto[[#This Row],[Fecha]])-COUNTIF(Registro_proyecto[En proceso],Tareas_proyecto[[#This Row],[Fecha]])+IF(ISNUMBER(K10),K10,0)</f>
        <v>10</v>
      </c>
      <c r="L11">
        <f>COUNTIF(Registro_proyecto[En proceso],Tareas_proyecto[[#This Row],[Fecha]])-COUNTIF(Registro_proyecto[En revisión],Tareas_proyecto[[#This Row],[Fecha]])+IF(ISNUMBER(L10),L10,0)</f>
        <v>1</v>
      </c>
      <c r="M11">
        <f>COUNTIF(Registro_proyecto[En revisión],Tareas_proyecto[[#This Row],[Fecha]])-COUNTIF(Registro_proyecto[Hecho],Tareas_proyecto[[#This Row],[Fecha]])+IF(ISNUMBER(M10),M10,0)</f>
        <v>0</v>
      </c>
      <c r="N11" s="3">
        <f>COUNTIF(Registro_proyecto[Hecho],Tareas_proyecto[[#This Row],[Fecha]])+IF(ISNUMBER(N10),N10,0)</f>
        <v>4</v>
      </c>
      <c r="Q11">
        <f>SUM(Tareas_proyecto[[#This Row],[En proceso]]+Tareas_proyecto[[#This Row],[En revisión]])</f>
        <v>1</v>
      </c>
    </row>
    <row r="12" spans="1:19" x14ac:dyDescent="0.3">
      <c r="A12" t="s">
        <v>14</v>
      </c>
      <c r="B12" s="11">
        <v>45569</v>
      </c>
      <c r="C12" s="11">
        <v>45577</v>
      </c>
      <c r="D12" s="11">
        <v>45581</v>
      </c>
      <c r="E12" s="11">
        <v>45581</v>
      </c>
      <c r="F12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2" s="3">
        <f>IF(Registro_proyecto[[#This Row],[Hecho]]="","",Registro_proyecto[[#This Row],[Hecho]]-Registro_proyecto[[#This Row],[Por hacer]])</f>
        <v>12</v>
      </c>
      <c r="H12" s="3">
        <f>IF(Registro_proyecto[[#This Row],[Hecho]]="","",Registro_proyecto[[#This Row],[Hecho]]-Registro_proyecto[[#This Row],[En proceso]])</f>
        <v>4</v>
      </c>
      <c r="I12" s="3"/>
      <c r="J12" s="11">
        <f>IF(ISNUMBER(J11),J11+1,Registro_proyecto[[#This Row],[Por hacer]])</f>
        <v>45575</v>
      </c>
      <c r="K12">
        <f>COUNTIF(Registro_proyecto[Por hacer],Tareas_proyecto[[#This Row],[Fecha]])-COUNTIF(Registro_proyecto[En proceso],Tareas_proyecto[[#This Row],[Fecha]])+IF(ISNUMBER(K11),K11,0)</f>
        <v>8</v>
      </c>
      <c r="L12">
        <f>COUNTIF(Registro_proyecto[En proceso],Tareas_proyecto[[#This Row],[Fecha]])-COUNTIF(Registro_proyecto[En revisión],Tareas_proyecto[[#This Row],[Fecha]])+IF(ISNUMBER(L11),L11,0)</f>
        <v>2</v>
      </c>
      <c r="M12">
        <f>COUNTIF(Registro_proyecto[En revisión],Tareas_proyecto[[#This Row],[Fecha]])-COUNTIF(Registro_proyecto[Hecho],Tareas_proyecto[[#This Row],[Fecha]])+IF(ISNUMBER(M11),M11,0)</f>
        <v>0</v>
      </c>
      <c r="N12" s="3">
        <f>COUNTIF(Registro_proyecto[Hecho],Tareas_proyecto[[#This Row],[Fecha]])+IF(ISNUMBER(N11),N11,0)</f>
        <v>5</v>
      </c>
      <c r="Q12">
        <f>SUM(Tareas_proyecto[[#This Row],[En proceso]]+Tareas_proyecto[[#This Row],[En revisión]])</f>
        <v>2</v>
      </c>
    </row>
    <row r="13" spans="1:19" x14ac:dyDescent="0.3">
      <c r="A13" t="s">
        <v>16</v>
      </c>
      <c r="B13" s="11">
        <v>45569</v>
      </c>
      <c r="C13" s="11">
        <v>45577</v>
      </c>
      <c r="D13" s="11">
        <v>45587</v>
      </c>
      <c r="E13" s="11">
        <v>45589</v>
      </c>
      <c r="F13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3" s="3">
        <f>IF(Registro_proyecto[[#This Row],[Hecho]]="","",Registro_proyecto[[#This Row],[Hecho]]-Registro_proyecto[[#This Row],[Por hacer]])</f>
        <v>20</v>
      </c>
      <c r="H13" s="3">
        <f>IF(Registro_proyecto[[#This Row],[Hecho]]="","",Registro_proyecto[[#This Row],[Hecho]]-Registro_proyecto[[#This Row],[En proceso]])</f>
        <v>12</v>
      </c>
      <c r="I13" s="3"/>
      <c r="J13" s="11">
        <f>IF(ISNUMBER(J12),J12+1,Registro_proyecto[[#This Row],[Por hacer]])</f>
        <v>45576</v>
      </c>
      <c r="K13">
        <f>COUNTIF(Registro_proyecto[Por hacer],Tareas_proyecto[[#This Row],[Fecha]])-COUNTIF(Registro_proyecto[En proceso],Tareas_proyecto[[#This Row],[Fecha]])+IF(ISNUMBER(K12),K12,0)</f>
        <v>4</v>
      </c>
      <c r="L13">
        <f>COUNTIF(Registro_proyecto[En proceso],Tareas_proyecto[[#This Row],[Fecha]])-COUNTIF(Registro_proyecto[En revisión],Tareas_proyecto[[#This Row],[Fecha]])+IF(ISNUMBER(L12),L12,0)</f>
        <v>5</v>
      </c>
      <c r="M13">
        <f>COUNTIF(Registro_proyecto[En revisión],Tareas_proyecto[[#This Row],[Fecha]])-COUNTIF(Registro_proyecto[Hecho],Tareas_proyecto[[#This Row],[Fecha]])+IF(ISNUMBER(M12),M12,0)</f>
        <v>1</v>
      </c>
      <c r="N13" s="3">
        <f>COUNTIF(Registro_proyecto[Hecho],Tareas_proyecto[[#This Row],[Fecha]])+IF(ISNUMBER(N12),N12,0)</f>
        <v>5</v>
      </c>
      <c r="Q13">
        <f>SUM(Tareas_proyecto[[#This Row],[En proceso]]+Tareas_proyecto[[#This Row],[En revisión]])</f>
        <v>6</v>
      </c>
    </row>
    <row r="14" spans="1:19" x14ac:dyDescent="0.3">
      <c r="A14" t="s">
        <v>17</v>
      </c>
      <c r="B14" s="11">
        <v>45569</v>
      </c>
      <c r="C14" s="11">
        <v>45579</v>
      </c>
      <c r="D14" s="11">
        <v>45580</v>
      </c>
      <c r="E14" s="11">
        <v>45581</v>
      </c>
      <c r="F14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4" s="3">
        <f>IF(Registro_proyecto[[#This Row],[Hecho]]="","",Registro_proyecto[[#This Row],[Hecho]]-Registro_proyecto[[#This Row],[Por hacer]])</f>
        <v>12</v>
      </c>
      <c r="H14" s="3">
        <f>IF(Registro_proyecto[[#This Row],[Hecho]]="","",Registro_proyecto[[#This Row],[Hecho]]-Registro_proyecto[[#This Row],[En proceso]])</f>
        <v>2</v>
      </c>
      <c r="I14" s="3"/>
      <c r="J14" s="11">
        <f>IF(ISNUMBER(J13),J13+1,Registro_proyecto[[#This Row],[Por hacer]])</f>
        <v>45577</v>
      </c>
      <c r="K14">
        <f>COUNTIF(Registro_proyecto[Por hacer],Tareas_proyecto[[#This Row],[Fecha]])-COUNTIF(Registro_proyecto[En proceso],Tareas_proyecto[[#This Row],[Fecha]])+IF(ISNUMBER(K13),K13,0)</f>
        <v>2</v>
      </c>
      <c r="L14">
        <f>COUNTIF(Registro_proyecto[En proceso],Tareas_proyecto[[#This Row],[Fecha]])-COUNTIF(Registro_proyecto[En revisión],Tareas_proyecto[[#This Row],[Fecha]])+IF(ISNUMBER(L13),L13,0)</f>
        <v>5</v>
      </c>
      <c r="M14">
        <f>COUNTIF(Registro_proyecto[En revisión],Tareas_proyecto[[#This Row],[Fecha]])-COUNTIF(Registro_proyecto[Hecho],Tareas_proyecto[[#This Row],[Fecha]])+IF(ISNUMBER(M13),M13,0)</f>
        <v>3</v>
      </c>
      <c r="N14" s="3">
        <f>COUNTIF(Registro_proyecto[Hecho],Tareas_proyecto[[#This Row],[Fecha]])+IF(ISNUMBER(N13),N13,0)</f>
        <v>5</v>
      </c>
      <c r="Q14">
        <f>SUM(Tareas_proyecto[[#This Row],[En proceso]]+Tareas_proyecto[[#This Row],[En revisión]])</f>
        <v>8</v>
      </c>
    </row>
    <row r="15" spans="1:19" x14ac:dyDescent="0.3">
      <c r="A15" t="s">
        <v>18</v>
      </c>
      <c r="B15" s="11">
        <v>45569</v>
      </c>
      <c r="C15" s="11">
        <v>45575</v>
      </c>
      <c r="D15" s="11">
        <v>45577</v>
      </c>
      <c r="E15" s="11">
        <v>45578</v>
      </c>
      <c r="F15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5" s="3">
        <f>IF(Registro_proyecto[[#This Row],[Hecho]]="","",Registro_proyecto[[#This Row],[Hecho]]-Registro_proyecto[[#This Row],[Por hacer]])</f>
        <v>9</v>
      </c>
      <c r="H15" s="3">
        <f>IF(Registro_proyecto[[#This Row],[Hecho]]="","",Registro_proyecto[[#This Row],[Hecho]]-Registro_proyecto[[#This Row],[En proceso]])</f>
        <v>3</v>
      </c>
      <c r="I15" s="3"/>
      <c r="J15" s="11">
        <f>IF(ISNUMBER(J14),J14+1,Registro_proyecto[[#This Row],[Por hacer]])</f>
        <v>45578</v>
      </c>
      <c r="K15">
        <f>COUNTIF(Registro_proyecto[Por hacer],Tareas_proyecto[[#This Row],[Fecha]])-COUNTIF(Registro_proyecto[En proceso],Tareas_proyecto[[#This Row],[Fecha]])+IF(ISNUMBER(K14),K14,0)</f>
        <v>2</v>
      </c>
      <c r="L15">
        <f>COUNTIF(Registro_proyecto[En proceso],Tareas_proyecto[[#This Row],[Fecha]])-COUNTIF(Registro_proyecto[En revisión],Tareas_proyecto[[#This Row],[Fecha]])+IF(ISNUMBER(L14),L14,0)</f>
        <v>3</v>
      </c>
      <c r="M15">
        <f>COUNTIF(Registro_proyecto[En revisión],Tareas_proyecto[[#This Row],[Fecha]])-COUNTIF(Registro_proyecto[Hecho],Tareas_proyecto[[#This Row],[Fecha]])+IF(ISNUMBER(M14),M14,0)</f>
        <v>3</v>
      </c>
      <c r="N15" s="3">
        <f>COUNTIF(Registro_proyecto[Hecho],Tareas_proyecto[[#This Row],[Fecha]])+IF(ISNUMBER(N14),N14,0)</f>
        <v>7</v>
      </c>
      <c r="Q15">
        <f>SUM(Tareas_proyecto[[#This Row],[En proceso]]+Tareas_proyecto[[#This Row],[En revisión]])</f>
        <v>6</v>
      </c>
    </row>
    <row r="16" spans="1:19" x14ac:dyDescent="0.3">
      <c r="A16" t="s">
        <v>19</v>
      </c>
      <c r="B16" s="11">
        <v>45569</v>
      </c>
      <c r="C16" s="11">
        <v>45576</v>
      </c>
      <c r="D16" s="11">
        <v>45577</v>
      </c>
      <c r="E16" s="11">
        <v>45578</v>
      </c>
      <c r="F1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6" s="3">
        <f>IF(Registro_proyecto[[#This Row],[Hecho]]="","",Registro_proyecto[[#This Row],[Hecho]]-Registro_proyecto[[#This Row],[Por hacer]])</f>
        <v>9</v>
      </c>
      <c r="H16" s="3">
        <f>IF(Registro_proyecto[[#This Row],[Hecho]]="","",Registro_proyecto[[#This Row],[Hecho]]-Registro_proyecto[[#This Row],[En proceso]])</f>
        <v>2</v>
      </c>
      <c r="I16" s="3"/>
      <c r="J16" s="11">
        <f>IF(ISNUMBER(J15),J15+1,Registro_proyecto[[#This Row],[Por hacer]])</f>
        <v>45579</v>
      </c>
      <c r="K16">
        <f>COUNTIF(Registro_proyecto[Por hacer],Tareas_proyecto[[#This Row],[Fecha]])-COUNTIF(Registro_proyecto[En proceso],Tareas_proyecto[[#This Row],[Fecha]])+IF(ISNUMBER(K15),K15,0)</f>
        <v>0</v>
      </c>
      <c r="L16">
        <f>COUNTIF(Registro_proyecto[En proceso],Tareas_proyecto[[#This Row],[Fecha]])-COUNTIF(Registro_proyecto[En revisión],Tareas_proyecto[[#This Row],[Fecha]])+IF(ISNUMBER(L15),L15,0)</f>
        <v>4</v>
      </c>
      <c r="M16">
        <f>COUNTIF(Registro_proyecto[En revisión],Tareas_proyecto[[#This Row],[Fecha]])-COUNTIF(Registro_proyecto[Hecho],Tareas_proyecto[[#This Row],[Fecha]])+IF(ISNUMBER(M15),M15,0)</f>
        <v>1</v>
      </c>
      <c r="N16" s="3">
        <f>COUNTIF(Registro_proyecto[Hecho],Tareas_proyecto[[#This Row],[Fecha]])+IF(ISNUMBER(N15),N15,0)</f>
        <v>10</v>
      </c>
      <c r="Q16">
        <f>SUM(Tareas_proyecto[[#This Row],[En proceso]]+Tareas_proyecto[[#This Row],[En revisión]])</f>
        <v>5</v>
      </c>
    </row>
    <row r="17" spans="1:29" x14ac:dyDescent="0.3">
      <c r="A17" t="s">
        <v>20</v>
      </c>
      <c r="B17" s="11">
        <v>45569</v>
      </c>
      <c r="C17" s="11">
        <v>45576</v>
      </c>
      <c r="D17" s="11">
        <v>45578</v>
      </c>
      <c r="E17" s="11">
        <v>45579</v>
      </c>
      <c r="F1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7" s="3">
        <f>IF(Registro_proyecto[[#This Row],[Hecho]]="","",Registro_proyecto[[#This Row],[Hecho]]-Registro_proyecto[[#This Row],[Por hacer]])</f>
        <v>10</v>
      </c>
      <c r="H17" s="3">
        <f>IF(Registro_proyecto[[#This Row],[Hecho]]="","",Registro_proyecto[[#This Row],[Hecho]]-Registro_proyecto[[#This Row],[En proceso]])</f>
        <v>3</v>
      </c>
      <c r="I17" s="3"/>
      <c r="J17" s="11">
        <f>IF(ISNUMBER(J16),J16+1,Registro_proyecto[[#This Row],[Por hacer]])</f>
        <v>45580</v>
      </c>
      <c r="K17">
        <f>COUNTIF(Registro_proyecto[Por hacer],Tareas_proyecto[[#This Row],[Fecha]])-COUNTIF(Registro_proyecto[En proceso],Tareas_proyecto[[#This Row],[Fecha]])+IF(ISNUMBER(K16),K16,0)</f>
        <v>0</v>
      </c>
      <c r="L17">
        <f>COUNTIF(Registro_proyecto[En proceso],Tareas_proyecto[[#This Row],[Fecha]])-COUNTIF(Registro_proyecto[En revisión],Tareas_proyecto[[#This Row],[Fecha]])+IF(ISNUMBER(L16),L16,0)</f>
        <v>2</v>
      </c>
      <c r="M17">
        <f>COUNTIF(Registro_proyecto[En revisión],Tareas_proyecto[[#This Row],[Fecha]])-COUNTIF(Registro_proyecto[Hecho],Tareas_proyecto[[#This Row],[Fecha]])+IF(ISNUMBER(M16),M16,0)</f>
        <v>2</v>
      </c>
      <c r="N17" s="3">
        <f>COUNTIF(Registro_proyecto[Hecho],Tareas_proyecto[[#This Row],[Fecha]])+IF(ISNUMBER(N16),N16,0)</f>
        <v>11</v>
      </c>
      <c r="Q17">
        <f>SUM(Tareas_proyecto[[#This Row],[En proceso]]+Tareas_proyecto[[#This Row],[En revisión]])</f>
        <v>4</v>
      </c>
    </row>
    <row r="18" spans="1:29" x14ac:dyDescent="0.3">
      <c r="A18" t="s">
        <v>21</v>
      </c>
      <c r="B18" s="11">
        <v>45569</v>
      </c>
      <c r="C18" s="11">
        <v>45574</v>
      </c>
      <c r="D18" s="11">
        <v>45575</v>
      </c>
      <c r="E18" s="11">
        <v>45575</v>
      </c>
      <c r="F1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8" s="3">
        <f>IF(Registro_proyecto[[#This Row],[Hecho]]="","",Registro_proyecto[[#This Row],[Hecho]]-Registro_proyecto[[#This Row],[Por hacer]])</f>
        <v>6</v>
      </c>
      <c r="H18" s="3">
        <f>IF(Registro_proyecto[[#This Row],[Hecho]]="","",Registro_proyecto[[#This Row],[Hecho]]-Registro_proyecto[[#This Row],[En proceso]])</f>
        <v>1</v>
      </c>
      <c r="I18" s="3"/>
      <c r="J18" s="11">
        <f>IF(ISNUMBER(J17),J17+1,Registro_proyecto[[#This Row],[Por hacer]])</f>
        <v>45581</v>
      </c>
      <c r="K18">
        <f>COUNTIF(Registro_proyecto[Por hacer],Tareas_proyecto[[#This Row],[Fecha]])-COUNTIF(Registro_proyecto[En proceso],Tareas_proyecto[[#This Row],[Fecha]])+IF(ISNUMBER(K17),K17,0)</f>
        <v>0</v>
      </c>
      <c r="L18">
        <f>COUNTIF(Registro_proyecto[En proceso],Tareas_proyecto[[#This Row],[Fecha]])-COUNTIF(Registro_proyecto[En revisión],Tareas_proyecto[[#This Row],[Fecha]])+IF(ISNUMBER(L17),L17,0)</f>
        <v>1</v>
      </c>
      <c r="M18">
        <f>COUNTIF(Registro_proyecto[En revisión],Tareas_proyecto[[#This Row],[Fecha]])-COUNTIF(Registro_proyecto[Hecho],Tareas_proyecto[[#This Row],[Fecha]])+IF(ISNUMBER(M17),M17,0)</f>
        <v>1</v>
      </c>
      <c r="N18" s="3">
        <f>COUNTIF(Registro_proyecto[Hecho],Tareas_proyecto[[#This Row],[Fecha]])+IF(ISNUMBER(N17),N17,0)</f>
        <v>13</v>
      </c>
      <c r="Q18">
        <f>SUM(Tareas_proyecto[[#This Row],[En proceso]]+Tareas_proyecto[[#This Row],[En revisión]])</f>
        <v>2</v>
      </c>
    </row>
    <row r="19" spans="1:29" x14ac:dyDescent="0.3">
      <c r="A19" t="s">
        <v>22</v>
      </c>
      <c r="B19" s="11">
        <v>45569</v>
      </c>
      <c r="C19" s="11">
        <v>45576</v>
      </c>
      <c r="D19" s="11">
        <v>45578</v>
      </c>
      <c r="E19" s="11">
        <v>45579</v>
      </c>
      <c r="F1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19" s="3">
        <f>IF(Registro_proyecto[[#This Row],[Hecho]]="","",Registro_proyecto[[#This Row],[Hecho]]-Registro_proyecto[[#This Row],[Por hacer]])</f>
        <v>10</v>
      </c>
      <c r="H19" s="3">
        <f>IF(Registro_proyecto[[#This Row],[Hecho]]="","",Registro_proyecto[[#This Row],[Hecho]]-Registro_proyecto[[#This Row],[En proceso]])</f>
        <v>3</v>
      </c>
      <c r="I19" s="3"/>
      <c r="J19" s="11">
        <f>IF(ISNUMBER(J18),J18+1,Registro_proyecto[[#This Row],[Por hacer]])</f>
        <v>45582</v>
      </c>
      <c r="K19">
        <f>COUNTIF(Registro_proyecto[Por hacer],Tareas_proyecto[[#This Row],[Fecha]])-COUNTIF(Registro_proyecto[En proceso],Tareas_proyecto[[#This Row],[Fecha]])+IF(ISNUMBER(K18),K18,0)</f>
        <v>0</v>
      </c>
      <c r="L19">
        <f>COUNTIF(Registro_proyecto[En proceso],Tareas_proyecto[[#This Row],[Fecha]])-COUNTIF(Registro_proyecto[En revisión],Tareas_proyecto[[#This Row],[Fecha]])+IF(ISNUMBER(L18),L18,0)</f>
        <v>1</v>
      </c>
      <c r="M19">
        <f>COUNTIF(Registro_proyecto[En revisión],Tareas_proyecto[[#This Row],[Fecha]])-COUNTIF(Registro_proyecto[Hecho],Tareas_proyecto[[#This Row],[Fecha]])+IF(ISNUMBER(M18),M18,0)</f>
        <v>0</v>
      </c>
      <c r="N19" s="3">
        <f>COUNTIF(Registro_proyecto[Hecho],Tareas_proyecto[[#This Row],[Fecha]])+IF(ISNUMBER(N18),N18,0)</f>
        <v>14</v>
      </c>
      <c r="Q19">
        <f>SUM(Tareas_proyecto[[#This Row],[En proceso]]+Tareas_proyecto[[#This Row],[En revisión]])</f>
        <v>1</v>
      </c>
    </row>
    <row r="20" spans="1:29" x14ac:dyDescent="0.3">
      <c r="A20" t="s">
        <v>23</v>
      </c>
      <c r="B20" s="11">
        <v>45569</v>
      </c>
      <c r="C20" s="11">
        <v>45579</v>
      </c>
      <c r="D20" s="11">
        <v>45580</v>
      </c>
      <c r="E20" s="11">
        <v>45582</v>
      </c>
      <c r="F2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0" s="3">
        <f>IF(Registro_proyecto[[#This Row],[Hecho]]="","",Registro_proyecto[[#This Row],[Hecho]]-Registro_proyecto[[#This Row],[Por hacer]])</f>
        <v>13</v>
      </c>
      <c r="H20" s="3">
        <f>IF(Registro_proyecto[[#This Row],[Hecho]]="","",Registro_proyecto[[#This Row],[Hecho]]-Registro_proyecto[[#This Row],[En proceso]])</f>
        <v>3</v>
      </c>
      <c r="I20" s="3"/>
      <c r="J20" s="11">
        <f>IF(ISNUMBER(J19),J19+1,Registro_proyecto[[#This Row],[Por hacer]])</f>
        <v>45583</v>
      </c>
      <c r="K20">
        <f>COUNTIF(Registro_proyecto[Por hacer],Tareas_proyecto[[#This Row],[Fecha]])-COUNTIF(Registro_proyecto[En proceso],Tareas_proyecto[[#This Row],[Fecha]])+IF(ISNUMBER(K19),K19,0)</f>
        <v>0</v>
      </c>
      <c r="L20">
        <f>COUNTIF(Registro_proyecto[En proceso],Tareas_proyecto[[#This Row],[Fecha]])-COUNTIF(Registro_proyecto[En revisión],Tareas_proyecto[[#This Row],[Fecha]])+IF(ISNUMBER(L19),L19,0)</f>
        <v>1</v>
      </c>
      <c r="M20">
        <f>COUNTIF(Registro_proyecto[En revisión],Tareas_proyecto[[#This Row],[Fecha]])-COUNTIF(Registro_proyecto[Hecho],Tareas_proyecto[[#This Row],[Fecha]])+IF(ISNUMBER(M19),M19,0)</f>
        <v>0</v>
      </c>
      <c r="N20" s="3">
        <f>COUNTIF(Registro_proyecto[Hecho],Tareas_proyecto[[#This Row],[Fecha]])+IF(ISNUMBER(N19),N19,0)</f>
        <v>14</v>
      </c>
      <c r="Q20">
        <f>SUM(Tareas_proyecto[[#This Row],[En proceso]]+Tareas_proyecto[[#This Row],[En revisión]])</f>
        <v>1</v>
      </c>
    </row>
    <row r="21" spans="1:29" x14ac:dyDescent="0.3">
      <c r="A21" t="s">
        <v>24</v>
      </c>
      <c r="B21" s="11">
        <v>45586</v>
      </c>
      <c r="C21" s="11">
        <v>45587</v>
      </c>
      <c r="D21" s="11">
        <v>45587</v>
      </c>
      <c r="E21" s="11">
        <v>45589</v>
      </c>
      <c r="F2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1" s="3">
        <f>IF(Registro_proyecto[[#This Row],[Hecho]]="","",Registro_proyecto[[#This Row],[Hecho]]-Registro_proyecto[[#This Row],[Por hacer]])</f>
        <v>3</v>
      </c>
      <c r="H21" s="3">
        <f>IF(Registro_proyecto[[#This Row],[Hecho]]="","",Registro_proyecto[[#This Row],[Hecho]]-Registro_proyecto[[#This Row],[En proceso]])</f>
        <v>2</v>
      </c>
      <c r="I21" s="3"/>
      <c r="J21" s="11">
        <f>IF(ISNUMBER(J20),J20+1,Registro_proyecto[[#This Row],[Por hacer]])</f>
        <v>45584</v>
      </c>
      <c r="K21">
        <f>COUNTIF(Registro_proyecto[Por hacer],Tareas_proyecto[[#This Row],[Fecha]])-COUNTIF(Registro_proyecto[En proceso],Tareas_proyecto[[#This Row],[Fecha]])+IF(ISNUMBER(K20),K20,0)</f>
        <v>0</v>
      </c>
      <c r="L21">
        <f>COUNTIF(Registro_proyecto[En proceso],Tareas_proyecto[[#This Row],[Fecha]])-COUNTIF(Registro_proyecto[En revisión],Tareas_proyecto[[#This Row],[Fecha]])+IF(ISNUMBER(L20),L20,0)</f>
        <v>1</v>
      </c>
      <c r="M21">
        <f>COUNTIF(Registro_proyecto[En revisión],Tareas_proyecto[[#This Row],[Fecha]])-COUNTIF(Registro_proyecto[Hecho],Tareas_proyecto[[#This Row],[Fecha]])+IF(ISNUMBER(M20),M20,0)</f>
        <v>0</v>
      </c>
      <c r="N21" s="3">
        <f>COUNTIF(Registro_proyecto[Hecho],Tareas_proyecto[[#This Row],[Fecha]])+IF(ISNUMBER(N20),N20,0)</f>
        <v>14</v>
      </c>
      <c r="Q21">
        <f>SUM(Tareas_proyecto[[#This Row],[En proceso]]+Tareas_proyecto[[#This Row],[En revisión]])</f>
        <v>1</v>
      </c>
    </row>
    <row r="22" spans="1:29" x14ac:dyDescent="0.3">
      <c r="A22" t="s">
        <v>25</v>
      </c>
      <c r="B22" s="11">
        <v>45586</v>
      </c>
      <c r="C22" s="11">
        <v>45591</v>
      </c>
      <c r="D22" s="11">
        <v>45592</v>
      </c>
      <c r="E22" s="11">
        <v>45592</v>
      </c>
      <c r="F22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2" s="3">
        <f>IF(Registro_proyecto[[#This Row],[Hecho]]="","",Registro_proyecto[[#This Row],[Hecho]]-Registro_proyecto[[#This Row],[Por hacer]])</f>
        <v>6</v>
      </c>
      <c r="H22" s="3">
        <f>IF(Registro_proyecto[[#This Row],[Hecho]]="","",Registro_proyecto[[#This Row],[Hecho]]-Registro_proyecto[[#This Row],[En proceso]])</f>
        <v>1</v>
      </c>
      <c r="I22" s="3"/>
      <c r="J22" s="11">
        <f>IF(ISNUMBER(J21),J21+1,Registro_proyecto[[#This Row],[Por hacer]])</f>
        <v>45585</v>
      </c>
      <c r="K22">
        <f>COUNTIF(Registro_proyecto[Por hacer],Tareas_proyecto[[#This Row],[Fecha]])-COUNTIF(Registro_proyecto[En proceso],Tareas_proyecto[[#This Row],[Fecha]])+IF(ISNUMBER(K21),K21,0)</f>
        <v>0</v>
      </c>
      <c r="L22">
        <f>COUNTIF(Registro_proyecto[En proceso],Tareas_proyecto[[#This Row],[Fecha]])-COUNTIF(Registro_proyecto[En revisión],Tareas_proyecto[[#This Row],[Fecha]])+IF(ISNUMBER(L21),L21,0)</f>
        <v>1</v>
      </c>
      <c r="M22">
        <f>COUNTIF(Registro_proyecto[En revisión],Tareas_proyecto[[#This Row],[Fecha]])-COUNTIF(Registro_proyecto[Hecho],Tareas_proyecto[[#This Row],[Fecha]])+IF(ISNUMBER(M21),M21,0)</f>
        <v>0</v>
      </c>
      <c r="N22" s="3">
        <f>COUNTIF(Registro_proyecto[Hecho],Tareas_proyecto[[#This Row],[Fecha]])+IF(ISNUMBER(N21),N21,0)</f>
        <v>14</v>
      </c>
      <c r="Q22">
        <f>SUM(Tareas_proyecto[[#This Row],[En proceso]]+Tareas_proyecto[[#This Row],[En revisión]])</f>
        <v>1</v>
      </c>
    </row>
    <row r="23" spans="1:29" x14ac:dyDescent="0.3">
      <c r="A23" t="s">
        <v>26</v>
      </c>
      <c r="B23" s="11">
        <v>45586</v>
      </c>
      <c r="C23" s="11">
        <v>45593</v>
      </c>
      <c r="D23" s="11">
        <v>45595</v>
      </c>
      <c r="E23" s="11">
        <v>45595</v>
      </c>
      <c r="F23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3" s="3">
        <f>IF(Registro_proyecto[[#This Row],[Hecho]]="","",Registro_proyecto[[#This Row],[Hecho]]-Registro_proyecto[[#This Row],[Por hacer]])</f>
        <v>9</v>
      </c>
      <c r="H23" s="3">
        <f>IF(Registro_proyecto[[#This Row],[Hecho]]="","",Registro_proyecto[[#This Row],[Hecho]]-Registro_proyecto[[#This Row],[En proceso]])</f>
        <v>2</v>
      </c>
      <c r="I23" s="3"/>
      <c r="J23" s="11">
        <f>IF(ISNUMBER(J22),J22+1,Registro_proyecto[[#This Row],[Por hacer]])</f>
        <v>45586</v>
      </c>
      <c r="K23">
        <f>COUNTIF(Registro_proyecto[Por hacer],Tareas_proyecto[[#This Row],[Fecha]])-COUNTIF(Registro_proyecto[En proceso],Tareas_proyecto[[#This Row],[Fecha]])+IF(ISNUMBER(K22),K22,0)</f>
        <v>11</v>
      </c>
      <c r="L23">
        <f>COUNTIF(Registro_proyecto[En proceso],Tareas_proyecto[[#This Row],[Fecha]])-COUNTIF(Registro_proyecto[En revisión],Tareas_proyecto[[#This Row],[Fecha]])+IF(ISNUMBER(L22),L22,0)</f>
        <v>1</v>
      </c>
      <c r="M23">
        <f>COUNTIF(Registro_proyecto[En revisión],Tareas_proyecto[[#This Row],[Fecha]])-COUNTIF(Registro_proyecto[Hecho],Tareas_proyecto[[#This Row],[Fecha]])+IF(ISNUMBER(M22),M22,0)</f>
        <v>0</v>
      </c>
      <c r="N23" s="3">
        <f>COUNTIF(Registro_proyecto[Hecho],Tareas_proyecto[[#This Row],[Fecha]])+IF(ISNUMBER(N22),N22,0)</f>
        <v>14</v>
      </c>
      <c r="Q23">
        <f>SUM(Tareas_proyecto[[#This Row],[En proceso]]+Tareas_proyecto[[#This Row],[En revisión]])</f>
        <v>1</v>
      </c>
    </row>
    <row r="24" spans="1:29" x14ac:dyDescent="0.3">
      <c r="A24" t="s">
        <v>27</v>
      </c>
      <c r="B24" s="11">
        <v>45586</v>
      </c>
      <c r="C24" s="11">
        <v>45595</v>
      </c>
      <c r="D24" s="11">
        <v>45596</v>
      </c>
      <c r="E24" s="11">
        <v>45597</v>
      </c>
      <c r="F24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4" s="3">
        <f>IF(Registro_proyecto[[#This Row],[Hecho]]="","",Registro_proyecto[[#This Row],[Hecho]]-Registro_proyecto[[#This Row],[Por hacer]])</f>
        <v>11</v>
      </c>
      <c r="H24" s="3">
        <f>IF(Registro_proyecto[[#This Row],[Hecho]]="","",Registro_proyecto[[#This Row],[Hecho]]-Registro_proyecto[[#This Row],[En proceso]])</f>
        <v>2</v>
      </c>
      <c r="I24" s="3"/>
      <c r="J24" s="11">
        <f>IF(ISNUMBER(J23),J23+1,Registro_proyecto[[#This Row],[Por hacer]])</f>
        <v>45587</v>
      </c>
      <c r="K24">
        <f>COUNTIF(Registro_proyecto[Por hacer],Tareas_proyecto[[#This Row],[Fecha]])-COUNTIF(Registro_proyecto[En proceso],Tareas_proyecto[[#This Row],[Fecha]])+IF(ISNUMBER(K23),K23,0)</f>
        <v>10</v>
      </c>
      <c r="L24">
        <f>COUNTIF(Registro_proyecto[En proceso],Tareas_proyecto[[#This Row],[Fecha]])-COUNTIF(Registro_proyecto[En revisión],Tareas_proyecto[[#This Row],[Fecha]])+IF(ISNUMBER(L23),L23,0)</f>
        <v>0</v>
      </c>
      <c r="M24">
        <f>COUNTIF(Registro_proyecto[En revisión],Tareas_proyecto[[#This Row],[Fecha]])-COUNTIF(Registro_proyecto[Hecho],Tareas_proyecto[[#This Row],[Fecha]])+IF(ISNUMBER(M23),M23,0)</f>
        <v>2</v>
      </c>
      <c r="N24" s="3">
        <f>COUNTIF(Registro_proyecto[Hecho],Tareas_proyecto[[#This Row],[Fecha]])+IF(ISNUMBER(N23),N23,0)</f>
        <v>14</v>
      </c>
      <c r="Q24">
        <f>SUM(Tareas_proyecto[[#This Row],[En proceso]]+Tareas_proyecto[[#This Row],[En revisión]])</f>
        <v>2</v>
      </c>
    </row>
    <row r="25" spans="1:29" x14ac:dyDescent="0.3">
      <c r="A25" t="s">
        <v>28</v>
      </c>
      <c r="B25" s="11">
        <v>45586</v>
      </c>
      <c r="C25" s="11">
        <v>45600</v>
      </c>
      <c r="D25" s="11">
        <v>45635</v>
      </c>
      <c r="E25" s="11">
        <v>45636</v>
      </c>
      <c r="F25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5" s="3">
        <f>IF(Registro_proyecto[[#This Row],[Hecho]]="","",Registro_proyecto[[#This Row],[Hecho]]-Registro_proyecto[[#This Row],[Por hacer]])</f>
        <v>50</v>
      </c>
      <c r="H25" s="3">
        <f>IF(Registro_proyecto[[#This Row],[Hecho]]="","",Registro_proyecto[[#This Row],[Hecho]]-Registro_proyecto[[#This Row],[En proceso]])</f>
        <v>36</v>
      </c>
      <c r="I25" s="3"/>
      <c r="J25" s="11">
        <f>IF(ISNUMBER(J24),J24+1,Registro_proyecto[[#This Row],[Por hacer]])</f>
        <v>45588</v>
      </c>
      <c r="K25">
        <f>COUNTIF(Registro_proyecto[Por hacer],Tareas_proyecto[[#This Row],[Fecha]])-COUNTIF(Registro_proyecto[En proceso],Tareas_proyecto[[#This Row],[Fecha]])+IF(ISNUMBER(K24),K24,0)</f>
        <v>10</v>
      </c>
      <c r="L25">
        <f>COUNTIF(Registro_proyecto[En proceso],Tareas_proyecto[[#This Row],[Fecha]])-COUNTIF(Registro_proyecto[En revisión],Tareas_proyecto[[#This Row],[Fecha]])+IF(ISNUMBER(L24),L24,0)</f>
        <v>0</v>
      </c>
      <c r="M25">
        <f>COUNTIF(Registro_proyecto[En revisión],Tareas_proyecto[[#This Row],[Fecha]])-COUNTIF(Registro_proyecto[Hecho],Tareas_proyecto[[#This Row],[Fecha]])+IF(ISNUMBER(M24),M24,0)</f>
        <v>2</v>
      </c>
      <c r="N25" s="3">
        <f>COUNTIF(Registro_proyecto[Hecho],Tareas_proyecto[[#This Row],[Fecha]])+IF(ISNUMBER(N24),N24,0)</f>
        <v>14</v>
      </c>
      <c r="Q25">
        <f>SUM(Tareas_proyecto[[#This Row],[En proceso]]+Tareas_proyecto[[#This Row],[En revisión]])</f>
        <v>2</v>
      </c>
    </row>
    <row r="26" spans="1:29" x14ac:dyDescent="0.3">
      <c r="A26" t="s">
        <v>29</v>
      </c>
      <c r="B26" s="11">
        <v>45586</v>
      </c>
      <c r="C26" s="11">
        <v>45601</v>
      </c>
      <c r="D26" s="11">
        <v>45604</v>
      </c>
      <c r="E26" s="11">
        <v>45604</v>
      </c>
      <c r="F2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6" s="3">
        <f>IF(Registro_proyecto[[#This Row],[Hecho]]="","",Registro_proyecto[[#This Row],[Hecho]]-Registro_proyecto[[#This Row],[Por hacer]])</f>
        <v>18</v>
      </c>
      <c r="H26" s="3">
        <f>IF(Registro_proyecto[[#This Row],[Hecho]]="","",Registro_proyecto[[#This Row],[Hecho]]-Registro_proyecto[[#This Row],[En proceso]])</f>
        <v>3</v>
      </c>
      <c r="I26" s="3"/>
      <c r="J26" s="11">
        <f>IF(ISNUMBER(J25),J25+1,Registro_proyecto[[#This Row],[Por hacer]])</f>
        <v>45589</v>
      </c>
      <c r="K26">
        <f>COUNTIF(Registro_proyecto[Por hacer],Tareas_proyecto[[#This Row],[Fecha]])-COUNTIF(Registro_proyecto[En proceso],Tareas_proyecto[[#This Row],[Fecha]])+IF(ISNUMBER(K25),K25,0)</f>
        <v>10</v>
      </c>
      <c r="L26">
        <f>COUNTIF(Registro_proyecto[En proceso],Tareas_proyecto[[#This Row],[Fecha]])-COUNTIF(Registro_proyecto[En revisión],Tareas_proyecto[[#This Row],[Fecha]])+IF(ISNUMBER(L25),L25,0)</f>
        <v>0</v>
      </c>
      <c r="M26">
        <f>COUNTIF(Registro_proyecto[En revisión],Tareas_proyecto[[#This Row],[Fecha]])-COUNTIF(Registro_proyecto[Hecho],Tareas_proyecto[[#This Row],[Fecha]])+IF(ISNUMBER(M25),M25,0)</f>
        <v>0</v>
      </c>
      <c r="N26" s="3">
        <f>COUNTIF(Registro_proyecto[Hecho],Tareas_proyecto[[#This Row],[Fecha]])+IF(ISNUMBER(N25),N25,0)</f>
        <v>16</v>
      </c>
      <c r="Q26">
        <f>SUM(Tareas_proyecto[[#This Row],[En proceso]]+Tareas_proyecto[[#This Row],[En revisión]])</f>
        <v>0</v>
      </c>
    </row>
    <row r="27" spans="1:29" ht="18" x14ac:dyDescent="0.35">
      <c r="A27" t="s">
        <v>30</v>
      </c>
      <c r="B27" s="11">
        <v>45586</v>
      </c>
      <c r="C27" s="11">
        <v>45600</v>
      </c>
      <c r="D27" s="11">
        <v>45602</v>
      </c>
      <c r="E27" s="11">
        <v>45602</v>
      </c>
      <c r="F2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7" s="3">
        <f>IF(Registro_proyecto[[#This Row],[Hecho]]="","",Registro_proyecto[[#This Row],[Hecho]]-Registro_proyecto[[#This Row],[Por hacer]])</f>
        <v>16</v>
      </c>
      <c r="H27" s="3">
        <f>IF(Registro_proyecto[[#This Row],[Hecho]]="","",Registro_proyecto[[#This Row],[Hecho]]-Registro_proyecto[[#This Row],[En proceso]])</f>
        <v>2</v>
      </c>
      <c r="I27" s="3"/>
      <c r="J27" s="11">
        <f>IF(ISNUMBER(J26),J26+1,Registro_proyecto[[#This Row],[Por hacer]])</f>
        <v>45590</v>
      </c>
      <c r="K27">
        <f>COUNTIF(Registro_proyecto[Por hacer],Tareas_proyecto[[#This Row],[Fecha]])-COUNTIF(Registro_proyecto[En proceso],Tareas_proyecto[[#This Row],[Fecha]])+IF(ISNUMBER(K26),K26,0)</f>
        <v>10</v>
      </c>
      <c r="L27">
        <f>COUNTIF(Registro_proyecto[En proceso],Tareas_proyecto[[#This Row],[Fecha]])-COUNTIF(Registro_proyecto[En revisión],Tareas_proyecto[[#This Row],[Fecha]])+IF(ISNUMBER(L26),L26,0)</f>
        <v>0</v>
      </c>
      <c r="M27">
        <f>COUNTIF(Registro_proyecto[En revisión],Tareas_proyecto[[#This Row],[Fecha]])-COUNTIF(Registro_proyecto[Hecho],Tareas_proyecto[[#This Row],[Fecha]])+IF(ISNUMBER(M26),M26,0)</f>
        <v>0</v>
      </c>
      <c r="N27" s="3">
        <f>COUNTIF(Registro_proyecto[Hecho],Tareas_proyecto[[#This Row],[Fecha]])+IF(ISNUMBER(N26),N26,0)</f>
        <v>16</v>
      </c>
      <c r="Q27">
        <f>SUM(Tareas_proyecto[[#This Row],[En proceso]]+Tareas_proyecto[[#This Row],[En revisión]])</f>
        <v>0</v>
      </c>
      <c r="S27" s="9" t="s">
        <v>38</v>
      </c>
    </row>
    <row r="28" spans="1:29" x14ac:dyDescent="0.3">
      <c r="A28" t="s">
        <v>92</v>
      </c>
      <c r="B28" s="11">
        <v>45586</v>
      </c>
      <c r="C28" s="11">
        <v>45602</v>
      </c>
      <c r="D28" s="11">
        <v>45604</v>
      </c>
      <c r="E28" s="11">
        <v>45605</v>
      </c>
      <c r="F2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8" s="3">
        <f>IF(Registro_proyecto[[#This Row],[Hecho]]="","",Registro_proyecto[[#This Row],[Hecho]]-Registro_proyecto[[#This Row],[Por hacer]])</f>
        <v>19</v>
      </c>
      <c r="H28" s="3">
        <f>IF(Registro_proyecto[[#This Row],[Hecho]]="","",Registro_proyecto[[#This Row],[Hecho]]-Registro_proyecto[[#This Row],[En proceso]])</f>
        <v>3</v>
      </c>
      <c r="J28" s="11">
        <f>IF(ISNUMBER(J27),J27+1,Registro_proyecto[[#This Row],[Por hacer]])</f>
        <v>45591</v>
      </c>
      <c r="K28">
        <f>COUNTIF(Registro_proyecto[Por hacer],Tareas_proyecto[[#This Row],[Fecha]])-COUNTIF(Registro_proyecto[En proceso],Tareas_proyecto[[#This Row],[Fecha]])+IF(ISNUMBER(K27),K27,0)</f>
        <v>9</v>
      </c>
      <c r="L28">
        <f>COUNTIF(Registro_proyecto[En proceso],Tareas_proyecto[[#This Row],[Fecha]])-COUNTIF(Registro_proyecto[En revisión],Tareas_proyecto[[#This Row],[Fecha]])+IF(ISNUMBER(L27),L27,0)</f>
        <v>1</v>
      </c>
      <c r="M28">
        <f>COUNTIF(Registro_proyecto[En revisión],Tareas_proyecto[[#This Row],[Fecha]])-COUNTIF(Registro_proyecto[Hecho],Tareas_proyecto[[#This Row],[Fecha]])+IF(ISNUMBER(M27),M27,0)</f>
        <v>0</v>
      </c>
      <c r="N28" s="3">
        <f>COUNTIF(Registro_proyecto[Hecho],Tareas_proyecto[[#This Row],[Fecha]])+IF(ISNUMBER(N27),N27,0)</f>
        <v>16</v>
      </c>
      <c r="Q28">
        <f>SUM(Tareas_proyecto[[#This Row],[En proceso]]+Tareas_proyecto[[#This Row],[En revisión]])</f>
        <v>1</v>
      </c>
      <c r="S28" t="s">
        <v>41</v>
      </c>
      <c r="T28" s="2">
        <f>IFERROR(AVERAGE(Registro_proyecto[Tiempo de Entrega]),"-")</f>
        <v>12.138888888888889</v>
      </c>
      <c r="U28" t="s">
        <v>39</v>
      </c>
      <c r="W28" t="str">
        <f>IFERROR("Tiempo de Entrega máximo (tarea "&amp;_xlfn.XLOOKUP(X28,Registro_proyecto[Tiempo de Entrega],Registro_proyecto[Código Tarea])&amp;"):","Tiempo de Entrega máximo:")</f>
        <v>Tiempo de Entrega máximo (tarea #020):</v>
      </c>
      <c r="X28">
        <f>MAX(Registro_proyecto[Tiempo de Entrega])</f>
        <v>50</v>
      </c>
      <c r="Y28" t="s">
        <v>39</v>
      </c>
      <c r="AA28" t="str">
        <f>IFERROR("Tiempo de Entrega mínimo (tarea "&amp;_xlfn.XLOOKUP(AB28,Registro_proyecto[Tiempo de Entrega],Registro_proyecto[Código Tarea])&amp;"):","Tiempo de Entrega mínimo:")</f>
        <v>Tiempo de Entrega mínimo (tarea #001):</v>
      </c>
      <c r="AB28">
        <f>MIN(Registro_proyecto[Tiempo de Entrega])</f>
        <v>0</v>
      </c>
      <c r="AC28" t="s">
        <v>39</v>
      </c>
    </row>
    <row r="29" spans="1:29" x14ac:dyDescent="0.3">
      <c r="A29" t="s">
        <v>93</v>
      </c>
      <c r="B29" s="11">
        <v>45586</v>
      </c>
      <c r="C29" s="11">
        <v>45605</v>
      </c>
      <c r="D29" s="11">
        <v>45606</v>
      </c>
      <c r="E29" s="11">
        <v>45607</v>
      </c>
      <c r="F2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29" s="3">
        <f>IF(Registro_proyecto[[#This Row],[Hecho]]="","",Registro_proyecto[[#This Row],[Hecho]]-Registro_proyecto[[#This Row],[Por hacer]])</f>
        <v>21</v>
      </c>
      <c r="H29" s="3">
        <f>IF(Registro_proyecto[[#This Row],[Hecho]]="","",Registro_proyecto[[#This Row],[Hecho]]-Registro_proyecto[[#This Row],[En proceso]])</f>
        <v>2</v>
      </c>
      <c r="J29" s="11">
        <f>IF(ISNUMBER(J28),J28+1,Registro_proyecto[[#This Row],[Por hacer]])</f>
        <v>45592</v>
      </c>
      <c r="K29">
        <f>COUNTIF(Registro_proyecto[Por hacer],Tareas_proyecto[[#This Row],[Fecha]])-COUNTIF(Registro_proyecto[En proceso],Tareas_proyecto[[#This Row],[Fecha]])+IF(ISNUMBER(K28),K28,0)</f>
        <v>9</v>
      </c>
      <c r="L29">
        <f>COUNTIF(Registro_proyecto[En proceso],Tareas_proyecto[[#This Row],[Fecha]])-COUNTIF(Registro_proyecto[En revisión],Tareas_proyecto[[#This Row],[Fecha]])+IF(ISNUMBER(L28),L28,0)</f>
        <v>0</v>
      </c>
      <c r="M29">
        <f>COUNTIF(Registro_proyecto[En revisión],Tareas_proyecto[[#This Row],[Fecha]])-COUNTIF(Registro_proyecto[Hecho],Tareas_proyecto[[#This Row],[Fecha]])+IF(ISNUMBER(M28),M28,0)</f>
        <v>0</v>
      </c>
      <c r="N29" s="3">
        <f>COUNTIF(Registro_proyecto[Hecho],Tareas_proyecto[[#This Row],[Fecha]])+IF(ISNUMBER(N28),N28,0)</f>
        <v>17</v>
      </c>
      <c r="Q29">
        <f>SUM(Tareas_proyecto[[#This Row],[En proceso]]+Tareas_proyecto[[#This Row],[En revisión]])</f>
        <v>0</v>
      </c>
      <c r="S29" t="s">
        <v>42</v>
      </c>
      <c r="T29" s="2">
        <f>IFERROR(AVERAGE(Registro_proyecto[Tiempo de Ciclo]),"-")</f>
        <v>4.0277777777777777</v>
      </c>
      <c r="U29" t="s">
        <v>39</v>
      </c>
      <c r="W29" t="str">
        <f>IFERROR("Tiempo de Ciclo máximo (tarea "&amp;_xlfn.XLOOKUP(X29,Registro_proyecto[Tiempo de Ciclo],Registro_proyecto[Código Tarea])&amp;"):","Tiempo de Ciclo máximo:")</f>
        <v>Tiempo de Ciclo máximo (tarea #020):</v>
      </c>
      <c r="X29">
        <f>MAX(Registro_proyecto[Tiempo de Ciclo])</f>
        <v>36</v>
      </c>
      <c r="Y29" t="s">
        <v>39</v>
      </c>
      <c r="AA29" t="str">
        <f>IFERROR("Tiempo de Ciclo mínimo (tarea "&amp;_xlfn.XLOOKUP(AB29,Registro_proyecto[Tiempo de Ciclo],Registro_proyecto[Código Tarea])&amp;"):","Tiempo de Ciclo mínimo:")</f>
        <v>Tiempo de Ciclo mínimo (tarea #001):</v>
      </c>
      <c r="AB29">
        <f>MIN(Registro_proyecto[Tiempo de Ciclo])</f>
        <v>0</v>
      </c>
      <c r="AC29" t="s">
        <v>39</v>
      </c>
    </row>
    <row r="30" spans="1:29" x14ac:dyDescent="0.3">
      <c r="A30" t="s">
        <v>94</v>
      </c>
      <c r="B30" s="11">
        <v>45586</v>
      </c>
      <c r="C30" s="11">
        <v>45604</v>
      </c>
      <c r="D30" s="11">
        <v>45607</v>
      </c>
      <c r="E30" s="11">
        <v>45607</v>
      </c>
      <c r="F3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0" s="3">
        <f>IF(Registro_proyecto[[#This Row],[Hecho]]="","",Registro_proyecto[[#This Row],[Hecho]]-Registro_proyecto[[#This Row],[Por hacer]])</f>
        <v>21</v>
      </c>
      <c r="H30" s="3">
        <f>IF(Registro_proyecto[[#This Row],[Hecho]]="","",Registro_proyecto[[#This Row],[Hecho]]-Registro_proyecto[[#This Row],[En proceso]])</f>
        <v>3</v>
      </c>
      <c r="J30" s="11">
        <f>IF(ISNUMBER(J29),J29+1,Registro_proyecto[[#This Row],[Por hacer]])</f>
        <v>45593</v>
      </c>
      <c r="K30">
        <f>COUNTIF(Registro_proyecto[Por hacer],Tareas_proyecto[[#This Row],[Fecha]])-COUNTIF(Registro_proyecto[En proceso],Tareas_proyecto[[#This Row],[Fecha]])+IF(ISNUMBER(K29),K29,0)</f>
        <v>8</v>
      </c>
      <c r="L30">
        <f>COUNTIF(Registro_proyecto[En proceso],Tareas_proyecto[[#This Row],[Fecha]])-COUNTIF(Registro_proyecto[En revisión],Tareas_proyecto[[#This Row],[Fecha]])+IF(ISNUMBER(L29),L29,0)</f>
        <v>1</v>
      </c>
      <c r="M30">
        <f>COUNTIF(Registro_proyecto[En revisión],Tareas_proyecto[[#This Row],[Fecha]])-COUNTIF(Registro_proyecto[Hecho],Tareas_proyecto[[#This Row],[Fecha]])+IF(ISNUMBER(M29),M29,0)</f>
        <v>0</v>
      </c>
      <c r="N30" s="3">
        <f>COUNTIF(Registro_proyecto[Hecho],Tareas_proyecto[[#This Row],[Fecha]])+IF(ISNUMBER(N29),N29,0)</f>
        <v>17</v>
      </c>
      <c r="Q30">
        <f>SUM(Tareas_proyecto[[#This Row],[En proceso]]+Tareas_proyecto[[#This Row],[En revisión]])</f>
        <v>1</v>
      </c>
      <c r="S30" t="s">
        <v>43</v>
      </c>
      <c r="T30" s="2">
        <f>AVERAGE(Tareas_proyecto[WIP])</f>
        <v>1.8831168831168832</v>
      </c>
      <c r="U30" t="s">
        <v>40</v>
      </c>
      <c r="W30" s="1" t="str">
        <f>"WIP máximo ("&amp;TEXT(_xlfn.XLOOKUP(X30,Tareas_proyecto[WIP],Tareas_proyecto[Fecha]),"dd/mm/aa")&amp;"):"</f>
        <v>WIP máximo (12/10/24):</v>
      </c>
      <c r="X30">
        <f>MAX(Tareas_proyecto[WIP])</f>
        <v>8</v>
      </c>
      <c r="Y30" t="s">
        <v>40</v>
      </c>
      <c r="AA30" t="str">
        <f>"WIP mínimo ("&amp;TEXT(_xlfn.XLOOKUP(AB30,Tareas_proyecto[WIP],Tareas_proyecto[Fecha]),"dd/mm/aa")&amp;"):"</f>
        <v>WIP mínimo (07/10/24):</v>
      </c>
      <c r="AB30">
        <f>MIN(Tareas_proyecto[WIP])</f>
        <v>0</v>
      </c>
      <c r="AC30" t="s">
        <v>40</v>
      </c>
    </row>
    <row r="31" spans="1:29" x14ac:dyDescent="0.3">
      <c r="A31" t="s">
        <v>95</v>
      </c>
      <c r="B31" s="11">
        <v>45586</v>
      </c>
      <c r="C31" s="11">
        <v>45606</v>
      </c>
      <c r="D31" s="11">
        <v>45608</v>
      </c>
      <c r="E31" s="11">
        <v>45610</v>
      </c>
      <c r="F3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1" s="3">
        <f>IF(Registro_proyecto[[#This Row],[Hecho]]="","",Registro_proyecto[[#This Row],[Hecho]]-Registro_proyecto[[#This Row],[Por hacer]])</f>
        <v>24</v>
      </c>
      <c r="H31" s="3">
        <f>IF(Registro_proyecto[[#This Row],[Hecho]]="","",Registro_proyecto[[#This Row],[Hecho]]-Registro_proyecto[[#This Row],[En proceso]])</f>
        <v>4</v>
      </c>
      <c r="J31" s="11">
        <f>IF(ISNUMBER(J30),J30+1,Registro_proyecto[[#This Row],[Por hacer]])</f>
        <v>45594</v>
      </c>
      <c r="K31">
        <f>COUNTIF(Registro_proyecto[Por hacer],Tareas_proyecto[[#This Row],[Fecha]])-COUNTIF(Registro_proyecto[En proceso],Tareas_proyecto[[#This Row],[Fecha]])+IF(ISNUMBER(K30),K30,0)</f>
        <v>8</v>
      </c>
      <c r="L31">
        <f>COUNTIF(Registro_proyecto[En proceso],Tareas_proyecto[[#This Row],[Fecha]])-COUNTIF(Registro_proyecto[En revisión],Tareas_proyecto[[#This Row],[Fecha]])+IF(ISNUMBER(L30),L30,0)</f>
        <v>1</v>
      </c>
      <c r="M31">
        <f>COUNTIF(Registro_proyecto[En revisión],Tareas_proyecto[[#This Row],[Fecha]])-COUNTIF(Registro_proyecto[Hecho],Tareas_proyecto[[#This Row],[Fecha]])+IF(ISNUMBER(M30),M30,0)</f>
        <v>0</v>
      </c>
      <c r="N31" s="3">
        <f>COUNTIF(Registro_proyecto[Hecho],Tareas_proyecto[[#This Row],[Fecha]])+IF(ISNUMBER(N30),N30,0)</f>
        <v>17</v>
      </c>
      <c r="Q31">
        <f>SUM(Tareas_proyecto[[#This Row],[En proceso]]+Tareas_proyecto[[#This Row],[En revisión]])</f>
        <v>1</v>
      </c>
    </row>
    <row r="32" spans="1:29" x14ac:dyDescent="0.3">
      <c r="A32" t="s">
        <v>99</v>
      </c>
      <c r="B32" s="11">
        <v>45614</v>
      </c>
      <c r="C32" s="11">
        <v>45628</v>
      </c>
      <c r="D32" s="11">
        <v>45632</v>
      </c>
      <c r="E32" s="11">
        <v>45633</v>
      </c>
      <c r="F32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2" s="3">
        <f>IF(Registro_proyecto[[#This Row],[Hecho]]="","",Registro_proyecto[[#This Row],[Hecho]]-Registro_proyecto[[#This Row],[Por hacer]])</f>
        <v>19</v>
      </c>
      <c r="H32" s="3">
        <f>IF(Registro_proyecto[[#This Row],[Hecho]]="","",Registro_proyecto[[#This Row],[Hecho]]-Registro_proyecto[[#This Row],[En proceso]])</f>
        <v>5</v>
      </c>
      <c r="J32" s="11">
        <f>IF(ISNUMBER(J31),J31+1,Registro_proyecto[[#This Row],[Por hacer]])</f>
        <v>45595</v>
      </c>
      <c r="K32">
        <f>COUNTIF(Registro_proyecto[Por hacer],Tareas_proyecto[[#This Row],[Fecha]])-COUNTIF(Registro_proyecto[En proceso],Tareas_proyecto[[#This Row],[Fecha]])+IF(ISNUMBER(K31),K31,0)</f>
        <v>7</v>
      </c>
      <c r="L32">
        <f>COUNTIF(Registro_proyecto[En proceso],Tareas_proyecto[[#This Row],[Fecha]])-COUNTIF(Registro_proyecto[En revisión],Tareas_proyecto[[#This Row],[Fecha]])+IF(ISNUMBER(L31),L31,0)</f>
        <v>1</v>
      </c>
      <c r="M32">
        <f>COUNTIF(Registro_proyecto[En revisión],Tareas_proyecto[[#This Row],[Fecha]])-COUNTIF(Registro_proyecto[Hecho],Tareas_proyecto[[#This Row],[Fecha]])+IF(ISNUMBER(M31),M31,0)</f>
        <v>0</v>
      </c>
      <c r="N32" s="3">
        <f>COUNTIF(Registro_proyecto[Hecho],Tareas_proyecto[[#This Row],[Fecha]])+IF(ISNUMBER(N31),N31,0)</f>
        <v>18</v>
      </c>
      <c r="Q32">
        <f>SUM(Tareas_proyecto[[#This Row],[En proceso]]+Tareas_proyecto[[#This Row],[En revisión]])</f>
        <v>1</v>
      </c>
    </row>
    <row r="33" spans="1:17" x14ac:dyDescent="0.3">
      <c r="A33" t="s">
        <v>100</v>
      </c>
      <c r="B33" s="11">
        <v>45614</v>
      </c>
      <c r="C33" s="11">
        <v>45616</v>
      </c>
      <c r="D33" s="11">
        <v>45621</v>
      </c>
      <c r="E33" s="11">
        <v>45622</v>
      </c>
      <c r="F33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3" s="3">
        <f>IF(Registro_proyecto[[#This Row],[Hecho]]="","",Registro_proyecto[[#This Row],[Hecho]]-Registro_proyecto[[#This Row],[Por hacer]])</f>
        <v>8</v>
      </c>
      <c r="H33" s="3">
        <f>IF(Registro_proyecto[[#This Row],[Hecho]]="","",Registro_proyecto[[#This Row],[Hecho]]-Registro_proyecto[[#This Row],[En proceso]])</f>
        <v>6</v>
      </c>
      <c r="J33" s="11">
        <f>IF(ISNUMBER(J32),J32+1,Registro_proyecto[[#This Row],[Por hacer]])</f>
        <v>45596</v>
      </c>
      <c r="K33">
        <f>COUNTIF(Registro_proyecto[Por hacer],Tareas_proyecto[[#This Row],[Fecha]])-COUNTIF(Registro_proyecto[En proceso],Tareas_proyecto[[#This Row],[Fecha]])+IF(ISNUMBER(K32),K32,0)</f>
        <v>7</v>
      </c>
      <c r="L33">
        <f>COUNTIF(Registro_proyecto[En proceso],Tareas_proyecto[[#This Row],[Fecha]])-COUNTIF(Registro_proyecto[En revisión],Tareas_proyecto[[#This Row],[Fecha]])+IF(ISNUMBER(L32),L32,0)</f>
        <v>0</v>
      </c>
      <c r="M33">
        <f>COUNTIF(Registro_proyecto[En revisión],Tareas_proyecto[[#This Row],[Fecha]])-COUNTIF(Registro_proyecto[Hecho],Tareas_proyecto[[#This Row],[Fecha]])+IF(ISNUMBER(M32),M32,0)</f>
        <v>1</v>
      </c>
      <c r="N33" s="3">
        <f>COUNTIF(Registro_proyecto[Hecho],Tareas_proyecto[[#This Row],[Fecha]])+IF(ISNUMBER(N32),N32,0)</f>
        <v>18</v>
      </c>
      <c r="Q33">
        <f>SUM(Tareas_proyecto[[#This Row],[En proceso]]+Tareas_proyecto[[#This Row],[En revisión]])</f>
        <v>1</v>
      </c>
    </row>
    <row r="34" spans="1:17" x14ac:dyDescent="0.3">
      <c r="A34" t="s">
        <v>101</v>
      </c>
      <c r="B34" s="11">
        <v>45614</v>
      </c>
      <c r="C34" s="11">
        <v>45622</v>
      </c>
      <c r="D34" s="11">
        <v>45625</v>
      </c>
      <c r="E34" s="11">
        <v>45625</v>
      </c>
      <c r="F34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4" s="3">
        <f>IF(Registro_proyecto[[#This Row],[Hecho]]="","",Registro_proyecto[[#This Row],[Hecho]]-Registro_proyecto[[#This Row],[Por hacer]])</f>
        <v>11</v>
      </c>
      <c r="H34" s="3">
        <f>IF(Registro_proyecto[[#This Row],[Hecho]]="","",Registro_proyecto[[#This Row],[Hecho]]-Registro_proyecto[[#This Row],[En proceso]])</f>
        <v>3</v>
      </c>
      <c r="J34" s="11">
        <f>IF(ISNUMBER(J33),J33+1,Registro_proyecto[[#This Row],[Por hacer]])</f>
        <v>45597</v>
      </c>
      <c r="K34">
        <f>COUNTIF(Registro_proyecto[Por hacer],Tareas_proyecto[[#This Row],[Fecha]])-COUNTIF(Registro_proyecto[En proceso],Tareas_proyecto[[#This Row],[Fecha]])+IF(ISNUMBER(K33),K33,0)</f>
        <v>7</v>
      </c>
      <c r="L34">
        <f>COUNTIF(Registro_proyecto[En proceso],Tareas_proyecto[[#This Row],[Fecha]])-COUNTIF(Registro_proyecto[En revisión],Tareas_proyecto[[#This Row],[Fecha]])+IF(ISNUMBER(L33),L33,0)</f>
        <v>0</v>
      </c>
      <c r="M34">
        <f>COUNTIF(Registro_proyecto[En revisión],Tareas_proyecto[[#This Row],[Fecha]])-COUNTIF(Registro_proyecto[Hecho],Tareas_proyecto[[#This Row],[Fecha]])+IF(ISNUMBER(M33),M33,0)</f>
        <v>0</v>
      </c>
      <c r="N34" s="3">
        <f>COUNTIF(Registro_proyecto[Hecho],Tareas_proyecto[[#This Row],[Fecha]])+IF(ISNUMBER(N33),N33,0)</f>
        <v>19</v>
      </c>
      <c r="Q34">
        <f>SUM(Tareas_proyecto[[#This Row],[En proceso]]+Tareas_proyecto[[#This Row],[En revisión]])</f>
        <v>0</v>
      </c>
    </row>
    <row r="35" spans="1:17" x14ac:dyDescent="0.3">
      <c r="A35" t="s">
        <v>102</v>
      </c>
      <c r="B35" s="11">
        <v>45614</v>
      </c>
      <c r="C35" s="11">
        <v>45616</v>
      </c>
      <c r="D35" s="11">
        <v>45619</v>
      </c>
      <c r="E35" s="11">
        <v>45620</v>
      </c>
      <c r="F35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5" s="3">
        <f>IF(Registro_proyecto[[#This Row],[Hecho]]="","",Registro_proyecto[[#This Row],[Hecho]]-Registro_proyecto[[#This Row],[Por hacer]])</f>
        <v>6</v>
      </c>
      <c r="H35" s="3">
        <f>IF(Registro_proyecto[[#This Row],[Hecho]]="","",Registro_proyecto[[#This Row],[Hecho]]-Registro_proyecto[[#This Row],[En proceso]])</f>
        <v>4</v>
      </c>
      <c r="J35" s="11">
        <f>IF(ISNUMBER(J34),J34+1,Registro_proyecto[[#This Row],[Por hacer]])</f>
        <v>45598</v>
      </c>
      <c r="K35">
        <f>COUNTIF(Registro_proyecto[Por hacer],Tareas_proyecto[[#This Row],[Fecha]])-COUNTIF(Registro_proyecto[En proceso],Tareas_proyecto[[#This Row],[Fecha]])+IF(ISNUMBER(K34),K34,0)</f>
        <v>7</v>
      </c>
      <c r="L35">
        <f>COUNTIF(Registro_proyecto[En proceso],Tareas_proyecto[[#This Row],[Fecha]])-COUNTIF(Registro_proyecto[En revisión],Tareas_proyecto[[#This Row],[Fecha]])+IF(ISNUMBER(L34),L34,0)</f>
        <v>0</v>
      </c>
      <c r="M35">
        <f>COUNTIF(Registro_proyecto[En revisión],Tareas_proyecto[[#This Row],[Fecha]])-COUNTIF(Registro_proyecto[Hecho],Tareas_proyecto[[#This Row],[Fecha]])+IF(ISNUMBER(M34),M34,0)</f>
        <v>0</v>
      </c>
      <c r="N35" s="3">
        <f>COUNTIF(Registro_proyecto[Hecho],Tareas_proyecto[[#This Row],[Fecha]])+IF(ISNUMBER(N34),N34,0)</f>
        <v>19</v>
      </c>
      <c r="Q35">
        <f>SUM(Tareas_proyecto[[#This Row],[En proceso]]+Tareas_proyecto[[#This Row],[En revisión]])</f>
        <v>0</v>
      </c>
    </row>
    <row r="36" spans="1:17" x14ac:dyDescent="0.3">
      <c r="A36" t="s">
        <v>103</v>
      </c>
      <c r="B36" s="11">
        <v>45614</v>
      </c>
      <c r="C36" s="11">
        <v>45625</v>
      </c>
      <c r="D36" s="11">
        <v>45631</v>
      </c>
      <c r="E36" s="11">
        <v>45632</v>
      </c>
      <c r="F36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6" s="3">
        <f>IF(Registro_proyecto[[#This Row],[Hecho]]="","",Registro_proyecto[[#This Row],[Hecho]]-Registro_proyecto[[#This Row],[Por hacer]])</f>
        <v>18</v>
      </c>
      <c r="H36" s="3">
        <f>IF(Registro_proyecto[[#This Row],[Hecho]]="","",Registro_proyecto[[#This Row],[Hecho]]-Registro_proyecto[[#This Row],[En proceso]])</f>
        <v>7</v>
      </c>
      <c r="J36" s="11">
        <f>IF(ISNUMBER(J35),J35+1,Registro_proyecto[[#This Row],[Por hacer]])</f>
        <v>45599</v>
      </c>
      <c r="K36">
        <f>COUNTIF(Registro_proyecto[Por hacer],Tareas_proyecto[[#This Row],[Fecha]])-COUNTIF(Registro_proyecto[En proceso],Tareas_proyecto[[#This Row],[Fecha]])+IF(ISNUMBER(K35),K35,0)</f>
        <v>7</v>
      </c>
      <c r="L36">
        <f>COUNTIF(Registro_proyecto[En proceso],Tareas_proyecto[[#This Row],[Fecha]])-COUNTIF(Registro_proyecto[En revisión],Tareas_proyecto[[#This Row],[Fecha]])+IF(ISNUMBER(L35),L35,0)</f>
        <v>0</v>
      </c>
      <c r="M36">
        <f>COUNTIF(Registro_proyecto[En revisión],Tareas_proyecto[[#This Row],[Fecha]])-COUNTIF(Registro_proyecto[Hecho],Tareas_proyecto[[#This Row],[Fecha]])+IF(ISNUMBER(M35),M35,0)</f>
        <v>0</v>
      </c>
      <c r="N36" s="3">
        <f>COUNTIF(Registro_proyecto[Hecho],Tareas_proyecto[[#This Row],[Fecha]])+IF(ISNUMBER(N35),N35,0)</f>
        <v>19</v>
      </c>
      <c r="Q36">
        <f>SUM(Tareas_proyecto[[#This Row],[En proceso]]+Tareas_proyecto[[#This Row],[En revisión]])</f>
        <v>0</v>
      </c>
    </row>
    <row r="37" spans="1:17" x14ac:dyDescent="0.3">
      <c r="A37" t="s">
        <v>104</v>
      </c>
      <c r="B37" s="11">
        <v>45614</v>
      </c>
      <c r="C37" s="11">
        <v>45618</v>
      </c>
      <c r="D37" s="11">
        <v>45622</v>
      </c>
      <c r="E37" s="11">
        <v>45623</v>
      </c>
      <c r="F37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7" s="3">
        <f>IF(Registro_proyecto[[#This Row],[Hecho]]="","",Registro_proyecto[[#This Row],[Hecho]]-Registro_proyecto[[#This Row],[Por hacer]])</f>
        <v>9</v>
      </c>
      <c r="H37" s="3">
        <f>IF(Registro_proyecto[[#This Row],[Hecho]]="","",Registro_proyecto[[#This Row],[Hecho]]-Registro_proyecto[[#This Row],[En proceso]])</f>
        <v>5</v>
      </c>
      <c r="J37" s="11">
        <f>IF(ISNUMBER(J36),J36+1,Registro_proyecto[[#This Row],[Por hacer]])</f>
        <v>45600</v>
      </c>
      <c r="K37">
        <f>COUNTIF(Registro_proyecto[Por hacer],Tareas_proyecto[[#This Row],[Fecha]])-COUNTIF(Registro_proyecto[En proceso],Tareas_proyecto[[#This Row],[Fecha]])+IF(ISNUMBER(K36),K36,0)</f>
        <v>5</v>
      </c>
      <c r="L37">
        <f>COUNTIF(Registro_proyecto[En proceso],Tareas_proyecto[[#This Row],[Fecha]])-COUNTIF(Registro_proyecto[En revisión],Tareas_proyecto[[#This Row],[Fecha]])+IF(ISNUMBER(L36),L36,0)</f>
        <v>2</v>
      </c>
      <c r="M37">
        <f>COUNTIF(Registro_proyecto[En revisión],Tareas_proyecto[[#This Row],[Fecha]])-COUNTIF(Registro_proyecto[Hecho],Tareas_proyecto[[#This Row],[Fecha]])+IF(ISNUMBER(M36),M36,0)</f>
        <v>0</v>
      </c>
      <c r="N37" s="3">
        <f>COUNTIF(Registro_proyecto[Hecho],Tareas_proyecto[[#This Row],[Fecha]])+IF(ISNUMBER(N36),N36,0)</f>
        <v>19</v>
      </c>
      <c r="Q37">
        <f>SUM(Tareas_proyecto[[#This Row],[En proceso]]+Tareas_proyecto[[#This Row],[En revisión]])</f>
        <v>2</v>
      </c>
    </row>
    <row r="38" spans="1:17" x14ac:dyDescent="0.3">
      <c r="A38" t="s">
        <v>105</v>
      </c>
      <c r="B38" s="11">
        <v>45614</v>
      </c>
      <c r="C38" s="11">
        <v>45618</v>
      </c>
      <c r="D38" s="11">
        <v>45621</v>
      </c>
      <c r="E38" s="11">
        <v>45621</v>
      </c>
      <c r="F38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8" s="3">
        <f>IF(Registro_proyecto[[#This Row],[Hecho]]="","",Registro_proyecto[[#This Row],[Hecho]]-Registro_proyecto[[#This Row],[Por hacer]])</f>
        <v>7</v>
      </c>
      <c r="H38" s="3">
        <f>IF(Registro_proyecto[[#This Row],[Hecho]]="","",Registro_proyecto[[#This Row],[Hecho]]-Registro_proyecto[[#This Row],[En proceso]])</f>
        <v>3</v>
      </c>
      <c r="J38" s="11">
        <f>IF(ISNUMBER(J37),J37+1,Registro_proyecto[[#This Row],[Por hacer]])</f>
        <v>45601</v>
      </c>
      <c r="K38">
        <f>COUNTIF(Registro_proyecto[Por hacer],Tareas_proyecto[[#This Row],[Fecha]])-COUNTIF(Registro_proyecto[En proceso],Tareas_proyecto[[#This Row],[Fecha]])+IF(ISNUMBER(K37),K37,0)</f>
        <v>4</v>
      </c>
      <c r="L38">
        <f>COUNTIF(Registro_proyecto[En proceso],Tareas_proyecto[[#This Row],[Fecha]])-COUNTIF(Registro_proyecto[En revisión],Tareas_proyecto[[#This Row],[Fecha]])+IF(ISNUMBER(L37),L37,0)</f>
        <v>3</v>
      </c>
      <c r="M38">
        <f>COUNTIF(Registro_proyecto[En revisión],Tareas_proyecto[[#This Row],[Fecha]])-COUNTIF(Registro_proyecto[Hecho],Tareas_proyecto[[#This Row],[Fecha]])+IF(ISNUMBER(M37),M37,0)</f>
        <v>0</v>
      </c>
      <c r="N38" s="3">
        <f>COUNTIF(Registro_proyecto[Hecho],Tareas_proyecto[[#This Row],[Fecha]])+IF(ISNUMBER(N37),N37,0)</f>
        <v>19</v>
      </c>
      <c r="Q38">
        <f>SUM(Tareas_proyecto[[#This Row],[En proceso]]+Tareas_proyecto[[#This Row],[En revisión]])</f>
        <v>3</v>
      </c>
    </row>
    <row r="39" spans="1:17" x14ac:dyDescent="0.3">
      <c r="A39" t="s">
        <v>106</v>
      </c>
      <c r="B39" s="11">
        <v>45625</v>
      </c>
      <c r="C39" s="11">
        <v>45631</v>
      </c>
      <c r="D39" s="11">
        <v>45634</v>
      </c>
      <c r="E39" s="11">
        <v>45634</v>
      </c>
      <c r="F39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39" s="3">
        <f>IF(Registro_proyecto[[#This Row],[Hecho]]="","",Registro_proyecto[[#This Row],[Hecho]]-Registro_proyecto[[#This Row],[Por hacer]])</f>
        <v>9</v>
      </c>
      <c r="H39" s="3">
        <f>IF(Registro_proyecto[[#This Row],[Hecho]]="","",Registro_proyecto[[#This Row],[Hecho]]-Registro_proyecto[[#This Row],[En proceso]])</f>
        <v>3</v>
      </c>
      <c r="J39" s="11">
        <f>IF(ISNUMBER(J38),J38+1,Registro_proyecto[[#This Row],[Por hacer]])</f>
        <v>45602</v>
      </c>
      <c r="K39">
        <f>COUNTIF(Registro_proyecto[Por hacer],Tareas_proyecto[[#This Row],[Fecha]])-COUNTIF(Registro_proyecto[En proceso],Tareas_proyecto[[#This Row],[Fecha]])+IF(ISNUMBER(K38),K38,0)</f>
        <v>3</v>
      </c>
      <c r="L39">
        <f>COUNTIF(Registro_proyecto[En proceso],Tareas_proyecto[[#This Row],[Fecha]])-COUNTIF(Registro_proyecto[En revisión],Tareas_proyecto[[#This Row],[Fecha]])+IF(ISNUMBER(L38),L38,0)</f>
        <v>3</v>
      </c>
      <c r="M39">
        <f>COUNTIF(Registro_proyecto[En revisión],Tareas_proyecto[[#This Row],[Fecha]])-COUNTIF(Registro_proyecto[Hecho],Tareas_proyecto[[#This Row],[Fecha]])+IF(ISNUMBER(M38),M38,0)</f>
        <v>0</v>
      </c>
      <c r="N39" s="3">
        <f>COUNTIF(Registro_proyecto[Hecho],Tareas_proyecto[[#This Row],[Fecha]])+IF(ISNUMBER(N38),N38,0)</f>
        <v>20</v>
      </c>
      <c r="Q39">
        <f>SUM(Tareas_proyecto[[#This Row],[En proceso]]+Tareas_proyecto[[#This Row],[En revisión]])</f>
        <v>3</v>
      </c>
    </row>
    <row r="40" spans="1:17" x14ac:dyDescent="0.3">
      <c r="A40" t="s">
        <v>107</v>
      </c>
      <c r="B40" s="11">
        <v>45625</v>
      </c>
      <c r="C40" s="11">
        <v>45634</v>
      </c>
      <c r="D40" s="11">
        <v>45636</v>
      </c>
      <c r="E40" s="11">
        <v>45636</v>
      </c>
      <c r="F40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0" s="3">
        <f>IF(Registro_proyecto[[#This Row],[Hecho]]="","",Registro_proyecto[[#This Row],[Hecho]]-Registro_proyecto[[#This Row],[Por hacer]])</f>
        <v>11</v>
      </c>
      <c r="H40" s="3">
        <f>IF(Registro_proyecto[[#This Row],[Hecho]]="","",Registro_proyecto[[#This Row],[Hecho]]-Registro_proyecto[[#This Row],[En proceso]])</f>
        <v>2</v>
      </c>
      <c r="J40" s="11">
        <f>IF(ISNUMBER(J39),J39+1,Registro_proyecto[[#This Row],[Por hacer]])</f>
        <v>45603</v>
      </c>
      <c r="K40">
        <f>COUNTIF(Registro_proyecto[Por hacer],Tareas_proyecto[[#This Row],[Fecha]])-COUNTIF(Registro_proyecto[En proceso],Tareas_proyecto[[#This Row],[Fecha]])+IF(ISNUMBER(K39),K39,0)</f>
        <v>3</v>
      </c>
      <c r="L40">
        <f>COUNTIF(Registro_proyecto[En proceso],Tareas_proyecto[[#This Row],[Fecha]])-COUNTIF(Registro_proyecto[En revisión],Tareas_proyecto[[#This Row],[Fecha]])+IF(ISNUMBER(L39),L39,0)</f>
        <v>3</v>
      </c>
      <c r="M40">
        <f>COUNTIF(Registro_proyecto[En revisión],Tareas_proyecto[[#This Row],[Fecha]])-COUNTIF(Registro_proyecto[Hecho],Tareas_proyecto[[#This Row],[Fecha]])+IF(ISNUMBER(M39),M39,0)</f>
        <v>0</v>
      </c>
      <c r="N40" s="3">
        <f>COUNTIF(Registro_proyecto[Hecho],Tareas_proyecto[[#This Row],[Fecha]])+IF(ISNUMBER(N39),N39,0)</f>
        <v>20</v>
      </c>
      <c r="Q40">
        <f>SUM(Tareas_proyecto[[#This Row],[En proceso]]+Tareas_proyecto[[#This Row],[En revisión]])</f>
        <v>3</v>
      </c>
    </row>
    <row r="41" spans="1:17" x14ac:dyDescent="0.3">
      <c r="A41" t="s">
        <v>108</v>
      </c>
      <c r="B41" s="11">
        <v>45625</v>
      </c>
      <c r="C41" s="11">
        <v>45635</v>
      </c>
      <c r="D41" s="11">
        <v>45638</v>
      </c>
      <c r="E41" s="11">
        <v>45638</v>
      </c>
      <c r="F41" t="str">
        <f>IF(NOT(ISBLANK(Registro_proyecto[[#This Row],[Hecho]])),"Hecho",IF(NOT(ISBLANK(Registro_proyecto[[#This Row],[En revisión]])),"En revisión",IF(NOT(ISBLANK(Registro_proyecto[[#This Row],[En proceso]])),"En proceso","Por Hacer")))</f>
        <v>Hecho</v>
      </c>
      <c r="G41" s="3">
        <f>IF(Registro_proyecto[[#This Row],[Hecho]]="","",Registro_proyecto[[#This Row],[Hecho]]-Registro_proyecto[[#This Row],[Por hacer]])</f>
        <v>13</v>
      </c>
      <c r="H41" s="3">
        <f>IF(Registro_proyecto[[#This Row],[Hecho]]="","",Registro_proyecto[[#This Row],[Hecho]]-Registro_proyecto[[#This Row],[En proceso]])</f>
        <v>3</v>
      </c>
      <c r="J41" s="11">
        <f>IF(ISNUMBER(J40),J40+1,Registro_proyecto[[#This Row],[Por hacer]])</f>
        <v>45604</v>
      </c>
      <c r="K41">
        <f>COUNTIF(Registro_proyecto[Por hacer],Tareas_proyecto[[#This Row],[Fecha]])-COUNTIF(Registro_proyecto[En proceso],Tareas_proyecto[[#This Row],[Fecha]])+IF(ISNUMBER(K40),K40,0)</f>
        <v>2</v>
      </c>
      <c r="L41">
        <f>COUNTIF(Registro_proyecto[En proceso],Tareas_proyecto[[#This Row],[Fecha]])-COUNTIF(Registro_proyecto[En revisión],Tareas_proyecto[[#This Row],[Fecha]])+IF(ISNUMBER(L40),L40,0)</f>
        <v>2</v>
      </c>
      <c r="M41">
        <f>COUNTIF(Registro_proyecto[En revisión],Tareas_proyecto[[#This Row],[Fecha]])-COUNTIF(Registro_proyecto[Hecho],Tareas_proyecto[[#This Row],[Fecha]])+IF(ISNUMBER(M40),M40,0)</f>
        <v>1</v>
      </c>
      <c r="N41" s="3">
        <f>COUNTIF(Registro_proyecto[Hecho],Tareas_proyecto[[#This Row],[Fecha]])+IF(ISNUMBER(N40),N40,0)</f>
        <v>21</v>
      </c>
      <c r="Q41">
        <f>SUM(Tareas_proyecto[[#This Row],[En proceso]]+Tareas_proyecto[[#This Row],[En revisión]])</f>
        <v>3</v>
      </c>
    </row>
    <row r="42" spans="1:17" x14ac:dyDescent="0.3">
      <c r="J42" s="11">
        <f>IF(ISNUMBER(J41),J41+1,Registro_proyecto[[#This Row],[Por hacer]])</f>
        <v>45605</v>
      </c>
      <c r="K42">
        <f>COUNTIF(Registro_proyecto[Por hacer],Tareas_proyecto[[#This Row],[Fecha]])-COUNTIF(Registro_proyecto[En proceso],Tareas_proyecto[[#This Row],[Fecha]])+IF(ISNUMBER(K41),K41,0)</f>
        <v>1</v>
      </c>
      <c r="L42">
        <f>COUNTIF(Registro_proyecto[En proceso],Tareas_proyecto[[#This Row],[Fecha]])-COUNTIF(Registro_proyecto[En revisión],Tareas_proyecto[[#This Row],[Fecha]])+IF(ISNUMBER(L41),L41,0)</f>
        <v>3</v>
      </c>
      <c r="M42">
        <f>COUNTIF(Registro_proyecto[En revisión],Tareas_proyecto[[#This Row],[Fecha]])-COUNTIF(Registro_proyecto[Hecho],Tareas_proyecto[[#This Row],[Fecha]])+IF(ISNUMBER(M41),M41,0)</f>
        <v>0</v>
      </c>
      <c r="N42" s="3">
        <f>COUNTIF(Registro_proyecto[Hecho],Tareas_proyecto[[#This Row],[Fecha]])+IF(ISNUMBER(N41),N41,0)</f>
        <v>22</v>
      </c>
      <c r="Q42">
        <f>SUM(Tareas_proyecto[[#This Row],[En proceso]]+Tareas_proyecto[[#This Row],[En revisión]])</f>
        <v>3</v>
      </c>
    </row>
    <row r="43" spans="1:17" x14ac:dyDescent="0.3">
      <c r="J43" s="11">
        <f>IF(ISNUMBER(J42),J42+1,Registro_proyecto[[#This Row],[Por hacer]])</f>
        <v>45606</v>
      </c>
      <c r="K43">
        <f>COUNTIF(Registro_proyecto[Por hacer],Tareas_proyecto[[#This Row],[Fecha]])-COUNTIF(Registro_proyecto[En proceso],Tareas_proyecto[[#This Row],[Fecha]])+IF(ISNUMBER(K42),K42,0)</f>
        <v>0</v>
      </c>
      <c r="L43">
        <f>COUNTIF(Registro_proyecto[En proceso],Tareas_proyecto[[#This Row],[Fecha]])-COUNTIF(Registro_proyecto[En revisión],Tareas_proyecto[[#This Row],[Fecha]])+IF(ISNUMBER(L42),L42,0)</f>
        <v>3</v>
      </c>
      <c r="M43">
        <f>COUNTIF(Registro_proyecto[En revisión],Tareas_proyecto[[#This Row],[Fecha]])-COUNTIF(Registro_proyecto[Hecho],Tareas_proyecto[[#This Row],[Fecha]])+IF(ISNUMBER(M42),M42,0)</f>
        <v>1</v>
      </c>
      <c r="N43" s="3">
        <f>COUNTIF(Registro_proyecto[Hecho],Tareas_proyecto[[#This Row],[Fecha]])+IF(ISNUMBER(N42),N42,0)</f>
        <v>22</v>
      </c>
      <c r="Q43">
        <f>SUM(Tareas_proyecto[[#This Row],[En proceso]]+Tareas_proyecto[[#This Row],[En revisión]])</f>
        <v>4</v>
      </c>
    </row>
    <row r="44" spans="1:17" x14ac:dyDescent="0.3">
      <c r="J44" s="11">
        <f>IF(ISNUMBER(J43),J43+1,Registro_proyecto[[#This Row],[Por hacer]])</f>
        <v>45607</v>
      </c>
      <c r="K44">
        <f>COUNTIF(Registro_proyecto[Por hacer],Tareas_proyecto[[#This Row],[Fecha]])-COUNTIF(Registro_proyecto[En proceso],Tareas_proyecto[[#This Row],[Fecha]])+IF(ISNUMBER(K43),K43,0)</f>
        <v>0</v>
      </c>
      <c r="L44">
        <f>COUNTIF(Registro_proyecto[En proceso],Tareas_proyecto[[#This Row],[Fecha]])-COUNTIF(Registro_proyecto[En revisión],Tareas_proyecto[[#This Row],[Fecha]])+IF(ISNUMBER(L43),L43,0)</f>
        <v>2</v>
      </c>
      <c r="M44">
        <f>COUNTIF(Registro_proyecto[En revisión],Tareas_proyecto[[#This Row],[Fecha]])-COUNTIF(Registro_proyecto[Hecho],Tareas_proyecto[[#This Row],[Fecha]])+IF(ISNUMBER(M43),M43,0)</f>
        <v>0</v>
      </c>
      <c r="N44" s="3">
        <f>COUNTIF(Registro_proyecto[Hecho],Tareas_proyecto[[#This Row],[Fecha]])+IF(ISNUMBER(N43),N43,0)</f>
        <v>24</v>
      </c>
      <c r="Q44">
        <f>SUM(Tareas_proyecto[[#This Row],[En proceso]]+Tareas_proyecto[[#This Row],[En revisión]])</f>
        <v>2</v>
      </c>
    </row>
    <row r="45" spans="1:17" x14ac:dyDescent="0.3">
      <c r="J45" s="11">
        <f>IF(ISNUMBER(J44),J44+1,Registro_proyecto[[#This Row],[Por hacer]])</f>
        <v>45608</v>
      </c>
      <c r="K45">
        <f>COUNTIF(Registro_proyecto[Por hacer],Tareas_proyecto[[#This Row],[Fecha]])-COUNTIF(Registro_proyecto[En proceso],Tareas_proyecto[[#This Row],[Fecha]])+IF(ISNUMBER(K44),K44,0)</f>
        <v>0</v>
      </c>
      <c r="L45">
        <f>COUNTIF(Registro_proyecto[En proceso],Tareas_proyecto[[#This Row],[Fecha]])-COUNTIF(Registro_proyecto[En revisión],Tareas_proyecto[[#This Row],[Fecha]])+IF(ISNUMBER(L44),L44,0)</f>
        <v>1</v>
      </c>
      <c r="M45">
        <f>COUNTIF(Registro_proyecto[En revisión],Tareas_proyecto[[#This Row],[Fecha]])-COUNTIF(Registro_proyecto[Hecho],Tareas_proyecto[[#This Row],[Fecha]])+IF(ISNUMBER(M44),M44,0)</f>
        <v>1</v>
      </c>
      <c r="N45" s="3">
        <f>COUNTIF(Registro_proyecto[Hecho],Tareas_proyecto[[#This Row],[Fecha]])+IF(ISNUMBER(N44),N44,0)</f>
        <v>24</v>
      </c>
      <c r="Q45">
        <f>SUM(Tareas_proyecto[[#This Row],[En proceso]]+Tareas_proyecto[[#This Row],[En revisión]])</f>
        <v>2</v>
      </c>
    </row>
    <row r="46" spans="1:17" x14ac:dyDescent="0.3">
      <c r="J46" s="11">
        <f>IF(ISNUMBER(J45),J45+1,Registro_proyecto[[#This Row],[Por hacer]])</f>
        <v>45609</v>
      </c>
      <c r="K46">
        <f>COUNTIF(Registro_proyecto[Por hacer],Tareas_proyecto[[#This Row],[Fecha]])-COUNTIF(Registro_proyecto[En proceso],Tareas_proyecto[[#This Row],[Fecha]])+IF(ISNUMBER(K45),K45,0)</f>
        <v>0</v>
      </c>
      <c r="L46">
        <f>COUNTIF(Registro_proyecto[En proceso],Tareas_proyecto[[#This Row],[Fecha]])-COUNTIF(Registro_proyecto[En revisión],Tareas_proyecto[[#This Row],[Fecha]])+IF(ISNUMBER(L45),L45,0)</f>
        <v>1</v>
      </c>
      <c r="M46">
        <f>COUNTIF(Registro_proyecto[En revisión],Tareas_proyecto[[#This Row],[Fecha]])-COUNTIF(Registro_proyecto[Hecho],Tareas_proyecto[[#This Row],[Fecha]])+IF(ISNUMBER(M45),M45,0)</f>
        <v>1</v>
      </c>
      <c r="N46" s="3">
        <f>COUNTIF(Registro_proyecto[Hecho],Tareas_proyecto[[#This Row],[Fecha]])+IF(ISNUMBER(N45),N45,0)</f>
        <v>24</v>
      </c>
      <c r="Q46">
        <f>SUM(Tareas_proyecto[[#This Row],[En proceso]]+Tareas_proyecto[[#This Row],[En revisión]])</f>
        <v>2</v>
      </c>
    </row>
    <row r="47" spans="1:17" x14ac:dyDescent="0.3">
      <c r="J47" s="11">
        <f>IF(ISNUMBER(J46),J46+1,Registro_proyecto[[#This Row],[Por hacer]])</f>
        <v>45610</v>
      </c>
      <c r="K47">
        <f>COUNTIF(Registro_proyecto[Por hacer],Tareas_proyecto[[#This Row],[Fecha]])-COUNTIF(Registro_proyecto[En proceso],Tareas_proyecto[[#This Row],[Fecha]])+IF(ISNUMBER(K46),K46,0)</f>
        <v>0</v>
      </c>
      <c r="L47">
        <f>COUNTIF(Registro_proyecto[En proceso],Tareas_proyecto[[#This Row],[Fecha]])-COUNTIF(Registro_proyecto[En revisión],Tareas_proyecto[[#This Row],[Fecha]])+IF(ISNUMBER(L46),L46,0)</f>
        <v>1</v>
      </c>
      <c r="M47">
        <f>COUNTIF(Registro_proyecto[En revisión],Tareas_proyecto[[#This Row],[Fecha]])-COUNTIF(Registro_proyecto[Hecho],Tareas_proyecto[[#This Row],[Fecha]])+IF(ISNUMBER(M46),M46,0)</f>
        <v>0</v>
      </c>
      <c r="N47" s="3">
        <f>COUNTIF(Registro_proyecto[Hecho],Tareas_proyecto[[#This Row],[Fecha]])+IF(ISNUMBER(N46),N46,0)</f>
        <v>25</v>
      </c>
      <c r="Q47">
        <f>SUM(Tareas_proyecto[[#This Row],[En proceso]]+Tareas_proyecto[[#This Row],[En revisión]])</f>
        <v>1</v>
      </c>
    </row>
    <row r="48" spans="1:17" x14ac:dyDescent="0.3">
      <c r="J48" s="11">
        <f>IF(ISNUMBER(J47),J47+1,Registro_proyecto[[#This Row],[Por hacer]])</f>
        <v>45611</v>
      </c>
      <c r="K48">
        <f>COUNTIF(Registro_proyecto[Por hacer],Tareas_proyecto[[#This Row],[Fecha]])-COUNTIF(Registro_proyecto[En proceso],Tareas_proyecto[[#This Row],[Fecha]])+IF(ISNUMBER(K47),K47,0)</f>
        <v>0</v>
      </c>
      <c r="L48">
        <f>COUNTIF(Registro_proyecto[En proceso],Tareas_proyecto[[#This Row],[Fecha]])-COUNTIF(Registro_proyecto[En revisión],Tareas_proyecto[[#This Row],[Fecha]])+IF(ISNUMBER(L47),L47,0)</f>
        <v>1</v>
      </c>
      <c r="M48">
        <f>COUNTIF(Registro_proyecto[En revisión],Tareas_proyecto[[#This Row],[Fecha]])-COUNTIF(Registro_proyecto[Hecho],Tareas_proyecto[[#This Row],[Fecha]])+IF(ISNUMBER(M47),M47,0)</f>
        <v>0</v>
      </c>
      <c r="N48" s="3">
        <f>COUNTIF(Registro_proyecto[Hecho],Tareas_proyecto[[#This Row],[Fecha]])+IF(ISNUMBER(N47),N47,0)</f>
        <v>25</v>
      </c>
      <c r="Q48">
        <f>SUM(Tareas_proyecto[[#This Row],[En proceso]]+Tareas_proyecto[[#This Row],[En revisión]])</f>
        <v>1</v>
      </c>
    </row>
    <row r="49" spans="10:17" x14ac:dyDescent="0.3">
      <c r="J49" s="11">
        <f>IF(ISNUMBER(J48),J48+1,Registro_proyecto[[#This Row],[Por hacer]])</f>
        <v>45612</v>
      </c>
      <c r="K49">
        <f>COUNTIF(Registro_proyecto[Por hacer],Tareas_proyecto[[#This Row],[Fecha]])-COUNTIF(Registro_proyecto[En proceso],Tareas_proyecto[[#This Row],[Fecha]])+IF(ISNUMBER(K48),K48,0)</f>
        <v>0</v>
      </c>
      <c r="L49">
        <f>COUNTIF(Registro_proyecto[En proceso],Tareas_proyecto[[#This Row],[Fecha]])-COUNTIF(Registro_proyecto[En revisión],Tareas_proyecto[[#This Row],[Fecha]])+IF(ISNUMBER(L48),L48,0)</f>
        <v>1</v>
      </c>
      <c r="M49">
        <f>COUNTIF(Registro_proyecto[En revisión],Tareas_proyecto[[#This Row],[Fecha]])-COUNTIF(Registro_proyecto[Hecho],Tareas_proyecto[[#This Row],[Fecha]])+IF(ISNUMBER(M48),M48,0)</f>
        <v>0</v>
      </c>
      <c r="N49" s="3">
        <f>COUNTIF(Registro_proyecto[Hecho],Tareas_proyecto[[#This Row],[Fecha]])+IF(ISNUMBER(N48),N48,0)</f>
        <v>25</v>
      </c>
      <c r="Q49">
        <f>SUM(Tareas_proyecto[[#This Row],[En proceso]]+Tareas_proyecto[[#This Row],[En revisión]])</f>
        <v>1</v>
      </c>
    </row>
    <row r="50" spans="10:17" x14ac:dyDescent="0.3">
      <c r="J50" s="11">
        <f>IF(ISNUMBER(J49),J49+1,Registro_proyecto[[#This Row],[Por hacer]])</f>
        <v>45613</v>
      </c>
      <c r="K50">
        <f>COUNTIF(Registro_proyecto[Por hacer],Tareas_proyecto[[#This Row],[Fecha]])-COUNTIF(Registro_proyecto[En proceso],Tareas_proyecto[[#This Row],[Fecha]])+IF(ISNUMBER(K49),K49,0)</f>
        <v>0</v>
      </c>
      <c r="L50">
        <f>COUNTIF(Registro_proyecto[En proceso],Tareas_proyecto[[#This Row],[Fecha]])-COUNTIF(Registro_proyecto[En revisión],Tareas_proyecto[[#This Row],[Fecha]])+IF(ISNUMBER(L49),L49,0)</f>
        <v>1</v>
      </c>
      <c r="M50">
        <f>COUNTIF(Registro_proyecto[En revisión],Tareas_proyecto[[#This Row],[Fecha]])-COUNTIF(Registro_proyecto[Hecho],Tareas_proyecto[[#This Row],[Fecha]])+IF(ISNUMBER(M49),M49,0)</f>
        <v>0</v>
      </c>
      <c r="N50" s="3">
        <f>COUNTIF(Registro_proyecto[Hecho],Tareas_proyecto[[#This Row],[Fecha]])+IF(ISNUMBER(N49),N49,0)</f>
        <v>25</v>
      </c>
      <c r="Q50">
        <f>SUM(Tareas_proyecto[[#This Row],[En proceso]]+Tareas_proyecto[[#This Row],[En revisión]])</f>
        <v>1</v>
      </c>
    </row>
    <row r="51" spans="10:17" x14ac:dyDescent="0.3">
      <c r="J51" s="11">
        <f>IF(ISNUMBER(J50),J50+1,Registro_proyecto[[#This Row],[Por hacer]])</f>
        <v>45614</v>
      </c>
      <c r="K51">
        <f>COUNTIF(Registro_proyecto[Por hacer],Tareas_proyecto[[#This Row],[Fecha]])-COUNTIF(Registro_proyecto[En proceso],Tareas_proyecto[[#This Row],[Fecha]])+IF(ISNUMBER(K50),K50,0)</f>
        <v>7</v>
      </c>
      <c r="L51">
        <f>COUNTIF(Registro_proyecto[En proceso],Tareas_proyecto[[#This Row],[Fecha]])-COUNTIF(Registro_proyecto[En revisión],Tareas_proyecto[[#This Row],[Fecha]])+IF(ISNUMBER(L50),L50,0)</f>
        <v>1</v>
      </c>
      <c r="M51">
        <f>COUNTIF(Registro_proyecto[En revisión],Tareas_proyecto[[#This Row],[Fecha]])-COUNTIF(Registro_proyecto[Hecho],Tareas_proyecto[[#This Row],[Fecha]])+IF(ISNUMBER(M50),M50,0)</f>
        <v>0</v>
      </c>
      <c r="N51" s="3">
        <f>COUNTIF(Registro_proyecto[Hecho],Tareas_proyecto[[#This Row],[Fecha]])+IF(ISNUMBER(N50),N50,0)</f>
        <v>25</v>
      </c>
      <c r="Q51">
        <f>SUM(Tareas_proyecto[[#This Row],[En proceso]]+Tareas_proyecto[[#This Row],[En revisión]])</f>
        <v>1</v>
      </c>
    </row>
    <row r="52" spans="10:17" x14ac:dyDescent="0.3">
      <c r="J52" s="11">
        <f>IF(ISNUMBER(J51),J51+1,Registro_proyecto[[#This Row],[Por hacer]])</f>
        <v>45615</v>
      </c>
      <c r="K52">
        <f>COUNTIF(Registro_proyecto[Por hacer],Tareas_proyecto[[#This Row],[Fecha]])-COUNTIF(Registro_proyecto[En proceso],Tareas_proyecto[[#This Row],[Fecha]])+IF(ISNUMBER(K51),K51,0)</f>
        <v>7</v>
      </c>
      <c r="L52">
        <f>COUNTIF(Registro_proyecto[En proceso],Tareas_proyecto[[#This Row],[Fecha]])-COUNTIF(Registro_proyecto[En revisión],Tareas_proyecto[[#This Row],[Fecha]])+IF(ISNUMBER(L51),L51,0)</f>
        <v>1</v>
      </c>
      <c r="M52">
        <f>COUNTIF(Registro_proyecto[En revisión],Tareas_proyecto[[#This Row],[Fecha]])-COUNTIF(Registro_proyecto[Hecho],Tareas_proyecto[[#This Row],[Fecha]])+IF(ISNUMBER(M51),M51,0)</f>
        <v>0</v>
      </c>
      <c r="N52" s="3">
        <f>COUNTIF(Registro_proyecto[Hecho],Tareas_proyecto[[#This Row],[Fecha]])+IF(ISNUMBER(N51),N51,0)</f>
        <v>25</v>
      </c>
      <c r="Q52">
        <f>SUM(Tareas_proyecto[[#This Row],[En proceso]]+Tareas_proyecto[[#This Row],[En revisión]])</f>
        <v>1</v>
      </c>
    </row>
    <row r="53" spans="10:17" x14ac:dyDescent="0.3">
      <c r="J53" s="11">
        <f>IF(ISNUMBER(J52),J52+1,Registro_proyecto[[#This Row],[Por hacer]])</f>
        <v>45616</v>
      </c>
      <c r="K53">
        <f>COUNTIF(Registro_proyecto[Por hacer],Tareas_proyecto[[#This Row],[Fecha]])-COUNTIF(Registro_proyecto[En proceso],Tareas_proyecto[[#This Row],[Fecha]])+IF(ISNUMBER(K52),K52,0)</f>
        <v>5</v>
      </c>
      <c r="L53">
        <f>COUNTIF(Registro_proyecto[En proceso],Tareas_proyecto[[#This Row],[Fecha]])-COUNTIF(Registro_proyecto[En revisión],Tareas_proyecto[[#This Row],[Fecha]])+IF(ISNUMBER(L52),L52,0)</f>
        <v>3</v>
      </c>
      <c r="M53">
        <f>COUNTIF(Registro_proyecto[En revisión],Tareas_proyecto[[#This Row],[Fecha]])-COUNTIF(Registro_proyecto[Hecho],Tareas_proyecto[[#This Row],[Fecha]])+IF(ISNUMBER(M52),M52,0)</f>
        <v>0</v>
      </c>
      <c r="N53" s="3">
        <f>COUNTIF(Registro_proyecto[Hecho],Tareas_proyecto[[#This Row],[Fecha]])+IF(ISNUMBER(N52),N52,0)</f>
        <v>25</v>
      </c>
      <c r="Q53">
        <f>SUM(Tareas_proyecto[[#This Row],[En proceso]]+Tareas_proyecto[[#This Row],[En revisión]])</f>
        <v>3</v>
      </c>
    </row>
    <row r="54" spans="10:17" x14ac:dyDescent="0.3">
      <c r="J54" s="11">
        <f>IF(ISNUMBER(J53),J53+1,Registro_proyecto[[#This Row],[Por hacer]])</f>
        <v>45617</v>
      </c>
      <c r="K54">
        <f>COUNTIF(Registro_proyecto[Por hacer],Tareas_proyecto[[#This Row],[Fecha]])-COUNTIF(Registro_proyecto[En proceso],Tareas_proyecto[[#This Row],[Fecha]])+IF(ISNUMBER(K53),K53,0)</f>
        <v>5</v>
      </c>
      <c r="L54">
        <f>COUNTIF(Registro_proyecto[En proceso],Tareas_proyecto[[#This Row],[Fecha]])-COUNTIF(Registro_proyecto[En revisión],Tareas_proyecto[[#This Row],[Fecha]])+IF(ISNUMBER(L53),L53,0)</f>
        <v>3</v>
      </c>
      <c r="M54">
        <f>COUNTIF(Registro_proyecto[En revisión],Tareas_proyecto[[#This Row],[Fecha]])-COUNTIF(Registro_proyecto[Hecho],Tareas_proyecto[[#This Row],[Fecha]])+IF(ISNUMBER(M53),M53,0)</f>
        <v>0</v>
      </c>
      <c r="N54" s="3">
        <f>COUNTIF(Registro_proyecto[Hecho],Tareas_proyecto[[#This Row],[Fecha]])+IF(ISNUMBER(N53),N53,0)</f>
        <v>25</v>
      </c>
      <c r="Q54">
        <f>SUM(Tareas_proyecto[[#This Row],[En proceso]]+Tareas_proyecto[[#This Row],[En revisión]])</f>
        <v>3</v>
      </c>
    </row>
    <row r="55" spans="10:17" x14ac:dyDescent="0.3">
      <c r="J55" s="11">
        <f>IF(ISNUMBER(J54),J54+1,Registro_proyecto[[#This Row],[Por hacer]])</f>
        <v>45618</v>
      </c>
      <c r="K55">
        <f>COUNTIF(Registro_proyecto[Por hacer],Tareas_proyecto[[#This Row],[Fecha]])-COUNTIF(Registro_proyecto[En proceso],Tareas_proyecto[[#This Row],[Fecha]])+IF(ISNUMBER(K54),K54,0)</f>
        <v>3</v>
      </c>
      <c r="L55">
        <f>COUNTIF(Registro_proyecto[En proceso],Tareas_proyecto[[#This Row],[Fecha]])-COUNTIF(Registro_proyecto[En revisión],Tareas_proyecto[[#This Row],[Fecha]])+IF(ISNUMBER(L54),L54,0)</f>
        <v>5</v>
      </c>
      <c r="M55">
        <f>COUNTIF(Registro_proyecto[En revisión],Tareas_proyecto[[#This Row],[Fecha]])-COUNTIF(Registro_proyecto[Hecho],Tareas_proyecto[[#This Row],[Fecha]])+IF(ISNUMBER(M54),M54,0)</f>
        <v>0</v>
      </c>
      <c r="N55" s="3">
        <f>COUNTIF(Registro_proyecto[Hecho],Tareas_proyecto[[#This Row],[Fecha]])+IF(ISNUMBER(N54),N54,0)</f>
        <v>25</v>
      </c>
      <c r="Q55">
        <f>SUM(Tareas_proyecto[[#This Row],[En proceso]]+Tareas_proyecto[[#This Row],[En revisión]])</f>
        <v>5</v>
      </c>
    </row>
    <row r="56" spans="10:17" x14ac:dyDescent="0.3">
      <c r="J56" s="11">
        <f>IF(ISNUMBER(J55),J55+1,Registro_proyecto[[#This Row],[Por hacer]])</f>
        <v>45619</v>
      </c>
      <c r="K56">
        <f>COUNTIF(Registro_proyecto[Por hacer],Tareas_proyecto[[#This Row],[Fecha]])-COUNTIF(Registro_proyecto[En proceso],Tareas_proyecto[[#This Row],[Fecha]])+IF(ISNUMBER(K55),K55,0)</f>
        <v>3</v>
      </c>
      <c r="L56">
        <f>COUNTIF(Registro_proyecto[En proceso],Tareas_proyecto[[#This Row],[Fecha]])-COUNTIF(Registro_proyecto[En revisión],Tareas_proyecto[[#This Row],[Fecha]])+IF(ISNUMBER(L55),L55,0)</f>
        <v>4</v>
      </c>
      <c r="M56">
        <f>COUNTIF(Registro_proyecto[En revisión],Tareas_proyecto[[#This Row],[Fecha]])-COUNTIF(Registro_proyecto[Hecho],Tareas_proyecto[[#This Row],[Fecha]])+IF(ISNUMBER(M55),M55,0)</f>
        <v>1</v>
      </c>
      <c r="N56" s="3">
        <f>COUNTIF(Registro_proyecto[Hecho],Tareas_proyecto[[#This Row],[Fecha]])+IF(ISNUMBER(N55),N55,0)</f>
        <v>25</v>
      </c>
      <c r="Q56">
        <f>SUM(Tareas_proyecto[[#This Row],[En proceso]]+Tareas_proyecto[[#This Row],[En revisión]])</f>
        <v>5</v>
      </c>
    </row>
    <row r="57" spans="10:17" x14ac:dyDescent="0.3">
      <c r="J57" s="11">
        <f>IF(ISNUMBER(J56),J56+1,Registro_proyecto[[#This Row],[Por hacer]])</f>
        <v>45620</v>
      </c>
      <c r="K57">
        <f>COUNTIF(Registro_proyecto[Por hacer],Tareas_proyecto[[#This Row],[Fecha]])-COUNTIF(Registro_proyecto[En proceso],Tareas_proyecto[[#This Row],[Fecha]])+IF(ISNUMBER(K56),K56,0)</f>
        <v>3</v>
      </c>
      <c r="L57">
        <f>COUNTIF(Registro_proyecto[En proceso],Tareas_proyecto[[#This Row],[Fecha]])-COUNTIF(Registro_proyecto[En revisión],Tareas_proyecto[[#This Row],[Fecha]])+IF(ISNUMBER(L56),L56,0)</f>
        <v>4</v>
      </c>
      <c r="M57">
        <f>COUNTIF(Registro_proyecto[En revisión],Tareas_proyecto[[#This Row],[Fecha]])-COUNTIF(Registro_proyecto[Hecho],Tareas_proyecto[[#This Row],[Fecha]])+IF(ISNUMBER(M56),M56,0)</f>
        <v>0</v>
      </c>
      <c r="N57" s="3">
        <f>COUNTIF(Registro_proyecto[Hecho],Tareas_proyecto[[#This Row],[Fecha]])+IF(ISNUMBER(N56),N56,0)</f>
        <v>26</v>
      </c>
      <c r="Q57">
        <f>SUM(Tareas_proyecto[[#This Row],[En proceso]]+Tareas_proyecto[[#This Row],[En revisión]])</f>
        <v>4</v>
      </c>
    </row>
    <row r="58" spans="10:17" x14ac:dyDescent="0.3">
      <c r="J58" s="11">
        <f>IF(ISNUMBER(J57),J57+1,Registro_proyecto[[#This Row],[Por hacer]])</f>
        <v>45621</v>
      </c>
      <c r="K58">
        <f>COUNTIF(Registro_proyecto[Por hacer],Tareas_proyecto[[#This Row],[Fecha]])-COUNTIF(Registro_proyecto[En proceso],Tareas_proyecto[[#This Row],[Fecha]])+IF(ISNUMBER(K57),K57,0)</f>
        <v>3</v>
      </c>
      <c r="L58">
        <f>COUNTIF(Registro_proyecto[En proceso],Tareas_proyecto[[#This Row],[Fecha]])-COUNTIF(Registro_proyecto[En revisión],Tareas_proyecto[[#This Row],[Fecha]])+IF(ISNUMBER(L57),L57,0)</f>
        <v>2</v>
      </c>
      <c r="M58">
        <f>COUNTIF(Registro_proyecto[En revisión],Tareas_proyecto[[#This Row],[Fecha]])-COUNTIF(Registro_proyecto[Hecho],Tareas_proyecto[[#This Row],[Fecha]])+IF(ISNUMBER(M57),M57,0)</f>
        <v>1</v>
      </c>
      <c r="N58" s="3">
        <f>COUNTIF(Registro_proyecto[Hecho],Tareas_proyecto[[#This Row],[Fecha]])+IF(ISNUMBER(N57),N57,0)</f>
        <v>27</v>
      </c>
      <c r="Q58">
        <f>SUM(Tareas_proyecto[[#This Row],[En proceso]]+Tareas_proyecto[[#This Row],[En revisión]])</f>
        <v>3</v>
      </c>
    </row>
    <row r="59" spans="10:17" x14ac:dyDescent="0.3">
      <c r="J59" s="11">
        <f>IF(ISNUMBER(J58),J58+1,Registro_proyecto[[#This Row],[Por hacer]])</f>
        <v>45622</v>
      </c>
      <c r="K59">
        <f>COUNTIF(Registro_proyecto[Por hacer],Tareas_proyecto[[#This Row],[Fecha]])-COUNTIF(Registro_proyecto[En proceso],Tareas_proyecto[[#This Row],[Fecha]])+IF(ISNUMBER(K58),K58,0)</f>
        <v>2</v>
      </c>
      <c r="L59">
        <f>COUNTIF(Registro_proyecto[En proceso],Tareas_proyecto[[#This Row],[Fecha]])-COUNTIF(Registro_proyecto[En revisión],Tareas_proyecto[[#This Row],[Fecha]])+IF(ISNUMBER(L58),L58,0)</f>
        <v>2</v>
      </c>
      <c r="M59">
        <f>COUNTIF(Registro_proyecto[En revisión],Tareas_proyecto[[#This Row],[Fecha]])-COUNTIF(Registro_proyecto[Hecho],Tareas_proyecto[[#This Row],[Fecha]])+IF(ISNUMBER(M58),M58,0)</f>
        <v>1</v>
      </c>
      <c r="N59" s="3">
        <f>COUNTIF(Registro_proyecto[Hecho],Tareas_proyecto[[#This Row],[Fecha]])+IF(ISNUMBER(N58),N58,0)</f>
        <v>28</v>
      </c>
      <c r="Q59">
        <f>SUM(Tareas_proyecto[[#This Row],[En proceso]]+Tareas_proyecto[[#This Row],[En revisión]])</f>
        <v>3</v>
      </c>
    </row>
    <row r="60" spans="10:17" x14ac:dyDescent="0.3">
      <c r="J60" s="11">
        <f>IF(ISNUMBER(J59),J59+1,Registro_proyecto[[#This Row],[Por hacer]])</f>
        <v>45623</v>
      </c>
      <c r="K60">
        <f>COUNTIF(Registro_proyecto[Por hacer],Tareas_proyecto[[#This Row],[Fecha]])-COUNTIF(Registro_proyecto[En proceso],Tareas_proyecto[[#This Row],[Fecha]])+IF(ISNUMBER(K59),K59,0)</f>
        <v>2</v>
      </c>
      <c r="L60">
        <f>COUNTIF(Registro_proyecto[En proceso],Tareas_proyecto[[#This Row],[Fecha]])-COUNTIF(Registro_proyecto[En revisión],Tareas_proyecto[[#This Row],[Fecha]])+IF(ISNUMBER(L59),L59,0)</f>
        <v>2</v>
      </c>
      <c r="M60">
        <f>COUNTIF(Registro_proyecto[En revisión],Tareas_proyecto[[#This Row],[Fecha]])-COUNTIF(Registro_proyecto[Hecho],Tareas_proyecto[[#This Row],[Fecha]])+IF(ISNUMBER(M59),M59,0)</f>
        <v>0</v>
      </c>
      <c r="N60" s="3">
        <f>COUNTIF(Registro_proyecto[Hecho],Tareas_proyecto[[#This Row],[Fecha]])+IF(ISNUMBER(N59),N59,0)</f>
        <v>29</v>
      </c>
      <c r="Q60">
        <f>SUM(Tareas_proyecto[[#This Row],[En proceso]]+Tareas_proyecto[[#This Row],[En revisión]])</f>
        <v>2</v>
      </c>
    </row>
    <row r="61" spans="10:17" x14ac:dyDescent="0.3">
      <c r="J61" s="11">
        <f>IF(ISNUMBER(J60),J60+1,Registro_proyecto[[#This Row],[Por hacer]])</f>
        <v>45624</v>
      </c>
      <c r="K61">
        <f>COUNTIF(Registro_proyecto[Por hacer],Tareas_proyecto[[#This Row],[Fecha]])-COUNTIF(Registro_proyecto[En proceso],Tareas_proyecto[[#This Row],[Fecha]])+IF(ISNUMBER(K60),K60,0)</f>
        <v>2</v>
      </c>
      <c r="L61">
        <f>COUNTIF(Registro_proyecto[En proceso],Tareas_proyecto[[#This Row],[Fecha]])-COUNTIF(Registro_proyecto[En revisión],Tareas_proyecto[[#This Row],[Fecha]])+IF(ISNUMBER(L60),L60,0)</f>
        <v>2</v>
      </c>
      <c r="M61">
        <f>COUNTIF(Registro_proyecto[En revisión],Tareas_proyecto[[#This Row],[Fecha]])-COUNTIF(Registro_proyecto[Hecho],Tareas_proyecto[[#This Row],[Fecha]])+IF(ISNUMBER(M60),M60,0)</f>
        <v>0</v>
      </c>
      <c r="N61" s="3">
        <f>COUNTIF(Registro_proyecto[Hecho],Tareas_proyecto[[#This Row],[Fecha]])+IF(ISNUMBER(N60),N60,0)</f>
        <v>29</v>
      </c>
      <c r="Q61">
        <f>SUM(Tareas_proyecto[[#This Row],[En proceso]]+Tareas_proyecto[[#This Row],[En revisión]])</f>
        <v>2</v>
      </c>
    </row>
    <row r="62" spans="10:17" x14ac:dyDescent="0.3">
      <c r="J62" s="11">
        <f>IF(ISNUMBER(J61),J61+1,Registro_proyecto[[#This Row],[Por hacer]])</f>
        <v>45625</v>
      </c>
      <c r="K62">
        <f>COUNTIF(Registro_proyecto[Por hacer],Tareas_proyecto[[#This Row],[Fecha]])-COUNTIF(Registro_proyecto[En proceso],Tareas_proyecto[[#This Row],[Fecha]])+IF(ISNUMBER(K61),K61,0)</f>
        <v>4</v>
      </c>
      <c r="L62">
        <f>COUNTIF(Registro_proyecto[En proceso],Tareas_proyecto[[#This Row],[Fecha]])-COUNTIF(Registro_proyecto[En revisión],Tareas_proyecto[[#This Row],[Fecha]])+IF(ISNUMBER(L61),L61,0)</f>
        <v>2</v>
      </c>
      <c r="M62">
        <f>COUNTIF(Registro_proyecto[En revisión],Tareas_proyecto[[#This Row],[Fecha]])-COUNTIF(Registro_proyecto[Hecho],Tareas_proyecto[[#This Row],[Fecha]])+IF(ISNUMBER(M61),M61,0)</f>
        <v>0</v>
      </c>
      <c r="N62" s="3">
        <f>COUNTIF(Registro_proyecto[Hecho],Tareas_proyecto[[#This Row],[Fecha]])+IF(ISNUMBER(N61),N61,0)</f>
        <v>30</v>
      </c>
      <c r="Q62">
        <f>SUM(Tareas_proyecto[[#This Row],[En proceso]]+Tareas_proyecto[[#This Row],[En revisión]])</f>
        <v>2</v>
      </c>
    </row>
    <row r="63" spans="10:17" x14ac:dyDescent="0.3">
      <c r="J63" s="11">
        <f>IF(ISNUMBER(J62),J62+1,Registro_proyecto[[#This Row],[Por hacer]])</f>
        <v>45626</v>
      </c>
      <c r="K63">
        <f>COUNTIF(Registro_proyecto[Por hacer],Tareas_proyecto[[#This Row],[Fecha]])-COUNTIF(Registro_proyecto[En proceso],Tareas_proyecto[[#This Row],[Fecha]])+IF(ISNUMBER(K62),K62,0)</f>
        <v>4</v>
      </c>
      <c r="L63">
        <f>COUNTIF(Registro_proyecto[En proceso],Tareas_proyecto[[#This Row],[Fecha]])-COUNTIF(Registro_proyecto[En revisión],Tareas_proyecto[[#This Row],[Fecha]])+IF(ISNUMBER(L62),L62,0)</f>
        <v>2</v>
      </c>
      <c r="M63">
        <f>COUNTIF(Registro_proyecto[En revisión],Tareas_proyecto[[#This Row],[Fecha]])-COUNTIF(Registro_proyecto[Hecho],Tareas_proyecto[[#This Row],[Fecha]])+IF(ISNUMBER(M62),M62,0)</f>
        <v>0</v>
      </c>
      <c r="N63" s="3">
        <f>COUNTIF(Registro_proyecto[Hecho],Tareas_proyecto[[#This Row],[Fecha]])+IF(ISNUMBER(N62),N62,0)</f>
        <v>30</v>
      </c>
      <c r="Q63">
        <f>SUM(Tareas_proyecto[[#This Row],[En proceso]]+Tareas_proyecto[[#This Row],[En revisión]])</f>
        <v>2</v>
      </c>
    </row>
    <row r="64" spans="10:17" x14ac:dyDescent="0.3">
      <c r="J64" s="11">
        <f>IF(ISNUMBER(J63),J63+1,Registro_proyecto[[#This Row],[Por hacer]])</f>
        <v>45627</v>
      </c>
      <c r="K64">
        <f>COUNTIF(Registro_proyecto[Por hacer],Tareas_proyecto[[#This Row],[Fecha]])-COUNTIF(Registro_proyecto[En proceso],Tareas_proyecto[[#This Row],[Fecha]])+IF(ISNUMBER(K63),K63,0)</f>
        <v>4</v>
      </c>
      <c r="L64">
        <f>COUNTIF(Registro_proyecto[En proceso],Tareas_proyecto[[#This Row],[Fecha]])-COUNTIF(Registro_proyecto[En revisión],Tareas_proyecto[[#This Row],[Fecha]])+IF(ISNUMBER(L63),L63,0)</f>
        <v>2</v>
      </c>
      <c r="M64">
        <f>COUNTIF(Registro_proyecto[En revisión],Tareas_proyecto[[#This Row],[Fecha]])-COUNTIF(Registro_proyecto[Hecho],Tareas_proyecto[[#This Row],[Fecha]])+IF(ISNUMBER(M63),M63,0)</f>
        <v>0</v>
      </c>
      <c r="N64" s="3">
        <f>COUNTIF(Registro_proyecto[Hecho],Tareas_proyecto[[#This Row],[Fecha]])+IF(ISNUMBER(N63),N63,0)</f>
        <v>30</v>
      </c>
      <c r="Q64">
        <f>SUM(Tareas_proyecto[[#This Row],[En proceso]]+Tareas_proyecto[[#This Row],[En revisión]])</f>
        <v>2</v>
      </c>
    </row>
    <row r="65" spans="10:17" x14ac:dyDescent="0.3">
      <c r="J65" s="11">
        <f>IF(ISNUMBER(J64),J64+1,Registro_proyecto[[#This Row],[Por hacer]])</f>
        <v>45628</v>
      </c>
      <c r="K65">
        <f>COUNTIF(Registro_proyecto[Por hacer],Tareas_proyecto[[#This Row],[Fecha]])-COUNTIF(Registro_proyecto[En proceso],Tareas_proyecto[[#This Row],[Fecha]])+IF(ISNUMBER(K64),K64,0)</f>
        <v>3</v>
      </c>
      <c r="L65">
        <f>COUNTIF(Registro_proyecto[En proceso],Tareas_proyecto[[#This Row],[Fecha]])-COUNTIF(Registro_proyecto[En revisión],Tareas_proyecto[[#This Row],[Fecha]])+IF(ISNUMBER(L64),L64,0)</f>
        <v>3</v>
      </c>
      <c r="M65">
        <f>COUNTIF(Registro_proyecto[En revisión],Tareas_proyecto[[#This Row],[Fecha]])-COUNTIF(Registro_proyecto[Hecho],Tareas_proyecto[[#This Row],[Fecha]])+IF(ISNUMBER(M64),M64,0)</f>
        <v>0</v>
      </c>
      <c r="N65" s="3">
        <f>COUNTIF(Registro_proyecto[Hecho],Tareas_proyecto[[#This Row],[Fecha]])+IF(ISNUMBER(N64),N64,0)</f>
        <v>30</v>
      </c>
      <c r="Q65">
        <f>SUM(Tareas_proyecto[[#This Row],[En proceso]]+Tareas_proyecto[[#This Row],[En revisión]])</f>
        <v>3</v>
      </c>
    </row>
    <row r="66" spans="10:17" x14ac:dyDescent="0.3">
      <c r="J66" s="11">
        <f>IF(ISNUMBER(J65),J65+1,Registro_proyecto[[#This Row],[Por hacer]])</f>
        <v>45629</v>
      </c>
      <c r="K66">
        <f>COUNTIF(Registro_proyecto[Por hacer],Tareas_proyecto[[#This Row],[Fecha]])-COUNTIF(Registro_proyecto[En proceso],Tareas_proyecto[[#This Row],[Fecha]])+IF(ISNUMBER(K65),K65,0)</f>
        <v>3</v>
      </c>
      <c r="L66">
        <f>COUNTIF(Registro_proyecto[En proceso],Tareas_proyecto[[#This Row],[Fecha]])-COUNTIF(Registro_proyecto[En revisión],Tareas_proyecto[[#This Row],[Fecha]])+IF(ISNUMBER(L65),L65,0)</f>
        <v>3</v>
      </c>
      <c r="M66">
        <f>COUNTIF(Registro_proyecto[En revisión],Tareas_proyecto[[#This Row],[Fecha]])-COUNTIF(Registro_proyecto[Hecho],Tareas_proyecto[[#This Row],[Fecha]])+IF(ISNUMBER(M65),M65,0)</f>
        <v>0</v>
      </c>
      <c r="N66" s="3">
        <f>COUNTIF(Registro_proyecto[Hecho],Tareas_proyecto[[#This Row],[Fecha]])+IF(ISNUMBER(N65),N65,0)</f>
        <v>30</v>
      </c>
      <c r="Q66">
        <f>SUM(Tareas_proyecto[[#This Row],[En proceso]]+Tareas_proyecto[[#This Row],[En revisión]])</f>
        <v>3</v>
      </c>
    </row>
    <row r="67" spans="10:17" x14ac:dyDescent="0.3">
      <c r="J67" s="11">
        <f>IF(ISNUMBER(J66),J66+1,Registro_proyecto[[#This Row],[Por hacer]])</f>
        <v>45630</v>
      </c>
      <c r="K67">
        <f>COUNTIF(Registro_proyecto[Por hacer],Tareas_proyecto[[#This Row],[Fecha]])-COUNTIF(Registro_proyecto[En proceso],Tareas_proyecto[[#This Row],[Fecha]])+IF(ISNUMBER(K66),K66,0)</f>
        <v>3</v>
      </c>
      <c r="L67">
        <f>COUNTIF(Registro_proyecto[En proceso],Tareas_proyecto[[#This Row],[Fecha]])-COUNTIF(Registro_proyecto[En revisión],Tareas_proyecto[[#This Row],[Fecha]])+IF(ISNUMBER(L66),L66,0)</f>
        <v>3</v>
      </c>
      <c r="M67">
        <f>COUNTIF(Registro_proyecto[En revisión],Tareas_proyecto[[#This Row],[Fecha]])-COUNTIF(Registro_proyecto[Hecho],Tareas_proyecto[[#This Row],[Fecha]])+IF(ISNUMBER(M66),M66,0)</f>
        <v>0</v>
      </c>
      <c r="N67" s="3">
        <f>COUNTIF(Registro_proyecto[Hecho],Tareas_proyecto[[#This Row],[Fecha]])+IF(ISNUMBER(N66),N66,0)</f>
        <v>30</v>
      </c>
      <c r="Q67">
        <f>SUM(Tareas_proyecto[[#This Row],[En proceso]]+Tareas_proyecto[[#This Row],[En revisión]])</f>
        <v>3</v>
      </c>
    </row>
    <row r="68" spans="10:17" x14ac:dyDescent="0.3">
      <c r="J68" s="11">
        <f>IF(ISNUMBER(J67),J67+1,Registro_proyecto[[#This Row],[Por hacer]])</f>
        <v>45631</v>
      </c>
      <c r="K68">
        <f>COUNTIF(Registro_proyecto[Por hacer],Tareas_proyecto[[#This Row],[Fecha]])-COUNTIF(Registro_proyecto[En proceso],Tareas_proyecto[[#This Row],[Fecha]])+IF(ISNUMBER(K67),K67,0)</f>
        <v>2</v>
      </c>
      <c r="L68">
        <f>COUNTIF(Registro_proyecto[En proceso],Tareas_proyecto[[#This Row],[Fecha]])-COUNTIF(Registro_proyecto[En revisión],Tareas_proyecto[[#This Row],[Fecha]])+IF(ISNUMBER(L67),L67,0)</f>
        <v>3</v>
      </c>
      <c r="M68">
        <f>COUNTIF(Registro_proyecto[En revisión],Tareas_proyecto[[#This Row],[Fecha]])-COUNTIF(Registro_proyecto[Hecho],Tareas_proyecto[[#This Row],[Fecha]])+IF(ISNUMBER(M67),M67,0)</f>
        <v>1</v>
      </c>
      <c r="N68" s="3">
        <f>COUNTIF(Registro_proyecto[Hecho],Tareas_proyecto[[#This Row],[Fecha]])+IF(ISNUMBER(N67),N67,0)</f>
        <v>30</v>
      </c>
      <c r="Q68">
        <f>SUM(Tareas_proyecto[[#This Row],[En proceso]]+Tareas_proyecto[[#This Row],[En revisión]])</f>
        <v>4</v>
      </c>
    </row>
    <row r="69" spans="10:17" x14ac:dyDescent="0.3">
      <c r="J69" s="11">
        <f>IF(ISNUMBER(J68),J68+1,Registro_proyecto[[#This Row],[Por hacer]])</f>
        <v>45632</v>
      </c>
      <c r="K69">
        <f>COUNTIF(Registro_proyecto[Por hacer],Tareas_proyecto[[#This Row],[Fecha]])-COUNTIF(Registro_proyecto[En proceso],Tareas_proyecto[[#This Row],[Fecha]])+IF(ISNUMBER(K68),K68,0)</f>
        <v>2</v>
      </c>
      <c r="L69">
        <f>COUNTIF(Registro_proyecto[En proceso],Tareas_proyecto[[#This Row],[Fecha]])-COUNTIF(Registro_proyecto[En revisión],Tareas_proyecto[[#This Row],[Fecha]])+IF(ISNUMBER(L68),L68,0)</f>
        <v>2</v>
      </c>
      <c r="M69">
        <f>COUNTIF(Registro_proyecto[En revisión],Tareas_proyecto[[#This Row],[Fecha]])-COUNTIF(Registro_proyecto[Hecho],Tareas_proyecto[[#This Row],[Fecha]])+IF(ISNUMBER(M68),M68,0)</f>
        <v>1</v>
      </c>
      <c r="N69" s="3">
        <f>COUNTIF(Registro_proyecto[Hecho],Tareas_proyecto[[#This Row],[Fecha]])+IF(ISNUMBER(N68),N68,0)</f>
        <v>31</v>
      </c>
      <c r="Q69">
        <f>SUM(Tareas_proyecto[[#This Row],[En proceso]]+Tareas_proyecto[[#This Row],[En revisión]])</f>
        <v>3</v>
      </c>
    </row>
    <row r="70" spans="10:17" x14ac:dyDescent="0.3">
      <c r="J70" s="11">
        <f>IF(ISNUMBER(J69),J69+1,Registro_proyecto[[#This Row],[Por hacer]])</f>
        <v>45633</v>
      </c>
      <c r="K70">
        <f>COUNTIF(Registro_proyecto[Por hacer],Tareas_proyecto[[#This Row],[Fecha]])-COUNTIF(Registro_proyecto[En proceso],Tareas_proyecto[[#This Row],[Fecha]])+IF(ISNUMBER(K69),K69,0)</f>
        <v>2</v>
      </c>
      <c r="L70">
        <f>COUNTIF(Registro_proyecto[En proceso],Tareas_proyecto[[#This Row],[Fecha]])-COUNTIF(Registro_proyecto[En revisión],Tareas_proyecto[[#This Row],[Fecha]])+IF(ISNUMBER(L69),L69,0)</f>
        <v>2</v>
      </c>
      <c r="M70">
        <f>COUNTIF(Registro_proyecto[En revisión],Tareas_proyecto[[#This Row],[Fecha]])-COUNTIF(Registro_proyecto[Hecho],Tareas_proyecto[[#This Row],[Fecha]])+IF(ISNUMBER(M69),M69,0)</f>
        <v>0</v>
      </c>
      <c r="N70" s="3">
        <f>COUNTIF(Registro_proyecto[Hecho],Tareas_proyecto[[#This Row],[Fecha]])+IF(ISNUMBER(N69),N69,0)</f>
        <v>32</v>
      </c>
      <c r="Q70">
        <f>SUM(Tareas_proyecto[[#This Row],[En proceso]]+Tareas_proyecto[[#This Row],[En revisión]])</f>
        <v>2</v>
      </c>
    </row>
    <row r="71" spans="10:17" x14ac:dyDescent="0.3">
      <c r="J71" s="11">
        <f>IF(ISNUMBER(J70),J70+1,Registro_proyecto[[#This Row],[Por hacer]])</f>
        <v>45634</v>
      </c>
      <c r="K71">
        <f>COUNTIF(Registro_proyecto[Por hacer],Tareas_proyecto[[#This Row],[Fecha]])-COUNTIF(Registro_proyecto[En proceso],Tareas_proyecto[[#This Row],[Fecha]])+IF(ISNUMBER(K70),K70,0)</f>
        <v>1</v>
      </c>
      <c r="L71">
        <f>COUNTIF(Registro_proyecto[En proceso],Tareas_proyecto[[#This Row],[Fecha]])-COUNTIF(Registro_proyecto[En revisión],Tareas_proyecto[[#This Row],[Fecha]])+IF(ISNUMBER(L70),L70,0)</f>
        <v>2</v>
      </c>
      <c r="M71">
        <f>COUNTIF(Registro_proyecto[En revisión],Tareas_proyecto[[#This Row],[Fecha]])-COUNTIF(Registro_proyecto[Hecho],Tareas_proyecto[[#This Row],[Fecha]])+IF(ISNUMBER(M70),M70,0)</f>
        <v>0</v>
      </c>
      <c r="N71" s="3">
        <f>COUNTIF(Registro_proyecto[Hecho],Tareas_proyecto[[#This Row],[Fecha]])+IF(ISNUMBER(N70),N70,0)</f>
        <v>33</v>
      </c>
      <c r="Q71">
        <f>SUM(Tareas_proyecto[[#This Row],[En proceso]]+Tareas_proyecto[[#This Row],[En revisión]])</f>
        <v>2</v>
      </c>
    </row>
    <row r="72" spans="10:17" x14ac:dyDescent="0.3">
      <c r="J72" s="11">
        <f>IF(ISNUMBER(J71),J71+1,Registro_proyecto[[#This Row],[Por hacer]])</f>
        <v>45635</v>
      </c>
      <c r="K72">
        <f>COUNTIF(Registro_proyecto[Por hacer],Tareas_proyecto[[#This Row],[Fecha]])-COUNTIF(Registro_proyecto[En proceso],Tareas_proyecto[[#This Row],[Fecha]])+IF(ISNUMBER(K71),K71,0)</f>
        <v>0</v>
      </c>
      <c r="L72">
        <f>COUNTIF(Registro_proyecto[En proceso],Tareas_proyecto[[#This Row],[Fecha]])-COUNTIF(Registro_proyecto[En revisión],Tareas_proyecto[[#This Row],[Fecha]])+IF(ISNUMBER(L71),L71,0)</f>
        <v>2</v>
      </c>
      <c r="M72">
        <f>COUNTIF(Registro_proyecto[En revisión],Tareas_proyecto[[#This Row],[Fecha]])-COUNTIF(Registro_proyecto[Hecho],Tareas_proyecto[[#This Row],[Fecha]])+IF(ISNUMBER(M71),M71,0)</f>
        <v>1</v>
      </c>
      <c r="N72" s="3">
        <f>COUNTIF(Registro_proyecto[Hecho],Tareas_proyecto[[#This Row],[Fecha]])+IF(ISNUMBER(N71),N71,0)</f>
        <v>33</v>
      </c>
      <c r="Q72">
        <f>SUM(Tareas_proyecto[[#This Row],[En proceso]]+Tareas_proyecto[[#This Row],[En revisión]])</f>
        <v>3</v>
      </c>
    </row>
    <row r="73" spans="10:17" x14ac:dyDescent="0.3">
      <c r="J73" s="11">
        <f>IF(ISNUMBER(J72),J72+1,Registro_proyecto[[#This Row],[Por hacer]])</f>
        <v>45636</v>
      </c>
      <c r="K73">
        <f>COUNTIF(Registro_proyecto[Por hacer],Tareas_proyecto[[#This Row],[Fecha]])-COUNTIF(Registro_proyecto[En proceso],Tareas_proyecto[[#This Row],[Fecha]])+IF(ISNUMBER(K72),K72,0)</f>
        <v>0</v>
      </c>
      <c r="L73">
        <f>COUNTIF(Registro_proyecto[En proceso],Tareas_proyecto[[#This Row],[Fecha]])-COUNTIF(Registro_proyecto[En revisión],Tareas_proyecto[[#This Row],[Fecha]])+IF(ISNUMBER(L72),L72,0)</f>
        <v>1</v>
      </c>
      <c r="M73">
        <f>COUNTIF(Registro_proyecto[En revisión],Tareas_proyecto[[#This Row],[Fecha]])-COUNTIF(Registro_proyecto[Hecho],Tareas_proyecto[[#This Row],[Fecha]])+IF(ISNUMBER(M72),M72,0)</f>
        <v>0</v>
      </c>
      <c r="N73" s="3">
        <f>COUNTIF(Registro_proyecto[Hecho],Tareas_proyecto[[#This Row],[Fecha]])+IF(ISNUMBER(N72),N72,0)</f>
        <v>35</v>
      </c>
      <c r="Q73">
        <f>SUM(Tareas_proyecto[[#This Row],[En proceso]]+Tareas_proyecto[[#This Row],[En revisión]])</f>
        <v>1</v>
      </c>
    </row>
    <row r="74" spans="10:17" x14ac:dyDescent="0.3">
      <c r="J74" s="11">
        <f>IF(ISNUMBER(J73),J73+1,Registro_proyecto[[#This Row],[Por hacer]])</f>
        <v>45637</v>
      </c>
      <c r="K74">
        <f>COUNTIF(Registro_proyecto[Por hacer],Tareas_proyecto[[#This Row],[Fecha]])-COUNTIF(Registro_proyecto[En proceso],Tareas_proyecto[[#This Row],[Fecha]])+IF(ISNUMBER(K73),K73,0)</f>
        <v>0</v>
      </c>
      <c r="L74">
        <f>COUNTIF(Registro_proyecto[En proceso],Tareas_proyecto[[#This Row],[Fecha]])-COUNTIF(Registro_proyecto[En revisión],Tareas_proyecto[[#This Row],[Fecha]])+IF(ISNUMBER(L73),L73,0)</f>
        <v>1</v>
      </c>
      <c r="M74">
        <f>COUNTIF(Registro_proyecto[En revisión],Tareas_proyecto[[#This Row],[Fecha]])-COUNTIF(Registro_proyecto[Hecho],Tareas_proyecto[[#This Row],[Fecha]])+IF(ISNUMBER(M73),M73,0)</f>
        <v>0</v>
      </c>
      <c r="N74" s="3">
        <f>COUNTIF(Registro_proyecto[Hecho],Tareas_proyecto[[#This Row],[Fecha]])+IF(ISNUMBER(N73),N73,0)</f>
        <v>35</v>
      </c>
      <c r="Q74">
        <f>SUM(Tareas_proyecto[[#This Row],[En proceso]]+Tareas_proyecto[[#This Row],[En revisión]])</f>
        <v>1</v>
      </c>
    </row>
    <row r="75" spans="10:17" x14ac:dyDescent="0.3">
      <c r="J75" s="11">
        <f>IF(ISNUMBER(J74),J74+1,Registro_proyecto[[#This Row],[Por hacer]])</f>
        <v>45638</v>
      </c>
      <c r="K75">
        <f>COUNTIF(Registro_proyecto[Por hacer],Tareas_proyecto[[#This Row],[Fecha]])-COUNTIF(Registro_proyecto[En proceso],Tareas_proyecto[[#This Row],[Fecha]])+IF(ISNUMBER(K74),K74,0)</f>
        <v>0</v>
      </c>
      <c r="L75">
        <f>COUNTIF(Registro_proyecto[En proceso],Tareas_proyecto[[#This Row],[Fecha]])-COUNTIF(Registro_proyecto[En revisión],Tareas_proyecto[[#This Row],[Fecha]])+IF(ISNUMBER(L74),L74,0)</f>
        <v>0</v>
      </c>
      <c r="M75">
        <f>COUNTIF(Registro_proyecto[En revisión],Tareas_proyecto[[#This Row],[Fecha]])-COUNTIF(Registro_proyecto[Hecho],Tareas_proyecto[[#This Row],[Fecha]])+IF(ISNUMBER(M74),M74,0)</f>
        <v>0</v>
      </c>
      <c r="N75" s="3">
        <f>COUNTIF(Registro_proyecto[Hecho],Tareas_proyecto[[#This Row],[Fecha]])+IF(ISNUMBER(N74),N74,0)</f>
        <v>36</v>
      </c>
      <c r="Q75">
        <f>SUM(Tareas_proyecto[[#This Row],[En proceso]]+Tareas_proyecto[[#This Row],[En revisión]])</f>
        <v>0</v>
      </c>
    </row>
    <row r="76" spans="10:17" x14ac:dyDescent="0.3">
      <c r="J76" s="11">
        <f>IF(ISNUMBER(J75),J75+1,Registro_proyecto[[#This Row],[Por hacer]])</f>
        <v>45639</v>
      </c>
      <c r="K76">
        <f>COUNTIF(Registro_proyecto[Por hacer],Tareas_proyecto[[#This Row],[Fecha]])-COUNTIF(Registro_proyecto[En proceso],Tareas_proyecto[[#This Row],[Fecha]])+IF(ISNUMBER(K75),K75,0)</f>
        <v>0</v>
      </c>
      <c r="L76">
        <f>COUNTIF(Registro_proyecto[En proceso],Tareas_proyecto[[#This Row],[Fecha]])-COUNTIF(Registro_proyecto[En revisión],Tareas_proyecto[[#This Row],[Fecha]])+IF(ISNUMBER(L75),L75,0)</f>
        <v>0</v>
      </c>
      <c r="M76">
        <f>COUNTIF(Registro_proyecto[En revisión],Tareas_proyecto[[#This Row],[Fecha]])-COUNTIF(Registro_proyecto[Hecho],Tareas_proyecto[[#This Row],[Fecha]])+IF(ISNUMBER(M75),M75,0)</f>
        <v>0</v>
      </c>
      <c r="N76" s="3">
        <f>COUNTIF(Registro_proyecto[Hecho],Tareas_proyecto[[#This Row],[Fecha]])+IF(ISNUMBER(N75),N75,0)</f>
        <v>36</v>
      </c>
      <c r="Q76">
        <f>SUM(Tareas_proyecto[[#This Row],[En proceso]]+Tareas_proyecto[[#This Row],[En revisión]])</f>
        <v>0</v>
      </c>
    </row>
    <row r="77" spans="10:17" x14ac:dyDescent="0.3">
      <c r="J77" s="11">
        <f>IF(ISNUMBER(J76),J76+1,Registro_proyecto[[#This Row],[Por hacer]])</f>
        <v>45640</v>
      </c>
      <c r="K77">
        <f>COUNTIF(Registro_proyecto[Por hacer],Tareas_proyecto[[#This Row],[Fecha]])-COUNTIF(Registro_proyecto[En proceso],Tareas_proyecto[[#This Row],[Fecha]])+IF(ISNUMBER(K76),K76,0)</f>
        <v>0</v>
      </c>
      <c r="L77">
        <f>COUNTIF(Registro_proyecto[En proceso],Tareas_proyecto[[#This Row],[Fecha]])-COUNTIF(Registro_proyecto[En revisión],Tareas_proyecto[[#This Row],[Fecha]])+IF(ISNUMBER(L76),L76,0)</f>
        <v>0</v>
      </c>
      <c r="M77">
        <f>COUNTIF(Registro_proyecto[En revisión],Tareas_proyecto[[#This Row],[Fecha]])-COUNTIF(Registro_proyecto[Hecho],Tareas_proyecto[[#This Row],[Fecha]])+IF(ISNUMBER(M76),M76,0)</f>
        <v>0</v>
      </c>
      <c r="N77" s="3">
        <f>COUNTIF(Registro_proyecto[Hecho],Tareas_proyecto[[#This Row],[Fecha]])+IF(ISNUMBER(N76),N76,0)</f>
        <v>36</v>
      </c>
      <c r="Q77">
        <f>SUM(Tareas_proyecto[[#This Row],[En proceso]]+Tareas_proyecto[[#This Row],[En revisión]])</f>
        <v>0</v>
      </c>
    </row>
    <row r="78" spans="10:17" x14ac:dyDescent="0.3">
      <c r="J78" s="11">
        <f>IF(ISNUMBER(J77),J77+1,Registro_proyecto[[#This Row],[Por hacer]])</f>
        <v>45641</v>
      </c>
      <c r="K78">
        <f>COUNTIF(Registro_proyecto[Por hacer],Tareas_proyecto[[#This Row],[Fecha]])-COUNTIF(Registro_proyecto[En proceso],Tareas_proyecto[[#This Row],[Fecha]])+IF(ISNUMBER(K77),K77,0)</f>
        <v>0</v>
      </c>
      <c r="L78">
        <f>COUNTIF(Registro_proyecto[En proceso],Tareas_proyecto[[#This Row],[Fecha]])-COUNTIF(Registro_proyecto[En revisión],Tareas_proyecto[[#This Row],[Fecha]])+IF(ISNUMBER(L77),L77,0)</f>
        <v>0</v>
      </c>
      <c r="M78">
        <f>COUNTIF(Registro_proyecto[En revisión],Tareas_proyecto[[#This Row],[Fecha]])-COUNTIF(Registro_proyecto[Hecho],Tareas_proyecto[[#This Row],[Fecha]])+IF(ISNUMBER(M77),M77,0)</f>
        <v>0</v>
      </c>
      <c r="N78" s="3">
        <f>COUNTIF(Registro_proyecto[Hecho],Tareas_proyecto[[#This Row],[Fecha]])+IF(ISNUMBER(N77),N77,0)</f>
        <v>36</v>
      </c>
      <c r="Q78">
        <f>SUM(Tareas_proyecto[[#This Row],[En proceso]]+Tareas_proyecto[[#This Row],[En revisión]])</f>
        <v>0</v>
      </c>
    </row>
    <row r="79" spans="10:17" x14ac:dyDescent="0.3">
      <c r="J79" s="11">
        <f>IF(ISNUMBER(J78),J78+1,Registro_proyecto[[#This Row],[Por hacer]])</f>
        <v>45642</v>
      </c>
      <c r="K79">
        <f>COUNTIF(Registro_proyecto[Por hacer],Tareas_proyecto[[#This Row],[Fecha]])-COUNTIF(Registro_proyecto[En proceso],Tareas_proyecto[[#This Row],[Fecha]])+IF(ISNUMBER(K78),K78,0)</f>
        <v>0</v>
      </c>
      <c r="L79">
        <f>COUNTIF(Registro_proyecto[En proceso],Tareas_proyecto[[#This Row],[Fecha]])-COUNTIF(Registro_proyecto[En revisión],Tareas_proyecto[[#This Row],[Fecha]])+IF(ISNUMBER(L78),L78,0)</f>
        <v>0</v>
      </c>
      <c r="M79">
        <f>COUNTIF(Registro_proyecto[En revisión],Tareas_proyecto[[#This Row],[Fecha]])-COUNTIF(Registro_proyecto[Hecho],Tareas_proyecto[[#This Row],[Fecha]])+IF(ISNUMBER(M78),M78,0)</f>
        <v>0</v>
      </c>
      <c r="N79" s="3">
        <f>COUNTIF(Registro_proyecto[Hecho],Tareas_proyecto[[#This Row],[Fecha]])+IF(ISNUMBER(N78),N78,0)</f>
        <v>36</v>
      </c>
      <c r="Q79">
        <f>SUM(Tareas_proyecto[[#This Row],[En proceso]]+Tareas_proyecto[[#This Row],[En revisión]])</f>
        <v>0</v>
      </c>
    </row>
    <row r="80" spans="10:17" x14ac:dyDescent="0.3">
      <c r="J80" s="11">
        <f>IF(ISNUMBER(J79),J79+1,Registro_proyecto[[#This Row],[Por hacer]])</f>
        <v>45643</v>
      </c>
      <c r="K80">
        <f>COUNTIF(Registro_proyecto[Por hacer],Tareas_proyecto[[#This Row],[Fecha]])-COUNTIF(Registro_proyecto[En proceso],Tareas_proyecto[[#This Row],[Fecha]])+IF(ISNUMBER(K79),K79,0)</f>
        <v>0</v>
      </c>
      <c r="L80">
        <f>COUNTIF(Registro_proyecto[En proceso],Tareas_proyecto[[#This Row],[Fecha]])-COUNTIF(Registro_proyecto[En revisión],Tareas_proyecto[[#This Row],[Fecha]])+IF(ISNUMBER(L79),L79,0)</f>
        <v>0</v>
      </c>
      <c r="M80">
        <f>COUNTIF(Registro_proyecto[En revisión],Tareas_proyecto[[#This Row],[Fecha]])-COUNTIF(Registro_proyecto[Hecho],Tareas_proyecto[[#This Row],[Fecha]])+IF(ISNUMBER(M79),M79,0)</f>
        <v>0</v>
      </c>
      <c r="N80" s="3">
        <f>COUNTIF(Registro_proyecto[Hecho],Tareas_proyecto[[#This Row],[Fecha]])+IF(ISNUMBER(N79),N79,0)</f>
        <v>36</v>
      </c>
      <c r="Q80">
        <f>SUM(Tareas_proyecto[[#This Row],[En proceso]]+Tareas_proyecto[[#This Row],[En revisión]])</f>
        <v>0</v>
      </c>
    </row>
    <row r="81" spans="10:17" x14ac:dyDescent="0.3">
      <c r="J81" s="11">
        <f>IF(ISNUMBER(J80),J80+1,Registro_proyecto[[#This Row],[Por hacer]])</f>
        <v>45644</v>
      </c>
      <c r="K81">
        <f>COUNTIF(Registro_proyecto[Por hacer],Tareas_proyecto[[#This Row],[Fecha]])-COUNTIF(Registro_proyecto[En proceso],Tareas_proyecto[[#This Row],[Fecha]])+IF(ISNUMBER(K80),K80,0)</f>
        <v>0</v>
      </c>
      <c r="L81">
        <f>COUNTIF(Registro_proyecto[En proceso],Tareas_proyecto[[#This Row],[Fecha]])-COUNTIF(Registro_proyecto[En revisión],Tareas_proyecto[[#This Row],[Fecha]])+IF(ISNUMBER(L80),L80,0)</f>
        <v>0</v>
      </c>
      <c r="M81">
        <f>COUNTIF(Registro_proyecto[En revisión],Tareas_proyecto[[#This Row],[Fecha]])-COUNTIF(Registro_proyecto[Hecho],Tareas_proyecto[[#This Row],[Fecha]])+IF(ISNUMBER(M80),M80,0)</f>
        <v>0</v>
      </c>
      <c r="N81" s="3">
        <f>COUNTIF(Registro_proyecto[Hecho],Tareas_proyecto[[#This Row],[Fecha]])+IF(ISNUMBER(N80),N80,0)</f>
        <v>36</v>
      </c>
      <c r="Q81">
        <f>SUM(Tareas_proyecto[[#This Row],[En proceso]]+Tareas_proyecto[[#This Row],[En revisión]])</f>
        <v>0</v>
      </c>
    </row>
    <row r="82" spans="10:17" x14ac:dyDescent="0.3">
      <c r="J82" s="11">
        <f>IF(ISNUMBER(J81),J81+1,Registro_proyecto[[#This Row],[Por hacer]])</f>
        <v>45645</v>
      </c>
      <c r="K82">
        <f>COUNTIF(Registro_proyecto[Por hacer],Tareas_proyecto[[#This Row],[Fecha]])-COUNTIF(Registro_proyecto[En proceso],Tareas_proyecto[[#This Row],[Fecha]])+IF(ISNUMBER(K81),K81,0)</f>
        <v>0</v>
      </c>
      <c r="L82">
        <f>COUNTIF(Registro_proyecto[En proceso],Tareas_proyecto[[#This Row],[Fecha]])-COUNTIF(Registro_proyecto[En revisión],Tareas_proyecto[[#This Row],[Fecha]])+IF(ISNUMBER(L81),L81,0)</f>
        <v>0</v>
      </c>
      <c r="M82">
        <f>COUNTIF(Registro_proyecto[En revisión],Tareas_proyecto[[#This Row],[Fecha]])-COUNTIF(Registro_proyecto[Hecho],Tareas_proyecto[[#This Row],[Fecha]])+IF(ISNUMBER(M81),M81,0)</f>
        <v>0</v>
      </c>
      <c r="N82" s="3">
        <f>COUNTIF(Registro_proyecto[Hecho],Tareas_proyecto[[#This Row],[Fecha]])+IF(ISNUMBER(N81),N81,0)</f>
        <v>36</v>
      </c>
      <c r="Q82">
        <f>SUM(Tareas_proyecto[[#This Row],[En proceso]]+Tareas_proyecto[[#This Row],[En revisión]])</f>
        <v>0</v>
      </c>
    </row>
  </sheetData>
  <phoneticPr fontId="1" type="noConversion"/>
  <conditionalFormatting sqref="L6:L82">
    <cfRule type="cellIs" dxfId="5" priority="2" operator="greaterThan">
      <formula>$O6</formula>
    </cfRule>
  </conditionalFormatting>
  <conditionalFormatting sqref="M6:M82">
    <cfRule type="cellIs" dxfId="4" priority="1" operator="greaterThan">
      <formula>$P6</formula>
    </cfRule>
  </conditionalFormatting>
  <conditionalFormatting sqref="Q6:Q82">
    <cfRule type="cellIs" dxfId="3" priority="4" operator="greaterThan">
      <formula>$O6+$P6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FACC-6B75-BF4B-A0FB-8D2C6C92945F}">
  <dimension ref="A1:AC32"/>
  <sheetViews>
    <sheetView topLeftCell="A13" workbookViewId="0">
      <selection activeCell="B6" sqref="B6"/>
    </sheetView>
  </sheetViews>
  <sheetFormatPr defaultColWidth="11.19921875" defaultRowHeight="15.6" x14ac:dyDescent="0.3"/>
  <cols>
    <col min="1" max="1" width="14.5" bestFit="1" customWidth="1"/>
    <col min="2" max="2" width="11.296875" bestFit="1" customWidth="1"/>
    <col min="3" max="3" width="12.296875" customWidth="1"/>
    <col min="4" max="4" width="12.5" customWidth="1"/>
    <col min="11" max="11" width="11.19921875" customWidth="1"/>
    <col min="12" max="12" width="12.296875" customWidth="1"/>
    <col min="13" max="13" width="12.5" customWidth="1"/>
    <col min="19" max="19" width="26.19921875" customWidth="1"/>
    <col min="20" max="20" width="5.19921875" customWidth="1"/>
    <col min="21" max="21" width="6.296875" bestFit="1" customWidth="1"/>
    <col min="22" max="22" width="6.296875" customWidth="1"/>
    <col min="23" max="23" width="34.69921875" bestFit="1" customWidth="1"/>
    <col min="24" max="24" width="3.69921875" customWidth="1"/>
    <col min="25" max="25" width="6.296875" bestFit="1" customWidth="1"/>
    <col min="26" max="26" width="6.5" customWidth="1"/>
    <col min="27" max="27" width="34.796875" bestFit="1" customWidth="1"/>
    <col min="28" max="28" width="3.796875" customWidth="1"/>
  </cols>
  <sheetData>
    <row r="1" spans="1:19" ht="28.8" x14ac:dyDescent="0.55000000000000004">
      <c r="A1" s="6" t="s">
        <v>32</v>
      </c>
    </row>
    <row r="2" spans="1:19" x14ac:dyDescent="0.3">
      <c r="A2" t="s">
        <v>44</v>
      </c>
    </row>
    <row r="4" spans="1:19" ht="18" x14ac:dyDescent="0.35">
      <c r="A4" s="7" t="s">
        <v>31</v>
      </c>
      <c r="C4" s="5"/>
      <c r="D4" s="5"/>
      <c r="J4" s="7" t="s">
        <v>0</v>
      </c>
      <c r="L4" s="5"/>
      <c r="M4" s="5"/>
      <c r="S4" s="7" t="s">
        <v>37</v>
      </c>
    </row>
    <row r="5" spans="1:19" ht="31.2" x14ac:dyDescent="0.3">
      <c r="A5" s="4" t="s">
        <v>6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15</v>
      </c>
      <c r="G5" s="4" t="s">
        <v>33</v>
      </c>
      <c r="H5" s="4" t="s">
        <v>34</v>
      </c>
      <c r="I5" s="4"/>
      <c r="J5" s="4" t="s">
        <v>7</v>
      </c>
      <c r="K5" s="4" t="s">
        <v>1</v>
      </c>
      <c r="L5" s="4" t="s">
        <v>2</v>
      </c>
      <c r="M5" s="4" t="s">
        <v>3</v>
      </c>
      <c r="N5" s="4" t="s">
        <v>4</v>
      </c>
      <c r="O5" s="4" t="s">
        <v>35</v>
      </c>
      <c r="P5" s="4" t="s">
        <v>36</v>
      </c>
      <c r="Q5" s="4" t="s">
        <v>5</v>
      </c>
    </row>
    <row r="6" spans="1:19" x14ac:dyDescent="0.3">
      <c r="A6" t="s">
        <v>8</v>
      </c>
      <c r="B6" s="1">
        <v>45187</v>
      </c>
      <c r="C6" s="1">
        <v>45187</v>
      </c>
      <c r="D6" s="1">
        <v>45188</v>
      </c>
      <c r="E6" s="1">
        <v>45189</v>
      </c>
      <c r="F6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6" s="3">
        <f>IF(Registro_ejemplo[[#This Row],[Hecho]]="","",Registro_ejemplo[[#This Row],[Hecho]]-Registro_ejemplo[[#This Row],[Por hacer]])</f>
        <v>2</v>
      </c>
      <c r="H6" s="3">
        <f>IF(Registro_ejemplo[[#This Row],[Hecho]]="","",Registro_ejemplo[[#This Row],[Hecho]]-Registro_ejemplo[[#This Row],[En proceso]])</f>
        <v>2</v>
      </c>
      <c r="I6" s="3"/>
      <c r="J6" s="1">
        <f>IF(ISNUMBER(J5),J5+1,Registro_ejemplo[[#This Row],[Por hacer]])</f>
        <v>45187</v>
      </c>
      <c r="K6">
        <f>COUNTIF(Registro_ejemplo[Por hacer],Tareas_ejemplo[[#This Row],[Fecha]])-COUNTIF(Registro_ejemplo[En proceso],Tareas_ejemplo[[#This Row],[Fecha]])+IF(ISNUMBER(K5),K5,0)</f>
        <v>6</v>
      </c>
      <c r="L6">
        <f>COUNTIF(Registro_ejemplo[En proceso],Tareas_ejemplo[[#This Row],[Fecha]])-COUNTIF(Registro_ejemplo[En revisión],Tareas_ejemplo[[#This Row],[Fecha]])+IF(ISNUMBER(L5),L5,0)</f>
        <v>3</v>
      </c>
      <c r="M6">
        <f>COUNTIF(Registro_ejemplo[En revisión],Tareas_ejemplo[[#This Row],[Fecha]])-COUNTIF(Registro_ejemplo[Hecho],Tareas_ejemplo[[#This Row],[Fecha]])+IF(ISNUMBER(M5),M5,0)</f>
        <v>0</v>
      </c>
      <c r="N6" s="3">
        <f>COUNTIF(Registro_ejemplo[Hecho],Tareas_ejemplo[[#This Row],[Fecha]])+IF(ISNUMBER(N5),N5,0)</f>
        <v>0</v>
      </c>
      <c r="O6">
        <v>5</v>
      </c>
      <c r="P6">
        <v>3</v>
      </c>
      <c r="Q6">
        <f>SUM(Tareas_ejemplo[[#This Row],[En proceso]]+Tareas_ejemplo[[#This Row],[En revisión]])</f>
        <v>3</v>
      </c>
    </row>
    <row r="7" spans="1:19" x14ac:dyDescent="0.3">
      <c r="A7" t="s">
        <v>9</v>
      </c>
      <c r="B7" s="1">
        <v>45187</v>
      </c>
      <c r="C7" s="1">
        <v>45187</v>
      </c>
      <c r="D7" s="1">
        <v>45189</v>
      </c>
      <c r="E7" s="1">
        <v>45191</v>
      </c>
      <c r="F7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7" s="3">
        <f>IF(Registro_ejemplo[[#This Row],[Hecho]]="","",Registro_ejemplo[[#This Row],[Hecho]]-Registro_ejemplo[[#This Row],[Por hacer]])</f>
        <v>4</v>
      </c>
      <c r="H7" s="3">
        <f>IF(Registro_ejemplo[[#This Row],[Hecho]]="","",Registro_ejemplo[[#This Row],[Hecho]]-Registro_ejemplo[[#This Row],[En proceso]])</f>
        <v>4</v>
      </c>
      <c r="I7" s="3"/>
      <c r="J7" s="1">
        <f>IF(ISNUMBER(J6),J6+1,Registro_ejemplo[[#This Row],[Por hacer]])</f>
        <v>45188</v>
      </c>
      <c r="K7">
        <f>COUNTIF(Registro_ejemplo[Por hacer],Tareas_ejemplo[[#This Row],[Fecha]])-COUNTIF(Registro_ejemplo[En proceso],Tareas_ejemplo[[#This Row],[Fecha]])+IF(ISNUMBER(K6),K6,0)</f>
        <v>4</v>
      </c>
      <c r="L7">
        <f>COUNTIF(Registro_ejemplo[En proceso],Tareas_ejemplo[[#This Row],[Fecha]])-COUNTIF(Registro_ejemplo[En revisión],Tareas_ejemplo[[#This Row],[Fecha]])+IF(ISNUMBER(L6),L6,0)</f>
        <v>3</v>
      </c>
      <c r="M7">
        <f>COUNTIF(Registro_ejemplo[En revisión],Tareas_ejemplo[[#This Row],[Fecha]])-COUNTIF(Registro_ejemplo[Hecho],Tareas_ejemplo[[#This Row],[Fecha]])+IF(ISNUMBER(M6),M6,0)</f>
        <v>2</v>
      </c>
      <c r="N7" s="3">
        <f>COUNTIF(Registro_ejemplo[Hecho],Tareas_ejemplo[[#This Row],[Fecha]])+IF(ISNUMBER(N6),N6,0)</f>
        <v>0</v>
      </c>
      <c r="O7">
        <v>5</v>
      </c>
      <c r="P7">
        <v>3</v>
      </c>
      <c r="Q7">
        <f>SUM(Tareas_ejemplo[[#This Row],[En proceso]]+Tareas_ejemplo[[#This Row],[En revisión]])</f>
        <v>5</v>
      </c>
    </row>
    <row r="8" spans="1:19" x14ac:dyDescent="0.3">
      <c r="A8" t="s">
        <v>10</v>
      </c>
      <c r="B8" s="1">
        <v>45187</v>
      </c>
      <c r="C8" s="1">
        <v>45187</v>
      </c>
      <c r="D8" s="1">
        <v>45188</v>
      </c>
      <c r="E8" s="1">
        <v>45193</v>
      </c>
      <c r="F8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8" s="3">
        <f>IF(Registro_ejemplo[[#This Row],[Hecho]]="","",Registro_ejemplo[[#This Row],[Hecho]]-Registro_ejemplo[[#This Row],[Por hacer]])</f>
        <v>6</v>
      </c>
      <c r="H8" s="3">
        <f>IF(Registro_ejemplo[[#This Row],[Hecho]]="","",Registro_ejemplo[[#This Row],[Hecho]]-Registro_ejemplo[[#This Row],[En proceso]])</f>
        <v>6</v>
      </c>
      <c r="I8" s="3"/>
      <c r="J8" s="1">
        <f>IF(ISNUMBER(J7),J7+1,Registro_ejemplo[[#This Row],[Por hacer]])</f>
        <v>45189</v>
      </c>
      <c r="K8">
        <f>COUNTIF(Registro_ejemplo[Por hacer],Tareas_ejemplo[[#This Row],[Fecha]])-COUNTIF(Registro_ejemplo[En proceso],Tareas_ejemplo[[#This Row],[Fecha]])+IF(ISNUMBER(K7),K7,0)</f>
        <v>5</v>
      </c>
      <c r="L8">
        <f>COUNTIF(Registro_ejemplo[En proceso],Tareas_ejemplo[[#This Row],[Fecha]])-COUNTIF(Registro_ejemplo[En revisión],Tareas_ejemplo[[#This Row],[Fecha]])+IF(ISNUMBER(L7),L7,0)</f>
        <v>4</v>
      </c>
      <c r="M8">
        <f>COUNTIF(Registro_ejemplo[En revisión],Tareas_ejemplo[[#This Row],[Fecha]])-COUNTIF(Registro_ejemplo[Hecho],Tareas_ejemplo[[#This Row],[Fecha]])+IF(ISNUMBER(M7),M7,0)</f>
        <v>3</v>
      </c>
      <c r="N8" s="3">
        <f>COUNTIF(Registro_ejemplo[Hecho],Tareas_ejemplo[[#This Row],[Fecha]])+IF(ISNUMBER(N7),N7,0)</f>
        <v>1</v>
      </c>
      <c r="O8">
        <v>5</v>
      </c>
      <c r="P8">
        <v>3</v>
      </c>
      <c r="Q8">
        <f>SUM(Tareas_ejemplo[[#This Row],[En proceso]]+Tareas_ejemplo[[#This Row],[En revisión]])</f>
        <v>7</v>
      </c>
    </row>
    <row r="9" spans="1:19" x14ac:dyDescent="0.3">
      <c r="A9" t="s">
        <v>11</v>
      </c>
      <c r="B9" s="1">
        <v>45187</v>
      </c>
      <c r="C9" s="1">
        <v>45188</v>
      </c>
      <c r="D9" s="1">
        <v>45193</v>
      </c>
      <c r="E9" s="1">
        <v>45197</v>
      </c>
      <c r="F9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9" s="3">
        <f>IF(Registro_ejemplo[[#This Row],[Hecho]]="","",Registro_ejemplo[[#This Row],[Hecho]]-Registro_ejemplo[[#This Row],[Por hacer]])</f>
        <v>10</v>
      </c>
      <c r="H9" s="3">
        <f>IF(Registro_ejemplo[[#This Row],[Hecho]]="","",Registro_ejemplo[[#This Row],[Hecho]]-Registro_ejemplo[[#This Row],[En proceso]])</f>
        <v>9</v>
      </c>
      <c r="I9" s="3"/>
      <c r="J9" s="1">
        <f>IF(ISNUMBER(J8),J8+1,Registro_ejemplo[[#This Row],[Por hacer]])</f>
        <v>45190</v>
      </c>
      <c r="K9">
        <f>COUNTIF(Registro_ejemplo[Por hacer],Tareas_ejemplo[[#This Row],[Fecha]])-COUNTIF(Registro_ejemplo[En proceso],Tareas_ejemplo[[#This Row],[Fecha]])+IF(ISNUMBER(K8),K8,0)</f>
        <v>5</v>
      </c>
      <c r="L9">
        <f>COUNTIF(Registro_ejemplo[En proceso],Tareas_ejemplo[[#This Row],[Fecha]])-COUNTIF(Registro_ejemplo[En revisión],Tareas_ejemplo[[#This Row],[Fecha]])+IF(ISNUMBER(L8),L8,0)</f>
        <v>4</v>
      </c>
      <c r="M9">
        <f>COUNTIF(Registro_ejemplo[En revisión],Tareas_ejemplo[[#This Row],[Fecha]])-COUNTIF(Registro_ejemplo[Hecho],Tareas_ejemplo[[#This Row],[Fecha]])+IF(ISNUMBER(M8),M8,0)</f>
        <v>3</v>
      </c>
      <c r="N9" s="3">
        <f>COUNTIF(Registro_ejemplo[Hecho],Tareas_ejemplo[[#This Row],[Fecha]])+IF(ISNUMBER(N8),N8,0)</f>
        <v>1</v>
      </c>
      <c r="O9">
        <v>5</v>
      </c>
      <c r="P9">
        <v>3</v>
      </c>
      <c r="Q9">
        <f>SUM(Tareas_ejemplo[[#This Row],[En proceso]]+Tareas_ejemplo[[#This Row],[En revisión]])</f>
        <v>7</v>
      </c>
    </row>
    <row r="10" spans="1:19" x14ac:dyDescent="0.3">
      <c r="A10" t="s">
        <v>12</v>
      </c>
      <c r="B10" s="1">
        <v>45187</v>
      </c>
      <c r="C10" s="1">
        <v>45188</v>
      </c>
      <c r="D10" s="1">
        <v>45189</v>
      </c>
      <c r="E10" s="1">
        <v>45194</v>
      </c>
      <c r="F10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0" s="3">
        <f>IF(Registro_ejemplo[[#This Row],[Hecho]]="","",Registro_ejemplo[[#This Row],[Hecho]]-Registro_ejemplo[[#This Row],[Por hacer]])</f>
        <v>7</v>
      </c>
      <c r="H10" s="3">
        <f>IF(Registro_ejemplo[[#This Row],[Hecho]]="","",Registro_ejemplo[[#This Row],[Hecho]]-Registro_ejemplo[[#This Row],[En proceso]])</f>
        <v>6</v>
      </c>
      <c r="I10" s="3"/>
      <c r="J10" s="1">
        <f>IF(ISNUMBER(J9),J9+1,Registro_ejemplo[[#This Row],[Por hacer]])</f>
        <v>45191</v>
      </c>
      <c r="K10">
        <f>COUNTIF(Registro_ejemplo[Por hacer],Tareas_ejemplo[[#This Row],[Fecha]])-COUNTIF(Registro_ejemplo[En proceso],Tareas_ejemplo[[#This Row],[Fecha]])+IF(ISNUMBER(K9),K9,0)</f>
        <v>4</v>
      </c>
      <c r="L10">
        <f>COUNTIF(Registro_ejemplo[En proceso],Tareas_ejemplo[[#This Row],[Fecha]])-COUNTIF(Registro_ejemplo[En revisión],Tareas_ejemplo[[#This Row],[Fecha]])+IF(ISNUMBER(L9),L9,0)</f>
        <v>5</v>
      </c>
      <c r="M10">
        <f>COUNTIF(Registro_ejemplo[En revisión],Tareas_ejemplo[[#This Row],[Fecha]])-COUNTIF(Registro_ejemplo[Hecho],Tareas_ejemplo[[#This Row],[Fecha]])+IF(ISNUMBER(M9),M9,0)</f>
        <v>2</v>
      </c>
      <c r="N10" s="3">
        <f>COUNTIF(Registro_ejemplo[Hecho],Tareas_ejemplo[[#This Row],[Fecha]])+IF(ISNUMBER(N9),N9,0)</f>
        <v>2</v>
      </c>
      <c r="O10">
        <v>5</v>
      </c>
      <c r="P10">
        <v>3</v>
      </c>
      <c r="Q10">
        <f>SUM(Tareas_ejemplo[[#This Row],[En proceso]]+Tareas_ejemplo[[#This Row],[En revisión]])</f>
        <v>7</v>
      </c>
    </row>
    <row r="11" spans="1:19" x14ac:dyDescent="0.3">
      <c r="A11" t="s">
        <v>13</v>
      </c>
      <c r="B11" s="1">
        <v>45187</v>
      </c>
      <c r="C11" s="1">
        <v>45189</v>
      </c>
      <c r="D11" s="1">
        <v>45196</v>
      </c>
      <c r="E11" s="1">
        <v>45201</v>
      </c>
      <c r="F11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1" s="3">
        <f>IF(Registro_ejemplo[[#This Row],[Hecho]]="","",Registro_ejemplo[[#This Row],[Hecho]]-Registro_ejemplo[[#This Row],[Por hacer]])</f>
        <v>14</v>
      </c>
      <c r="H11" s="3">
        <f>IF(Registro_ejemplo[[#This Row],[Hecho]]="","",Registro_ejemplo[[#This Row],[Hecho]]-Registro_ejemplo[[#This Row],[En proceso]])</f>
        <v>12</v>
      </c>
      <c r="I11" s="3"/>
      <c r="J11" s="1">
        <f>IF(ISNUMBER(J10),J10+1,Registro_ejemplo[[#This Row],[Por hacer]])</f>
        <v>45192</v>
      </c>
      <c r="K11">
        <f>COUNTIF(Registro_ejemplo[Por hacer],Tareas_ejemplo[[#This Row],[Fecha]])-COUNTIF(Registro_ejemplo[En proceso],Tareas_ejemplo[[#This Row],[Fecha]])+IF(ISNUMBER(K10),K10,0)</f>
        <v>3</v>
      </c>
      <c r="L11">
        <f>COUNTIF(Registro_ejemplo[En proceso],Tareas_ejemplo[[#This Row],[Fecha]])-COUNTIF(Registro_ejemplo[En revisión],Tareas_ejemplo[[#This Row],[Fecha]])+IF(ISNUMBER(L10),L10,0)</f>
        <v>6</v>
      </c>
      <c r="M11">
        <f>COUNTIF(Registro_ejemplo[En revisión],Tareas_ejemplo[[#This Row],[Fecha]])-COUNTIF(Registro_ejemplo[Hecho],Tareas_ejemplo[[#This Row],[Fecha]])+IF(ISNUMBER(M10),M10,0)</f>
        <v>2</v>
      </c>
      <c r="N11" s="3">
        <f>COUNTIF(Registro_ejemplo[Hecho],Tareas_ejemplo[[#This Row],[Fecha]])+IF(ISNUMBER(N10),N10,0)</f>
        <v>2</v>
      </c>
      <c r="O11">
        <v>5</v>
      </c>
      <c r="P11">
        <v>3</v>
      </c>
      <c r="Q11">
        <f>SUM(Tareas_ejemplo[[#This Row],[En proceso]]+Tareas_ejemplo[[#This Row],[En revisión]])</f>
        <v>8</v>
      </c>
    </row>
    <row r="12" spans="1:19" x14ac:dyDescent="0.3">
      <c r="A12" t="s">
        <v>14</v>
      </c>
      <c r="B12" s="1">
        <v>45187</v>
      </c>
      <c r="C12" s="1">
        <v>45189</v>
      </c>
      <c r="D12" s="1">
        <v>45193</v>
      </c>
      <c r="E12" s="1">
        <v>45195</v>
      </c>
      <c r="F12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2" s="3">
        <f>IF(Registro_ejemplo[[#This Row],[Hecho]]="","",Registro_ejemplo[[#This Row],[Hecho]]-Registro_ejemplo[[#This Row],[Por hacer]])</f>
        <v>8</v>
      </c>
      <c r="H12" s="3">
        <f>IF(Registro_ejemplo[[#This Row],[Hecho]]="","",Registro_ejemplo[[#This Row],[Hecho]]-Registro_ejemplo[[#This Row],[En proceso]])</f>
        <v>6</v>
      </c>
      <c r="I12" s="3"/>
      <c r="J12" s="1">
        <f>IF(ISNUMBER(J11),J11+1,Registro_ejemplo[[#This Row],[Por hacer]])</f>
        <v>45193</v>
      </c>
      <c r="K12">
        <f>COUNTIF(Registro_ejemplo[Por hacer],Tareas_ejemplo[[#This Row],[Fecha]])-COUNTIF(Registro_ejemplo[En proceso],Tareas_ejemplo[[#This Row],[Fecha]])+IF(ISNUMBER(K11),K11,0)</f>
        <v>3</v>
      </c>
      <c r="L12">
        <f>COUNTIF(Registro_ejemplo[En proceso],Tareas_ejemplo[[#This Row],[Fecha]])-COUNTIF(Registro_ejemplo[En revisión],Tareas_ejemplo[[#This Row],[Fecha]])+IF(ISNUMBER(L11),L11,0)</f>
        <v>4</v>
      </c>
      <c r="M12">
        <f>COUNTIF(Registro_ejemplo[En revisión],Tareas_ejemplo[[#This Row],[Fecha]])-COUNTIF(Registro_ejemplo[Hecho],Tareas_ejemplo[[#This Row],[Fecha]])+IF(ISNUMBER(M11),M11,0)</f>
        <v>3</v>
      </c>
      <c r="N12" s="3">
        <f>COUNTIF(Registro_ejemplo[Hecho],Tareas_ejemplo[[#This Row],[Fecha]])+IF(ISNUMBER(N11),N11,0)</f>
        <v>3</v>
      </c>
      <c r="O12">
        <v>5</v>
      </c>
      <c r="P12">
        <v>3</v>
      </c>
      <c r="Q12">
        <f>SUM(Tareas_ejemplo[[#This Row],[En proceso]]+Tareas_ejemplo[[#This Row],[En revisión]])</f>
        <v>7</v>
      </c>
    </row>
    <row r="13" spans="1:19" x14ac:dyDescent="0.3">
      <c r="A13" t="s">
        <v>16</v>
      </c>
      <c r="B13" s="1">
        <v>45187</v>
      </c>
      <c r="C13" s="1">
        <v>45189</v>
      </c>
      <c r="D13" s="1">
        <v>45194</v>
      </c>
      <c r="E13" s="1">
        <v>45198</v>
      </c>
      <c r="F13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3" s="3">
        <f>IF(Registro_ejemplo[[#This Row],[Hecho]]="","",Registro_ejemplo[[#This Row],[Hecho]]-Registro_ejemplo[[#This Row],[Por hacer]])</f>
        <v>11</v>
      </c>
      <c r="H13" s="3">
        <f>IF(Registro_ejemplo[[#This Row],[Hecho]]="","",Registro_ejemplo[[#This Row],[Hecho]]-Registro_ejemplo[[#This Row],[En proceso]])</f>
        <v>9</v>
      </c>
      <c r="I13" s="3"/>
      <c r="J13" s="1">
        <f>IF(ISNUMBER(J12),J12+1,Registro_ejemplo[[#This Row],[Por hacer]])</f>
        <v>45194</v>
      </c>
      <c r="K13">
        <f>COUNTIF(Registro_ejemplo[Por hacer],Tareas_ejemplo[[#This Row],[Fecha]])-COUNTIF(Registro_ejemplo[En proceso],Tareas_ejemplo[[#This Row],[Fecha]])+IF(ISNUMBER(K12),K12,0)</f>
        <v>3</v>
      </c>
      <c r="L13">
        <f>COUNTIF(Registro_ejemplo[En proceso],Tareas_ejemplo[[#This Row],[Fecha]])-COUNTIF(Registro_ejemplo[En revisión],Tareas_ejemplo[[#This Row],[Fecha]])+IF(ISNUMBER(L12),L12,0)</f>
        <v>3</v>
      </c>
      <c r="M13">
        <f>COUNTIF(Registro_ejemplo[En revisión],Tareas_ejemplo[[#This Row],[Fecha]])-COUNTIF(Registro_ejemplo[Hecho],Tareas_ejemplo[[#This Row],[Fecha]])+IF(ISNUMBER(M12),M12,0)</f>
        <v>3</v>
      </c>
      <c r="N13" s="3">
        <f>COUNTIF(Registro_ejemplo[Hecho],Tareas_ejemplo[[#This Row],[Fecha]])+IF(ISNUMBER(N12),N12,0)</f>
        <v>4</v>
      </c>
      <c r="O13">
        <v>5</v>
      </c>
      <c r="P13">
        <v>3</v>
      </c>
      <c r="Q13">
        <f>SUM(Tareas_ejemplo[[#This Row],[En proceso]]+Tareas_ejemplo[[#This Row],[En revisión]])</f>
        <v>6</v>
      </c>
    </row>
    <row r="14" spans="1:19" x14ac:dyDescent="0.3">
      <c r="A14" t="s">
        <v>17</v>
      </c>
      <c r="B14" s="1">
        <v>45187</v>
      </c>
      <c r="C14" s="1">
        <v>45191</v>
      </c>
      <c r="D14" s="1">
        <v>45197</v>
      </c>
      <c r="E14" s="1">
        <v>45201</v>
      </c>
      <c r="F14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4" s="3">
        <f>IF(Registro_ejemplo[[#This Row],[Hecho]]="","",Registro_ejemplo[[#This Row],[Hecho]]-Registro_ejemplo[[#This Row],[Por hacer]])</f>
        <v>14</v>
      </c>
      <c r="H14" s="3">
        <f>IF(Registro_ejemplo[[#This Row],[Hecho]]="","",Registro_ejemplo[[#This Row],[Hecho]]-Registro_ejemplo[[#This Row],[En proceso]])</f>
        <v>10</v>
      </c>
      <c r="I14" s="3"/>
      <c r="J14" s="1">
        <f>IF(ISNUMBER(J13),J13+1,Registro_ejemplo[[#This Row],[Por hacer]])</f>
        <v>45195</v>
      </c>
      <c r="K14">
        <f>COUNTIF(Registro_ejemplo[Por hacer],Tareas_ejemplo[[#This Row],[Fecha]])-COUNTIF(Registro_ejemplo[En proceso],Tareas_ejemplo[[#This Row],[Fecha]])+IF(ISNUMBER(K13),K13,0)</f>
        <v>7</v>
      </c>
      <c r="L14">
        <f>COUNTIF(Registro_ejemplo[En proceso],Tareas_ejemplo[[#This Row],[Fecha]])-COUNTIF(Registro_ejemplo[En revisión],Tareas_ejemplo[[#This Row],[Fecha]])+IF(ISNUMBER(L13),L13,0)</f>
        <v>3</v>
      </c>
      <c r="M14">
        <f>COUNTIF(Registro_ejemplo[En revisión],Tareas_ejemplo[[#This Row],[Fecha]])-COUNTIF(Registro_ejemplo[Hecho],Tareas_ejemplo[[#This Row],[Fecha]])+IF(ISNUMBER(M13),M13,0)</f>
        <v>2</v>
      </c>
      <c r="N14" s="3">
        <f>COUNTIF(Registro_ejemplo[Hecho],Tareas_ejemplo[[#This Row],[Fecha]])+IF(ISNUMBER(N13),N13,0)</f>
        <v>5</v>
      </c>
      <c r="O14">
        <v>5</v>
      </c>
      <c r="P14">
        <v>3</v>
      </c>
      <c r="Q14">
        <f>SUM(Tareas_ejemplo[[#This Row],[En proceso]]+Tareas_ejemplo[[#This Row],[En revisión]])</f>
        <v>5</v>
      </c>
    </row>
    <row r="15" spans="1:19" x14ac:dyDescent="0.3">
      <c r="A15" t="s">
        <v>18</v>
      </c>
      <c r="B15" s="1">
        <v>45189</v>
      </c>
      <c r="C15" s="1">
        <v>45192</v>
      </c>
      <c r="D15" s="1">
        <v>45200</v>
      </c>
      <c r="E15" s="1">
        <v>45203</v>
      </c>
      <c r="F15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5" s="3">
        <f>IF(Registro_ejemplo[[#This Row],[Hecho]]="","",Registro_ejemplo[[#This Row],[Hecho]]-Registro_ejemplo[[#This Row],[Por hacer]])</f>
        <v>14</v>
      </c>
      <c r="H15" s="3">
        <f>IF(Registro_ejemplo[[#This Row],[Hecho]]="","",Registro_ejemplo[[#This Row],[Hecho]]-Registro_ejemplo[[#This Row],[En proceso]])</f>
        <v>11</v>
      </c>
      <c r="I15" s="3"/>
      <c r="J15" s="1">
        <f>IF(ISNUMBER(J14),J14+1,Registro_ejemplo[[#This Row],[Por hacer]])</f>
        <v>45196</v>
      </c>
      <c r="K15">
        <f>COUNTIF(Registro_ejemplo[Por hacer],Tareas_ejemplo[[#This Row],[Fecha]])-COUNTIF(Registro_ejemplo[En proceso],Tareas_ejemplo[[#This Row],[Fecha]])+IF(ISNUMBER(K14),K14,0)</f>
        <v>8</v>
      </c>
      <c r="L15">
        <f>COUNTIF(Registro_ejemplo[En proceso],Tareas_ejemplo[[#This Row],[Fecha]])-COUNTIF(Registro_ejemplo[En revisión],Tareas_ejemplo[[#This Row],[Fecha]])+IF(ISNUMBER(L14),L14,0)</f>
        <v>6</v>
      </c>
      <c r="M15">
        <f>COUNTIF(Registro_ejemplo[En revisión],Tareas_ejemplo[[#This Row],[Fecha]])-COUNTIF(Registro_ejemplo[Hecho],Tareas_ejemplo[[#This Row],[Fecha]])+IF(ISNUMBER(M14),M14,0)</f>
        <v>3</v>
      </c>
      <c r="N15" s="3">
        <f>COUNTIF(Registro_ejemplo[Hecho],Tareas_ejemplo[[#This Row],[Fecha]])+IF(ISNUMBER(N14),N14,0)</f>
        <v>5</v>
      </c>
      <c r="O15">
        <v>5</v>
      </c>
      <c r="P15">
        <v>3</v>
      </c>
      <c r="Q15">
        <f>SUM(Tareas_ejemplo[[#This Row],[En proceso]]+Tareas_ejemplo[[#This Row],[En revisión]])</f>
        <v>9</v>
      </c>
    </row>
    <row r="16" spans="1:19" x14ac:dyDescent="0.3">
      <c r="A16" t="s">
        <v>19</v>
      </c>
      <c r="B16" s="1">
        <v>45189</v>
      </c>
      <c r="C16" s="1">
        <v>45196</v>
      </c>
      <c r="D16" s="1">
        <v>45202</v>
      </c>
      <c r="E16" s="1">
        <v>45204</v>
      </c>
      <c r="F16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6" s="3">
        <f>IF(Registro_ejemplo[[#This Row],[Hecho]]="","",Registro_ejemplo[[#This Row],[Hecho]]-Registro_ejemplo[[#This Row],[Por hacer]])</f>
        <v>15</v>
      </c>
      <c r="H16" s="3">
        <f>IF(Registro_ejemplo[[#This Row],[Hecho]]="","",Registro_ejemplo[[#This Row],[Hecho]]-Registro_ejemplo[[#This Row],[En proceso]])</f>
        <v>8</v>
      </c>
      <c r="I16" s="3"/>
      <c r="J16" s="1">
        <f>IF(ISNUMBER(J15),J15+1,Registro_ejemplo[[#This Row],[Por hacer]])</f>
        <v>45197</v>
      </c>
      <c r="K16">
        <f>COUNTIF(Registro_ejemplo[Por hacer],Tareas_ejemplo[[#This Row],[Fecha]])-COUNTIF(Registro_ejemplo[En proceso],Tareas_ejemplo[[#This Row],[Fecha]])+IF(ISNUMBER(K15),K15,0)</f>
        <v>8</v>
      </c>
      <c r="L16">
        <f>COUNTIF(Registro_ejemplo[En proceso],Tareas_ejemplo[[#This Row],[Fecha]])-COUNTIF(Registro_ejemplo[En revisión],Tareas_ejemplo[[#This Row],[Fecha]])+IF(ISNUMBER(L15),L15,0)</f>
        <v>5</v>
      </c>
      <c r="M16">
        <f>COUNTIF(Registro_ejemplo[En revisión],Tareas_ejemplo[[#This Row],[Fecha]])-COUNTIF(Registro_ejemplo[Hecho],Tareas_ejemplo[[#This Row],[Fecha]])+IF(ISNUMBER(M15),M15,0)</f>
        <v>3</v>
      </c>
      <c r="N16" s="3">
        <f>COUNTIF(Registro_ejemplo[Hecho],Tareas_ejemplo[[#This Row],[Fecha]])+IF(ISNUMBER(N15),N15,0)</f>
        <v>6</v>
      </c>
      <c r="O16">
        <v>6</v>
      </c>
      <c r="P16">
        <v>3</v>
      </c>
      <c r="Q16">
        <f>SUM(Tareas_ejemplo[[#This Row],[En proceso]]+Tareas_ejemplo[[#This Row],[En revisión]])</f>
        <v>8</v>
      </c>
    </row>
    <row r="17" spans="1:29" x14ac:dyDescent="0.3">
      <c r="A17" t="s">
        <v>20</v>
      </c>
      <c r="B17" s="1">
        <v>45189</v>
      </c>
      <c r="C17" s="1">
        <v>45196</v>
      </c>
      <c r="D17" s="1">
        <v>45204</v>
      </c>
      <c r="E17" s="1">
        <v>45207</v>
      </c>
      <c r="F17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7" s="3">
        <f>IF(Registro_ejemplo[[#This Row],[Hecho]]="","",Registro_ejemplo[[#This Row],[Hecho]]-Registro_ejemplo[[#This Row],[Por hacer]])</f>
        <v>18</v>
      </c>
      <c r="H17" s="3">
        <f>IF(Registro_ejemplo[[#This Row],[Hecho]]="","",Registro_ejemplo[[#This Row],[Hecho]]-Registro_ejemplo[[#This Row],[En proceso]])</f>
        <v>11</v>
      </c>
      <c r="I17" s="3"/>
      <c r="J17" s="1">
        <f>IF(ISNUMBER(J16),J16+1,Registro_ejemplo[[#This Row],[Por hacer]])</f>
        <v>45198</v>
      </c>
      <c r="K17">
        <f>COUNTIF(Registro_ejemplo[Por hacer],Tareas_ejemplo[[#This Row],[Fecha]])-COUNTIF(Registro_ejemplo[En proceso],Tareas_ejemplo[[#This Row],[Fecha]])+IF(ISNUMBER(K16),K16,0)</f>
        <v>8</v>
      </c>
      <c r="L17">
        <f>COUNTIF(Registro_ejemplo[En proceso],Tareas_ejemplo[[#This Row],[Fecha]])-COUNTIF(Registro_ejemplo[En revisión],Tareas_ejemplo[[#This Row],[Fecha]])+IF(ISNUMBER(L16),L16,0)</f>
        <v>5</v>
      </c>
      <c r="M17">
        <f>COUNTIF(Registro_ejemplo[En revisión],Tareas_ejemplo[[#This Row],[Fecha]])-COUNTIF(Registro_ejemplo[Hecho],Tareas_ejemplo[[#This Row],[Fecha]])+IF(ISNUMBER(M16),M16,0)</f>
        <v>2</v>
      </c>
      <c r="N17" s="3">
        <f>COUNTIF(Registro_ejemplo[Hecho],Tareas_ejemplo[[#This Row],[Fecha]])+IF(ISNUMBER(N16),N16,0)</f>
        <v>7</v>
      </c>
      <c r="O17">
        <v>6</v>
      </c>
      <c r="P17">
        <v>3</v>
      </c>
      <c r="Q17">
        <f>SUM(Tareas_ejemplo[[#This Row],[En proceso]]+Tareas_ejemplo[[#This Row],[En revisión]])</f>
        <v>7</v>
      </c>
    </row>
    <row r="18" spans="1:29" x14ac:dyDescent="0.3">
      <c r="A18" t="s">
        <v>21</v>
      </c>
      <c r="B18" s="1">
        <v>45189</v>
      </c>
      <c r="C18" s="1">
        <v>45202</v>
      </c>
      <c r="D18" s="1">
        <v>45207</v>
      </c>
      <c r="E18" s="1">
        <v>45209</v>
      </c>
      <c r="F18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8" s="3">
        <f>IF(Registro_ejemplo[[#This Row],[Hecho]]="","",Registro_ejemplo[[#This Row],[Hecho]]-Registro_ejemplo[[#This Row],[Por hacer]])</f>
        <v>20</v>
      </c>
      <c r="H18" s="3">
        <f>IF(Registro_ejemplo[[#This Row],[Hecho]]="","",Registro_ejemplo[[#This Row],[Hecho]]-Registro_ejemplo[[#This Row],[En proceso]])</f>
        <v>7</v>
      </c>
      <c r="I18" s="3"/>
      <c r="J18" s="1">
        <f>IF(ISNUMBER(J17),J17+1,Registro_ejemplo[[#This Row],[Por hacer]])</f>
        <v>45199</v>
      </c>
      <c r="K18">
        <f>COUNTIF(Registro_ejemplo[Por hacer],Tareas_ejemplo[[#This Row],[Fecha]])-COUNTIF(Registro_ejemplo[En proceso],Tareas_ejemplo[[#This Row],[Fecha]])+IF(ISNUMBER(K17),K17,0)</f>
        <v>7</v>
      </c>
      <c r="L18">
        <f>COUNTIF(Registro_ejemplo[En proceso],Tareas_ejemplo[[#This Row],[Fecha]])-COUNTIF(Registro_ejemplo[En revisión],Tareas_ejemplo[[#This Row],[Fecha]])+IF(ISNUMBER(L17),L17,0)</f>
        <v>6</v>
      </c>
      <c r="M18">
        <f>COUNTIF(Registro_ejemplo[En revisión],Tareas_ejemplo[[#This Row],[Fecha]])-COUNTIF(Registro_ejemplo[Hecho],Tareas_ejemplo[[#This Row],[Fecha]])+IF(ISNUMBER(M17),M17,0)</f>
        <v>2</v>
      </c>
      <c r="N18" s="3">
        <f>COUNTIF(Registro_ejemplo[Hecho],Tareas_ejemplo[[#This Row],[Fecha]])+IF(ISNUMBER(N17),N17,0)</f>
        <v>7</v>
      </c>
      <c r="O18">
        <v>6</v>
      </c>
      <c r="P18">
        <v>3</v>
      </c>
      <c r="Q18">
        <f>SUM(Tareas_ejemplo[[#This Row],[En proceso]]+Tareas_ejemplo[[#This Row],[En revisión]])</f>
        <v>8</v>
      </c>
    </row>
    <row r="19" spans="1:29" x14ac:dyDescent="0.3">
      <c r="A19" t="s">
        <v>22</v>
      </c>
      <c r="B19" s="1">
        <v>45195</v>
      </c>
      <c r="C19" s="1">
        <v>45196</v>
      </c>
      <c r="D19" s="1">
        <v>45203</v>
      </c>
      <c r="E19" s="1">
        <v>45205</v>
      </c>
      <c r="F19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19" s="3">
        <f>IF(Registro_ejemplo[[#This Row],[Hecho]]="","",Registro_ejemplo[[#This Row],[Hecho]]-Registro_ejemplo[[#This Row],[Por hacer]])</f>
        <v>10</v>
      </c>
      <c r="H19" s="3">
        <f>IF(Registro_ejemplo[[#This Row],[Hecho]]="","",Registro_ejemplo[[#This Row],[Hecho]]-Registro_ejemplo[[#This Row],[En proceso]])</f>
        <v>9</v>
      </c>
      <c r="I19" s="3"/>
      <c r="J19" s="1">
        <f>IF(ISNUMBER(J18),J18+1,Registro_ejemplo[[#This Row],[Por hacer]])</f>
        <v>45200</v>
      </c>
      <c r="K19">
        <f>COUNTIF(Registro_ejemplo[Por hacer],Tareas_ejemplo[[#This Row],[Fecha]])-COUNTIF(Registro_ejemplo[En proceso],Tareas_ejemplo[[#This Row],[Fecha]])+IF(ISNUMBER(K18),K18,0)</f>
        <v>7</v>
      </c>
      <c r="L19">
        <f>COUNTIF(Registro_ejemplo[En proceso],Tareas_ejemplo[[#This Row],[Fecha]])-COUNTIF(Registro_ejemplo[En revisión],Tareas_ejemplo[[#This Row],[Fecha]])+IF(ISNUMBER(L18),L18,0)</f>
        <v>5</v>
      </c>
      <c r="M19">
        <f>COUNTIF(Registro_ejemplo[En revisión],Tareas_ejemplo[[#This Row],[Fecha]])-COUNTIF(Registro_ejemplo[Hecho],Tareas_ejemplo[[#This Row],[Fecha]])+IF(ISNUMBER(M18),M18,0)</f>
        <v>3</v>
      </c>
      <c r="N19" s="3">
        <f>COUNTIF(Registro_ejemplo[Hecho],Tareas_ejemplo[[#This Row],[Fecha]])+IF(ISNUMBER(N18),N18,0)</f>
        <v>7</v>
      </c>
      <c r="O19">
        <v>6</v>
      </c>
      <c r="P19">
        <v>3</v>
      </c>
      <c r="Q19">
        <f>SUM(Tareas_ejemplo[[#This Row],[En proceso]]+Tareas_ejemplo[[#This Row],[En revisión]])</f>
        <v>8</v>
      </c>
    </row>
    <row r="20" spans="1:29" x14ac:dyDescent="0.3">
      <c r="A20" t="s">
        <v>23</v>
      </c>
      <c r="B20" s="1">
        <v>45195</v>
      </c>
      <c r="C20" s="1">
        <v>45196</v>
      </c>
      <c r="D20" s="1">
        <v>45204</v>
      </c>
      <c r="E20" s="1">
        <v>45207</v>
      </c>
      <c r="F20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0" s="3">
        <f>IF(Registro_ejemplo[[#This Row],[Hecho]]="","",Registro_ejemplo[[#This Row],[Hecho]]-Registro_ejemplo[[#This Row],[Por hacer]])</f>
        <v>12</v>
      </c>
      <c r="H20" s="3">
        <f>IF(Registro_ejemplo[[#This Row],[Hecho]]="","",Registro_ejemplo[[#This Row],[Hecho]]-Registro_ejemplo[[#This Row],[En proceso]])</f>
        <v>11</v>
      </c>
      <c r="I20" s="3"/>
      <c r="J20" s="1">
        <f>IF(ISNUMBER(J19),J19+1,Registro_ejemplo[[#This Row],[Por hacer]])</f>
        <v>45201</v>
      </c>
      <c r="K20">
        <f>COUNTIF(Registro_ejemplo[Por hacer],Tareas_ejemplo[[#This Row],[Fecha]])-COUNTIF(Registro_ejemplo[En proceso],Tareas_ejemplo[[#This Row],[Fecha]])+IF(ISNUMBER(K19),K19,0)</f>
        <v>7</v>
      </c>
      <c r="L20">
        <f>COUNTIF(Registro_ejemplo[En proceso],Tareas_ejemplo[[#This Row],[Fecha]])-COUNTIF(Registro_ejemplo[En revisión],Tareas_ejemplo[[#This Row],[Fecha]])+IF(ISNUMBER(L19),L19,0)</f>
        <v>5</v>
      </c>
      <c r="M20">
        <f>COUNTIF(Registro_ejemplo[En revisión],Tareas_ejemplo[[#This Row],[Fecha]])-COUNTIF(Registro_ejemplo[Hecho],Tareas_ejemplo[[#This Row],[Fecha]])+IF(ISNUMBER(M19),M19,0)</f>
        <v>1</v>
      </c>
      <c r="N20" s="3">
        <f>COUNTIF(Registro_ejemplo[Hecho],Tareas_ejemplo[[#This Row],[Fecha]])+IF(ISNUMBER(N19),N19,0)</f>
        <v>9</v>
      </c>
      <c r="O20">
        <v>6</v>
      </c>
      <c r="P20">
        <v>3</v>
      </c>
      <c r="Q20">
        <f>SUM(Tareas_ejemplo[[#This Row],[En proceso]]+Tareas_ejemplo[[#This Row],[En revisión]])</f>
        <v>6</v>
      </c>
    </row>
    <row r="21" spans="1:29" x14ac:dyDescent="0.3">
      <c r="A21" t="s">
        <v>24</v>
      </c>
      <c r="B21" s="1">
        <v>45195</v>
      </c>
      <c r="C21" s="1">
        <v>45199</v>
      </c>
      <c r="D21" s="1">
        <v>45205</v>
      </c>
      <c r="E21" s="1">
        <v>45207</v>
      </c>
      <c r="F21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1" s="3">
        <f>IF(Registro_ejemplo[[#This Row],[Hecho]]="","",Registro_ejemplo[[#This Row],[Hecho]]-Registro_ejemplo[[#This Row],[Por hacer]])</f>
        <v>12</v>
      </c>
      <c r="H21" s="3">
        <f>IF(Registro_ejemplo[[#This Row],[Hecho]]="","",Registro_ejemplo[[#This Row],[Hecho]]-Registro_ejemplo[[#This Row],[En proceso]])</f>
        <v>8</v>
      </c>
      <c r="I21" s="3"/>
      <c r="J21" s="1">
        <f>IF(ISNUMBER(J20),J20+1,Registro_ejemplo[[#This Row],[Por hacer]])</f>
        <v>45202</v>
      </c>
      <c r="K21">
        <f>COUNTIF(Registro_ejemplo[Por hacer],Tareas_ejemplo[[#This Row],[Fecha]])-COUNTIF(Registro_ejemplo[En proceso],Tareas_ejemplo[[#This Row],[Fecha]])+IF(ISNUMBER(K20),K20,0)</f>
        <v>6</v>
      </c>
      <c r="L21">
        <f>COUNTIF(Registro_ejemplo[En proceso],Tareas_ejemplo[[#This Row],[Fecha]])-COUNTIF(Registro_ejemplo[En revisión],Tareas_ejemplo[[#This Row],[Fecha]])+IF(ISNUMBER(L20),L20,0)</f>
        <v>5</v>
      </c>
      <c r="M21">
        <f>COUNTIF(Registro_ejemplo[En revisión],Tareas_ejemplo[[#This Row],[Fecha]])-COUNTIF(Registro_ejemplo[Hecho],Tareas_ejemplo[[#This Row],[Fecha]])+IF(ISNUMBER(M20),M20,0)</f>
        <v>2</v>
      </c>
      <c r="N21" s="3">
        <f>COUNTIF(Registro_ejemplo[Hecho],Tareas_ejemplo[[#This Row],[Fecha]])+IF(ISNUMBER(N20),N20,0)</f>
        <v>9</v>
      </c>
      <c r="O21">
        <v>6</v>
      </c>
      <c r="P21">
        <v>3</v>
      </c>
      <c r="Q21">
        <f>SUM(Tareas_ejemplo[[#This Row],[En proceso]]+Tareas_ejemplo[[#This Row],[En revisión]])</f>
        <v>7</v>
      </c>
    </row>
    <row r="22" spans="1:29" x14ac:dyDescent="0.3">
      <c r="A22" t="s">
        <v>25</v>
      </c>
      <c r="B22" s="1">
        <v>45195</v>
      </c>
      <c r="C22" s="1">
        <v>45203</v>
      </c>
      <c r="D22" s="1">
        <v>45207</v>
      </c>
      <c r="E22" s="1">
        <v>45208</v>
      </c>
      <c r="F22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2" s="3">
        <f>IF(Registro_ejemplo[[#This Row],[Hecho]]="","",Registro_ejemplo[[#This Row],[Hecho]]-Registro_ejemplo[[#This Row],[Por hacer]])</f>
        <v>13</v>
      </c>
      <c r="H22" s="3">
        <f>IF(Registro_ejemplo[[#This Row],[Hecho]]="","",Registro_ejemplo[[#This Row],[Hecho]]-Registro_ejemplo[[#This Row],[En proceso]])</f>
        <v>5</v>
      </c>
      <c r="I22" s="3"/>
      <c r="J22" s="1">
        <f>IF(ISNUMBER(J21),J21+1,Registro_ejemplo[[#This Row],[Por hacer]])</f>
        <v>45203</v>
      </c>
      <c r="K22">
        <f>COUNTIF(Registro_ejemplo[Por hacer],Tareas_ejemplo[[#This Row],[Fecha]])-COUNTIF(Registro_ejemplo[En proceso],Tareas_ejemplo[[#This Row],[Fecha]])+IF(ISNUMBER(K21),K21,0)</f>
        <v>5</v>
      </c>
      <c r="L22">
        <f>COUNTIF(Registro_ejemplo[En proceso],Tareas_ejemplo[[#This Row],[Fecha]])-COUNTIF(Registro_ejemplo[En revisión],Tareas_ejemplo[[#This Row],[Fecha]])+IF(ISNUMBER(L21),L21,0)</f>
        <v>5</v>
      </c>
      <c r="M22">
        <f>COUNTIF(Registro_ejemplo[En revisión],Tareas_ejemplo[[#This Row],[Fecha]])-COUNTIF(Registro_ejemplo[Hecho],Tareas_ejemplo[[#This Row],[Fecha]])+IF(ISNUMBER(M21),M21,0)</f>
        <v>2</v>
      </c>
      <c r="N22" s="3">
        <f>COUNTIF(Registro_ejemplo[Hecho],Tareas_ejemplo[[#This Row],[Fecha]])+IF(ISNUMBER(N21),N21,0)</f>
        <v>10</v>
      </c>
      <c r="O22">
        <v>6</v>
      </c>
      <c r="P22">
        <v>3</v>
      </c>
      <c r="Q22">
        <f>SUM(Tareas_ejemplo[[#This Row],[En proceso]]+Tareas_ejemplo[[#This Row],[En revisión]])</f>
        <v>7</v>
      </c>
    </row>
    <row r="23" spans="1:29" x14ac:dyDescent="0.3">
      <c r="A23" t="s">
        <v>26</v>
      </c>
      <c r="B23" s="1">
        <v>45196</v>
      </c>
      <c r="C23" s="1">
        <v>45205</v>
      </c>
      <c r="D23" s="1">
        <v>45208</v>
      </c>
      <c r="E23" s="1">
        <v>45210</v>
      </c>
      <c r="F23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3" s="3">
        <f>IF(Registro_ejemplo[[#This Row],[Hecho]]="","",Registro_ejemplo[[#This Row],[Hecho]]-Registro_ejemplo[[#This Row],[Por hacer]])</f>
        <v>14</v>
      </c>
      <c r="H23" s="3">
        <f>IF(Registro_ejemplo[[#This Row],[Hecho]]="","",Registro_ejemplo[[#This Row],[Hecho]]-Registro_ejemplo[[#This Row],[En proceso]])</f>
        <v>5</v>
      </c>
      <c r="I23" s="3"/>
      <c r="J23" s="1">
        <f>IF(ISNUMBER(J22),J22+1,Registro_ejemplo[[#This Row],[Por hacer]])</f>
        <v>45204</v>
      </c>
      <c r="K23">
        <f>COUNTIF(Registro_ejemplo[Por hacer],Tareas_ejemplo[[#This Row],[Fecha]])-COUNTIF(Registro_ejemplo[En proceso],Tareas_ejemplo[[#This Row],[Fecha]])+IF(ISNUMBER(K22),K22,0)</f>
        <v>5</v>
      </c>
      <c r="L23">
        <f>COUNTIF(Registro_ejemplo[En proceso],Tareas_ejemplo[[#This Row],[Fecha]])-COUNTIF(Registro_ejemplo[En revisión],Tareas_ejemplo[[#This Row],[Fecha]])+IF(ISNUMBER(L22),L22,0)</f>
        <v>3</v>
      </c>
      <c r="M23">
        <f>COUNTIF(Registro_ejemplo[En revisión],Tareas_ejemplo[[#This Row],[Fecha]])-COUNTIF(Registro_ejemplo[Hecho],Tareas_ejemplo[[#This Row],[Fecha]])+IF(ISNUMBER(M22),M22,0)</f>
        <v>3</v>
      </c>
      <c r="N23" s="3">
        <f>COUNTIF(Registro_ejemplo[Hecho],Tareas_ejemplo[[#This Row],[Fecha]])+IF(ISNUMBER(N22),N22,0)</f>
        <v>11</v>
      </c>
      <c r="O23">
        <v>6</v>
      </c>
      <c r="P23">
        <v>3</v>
      </c>
      <c r="Q23">
        <f>SUM(Tareas_ejemplo[[#This Row],[En proceso]]+Tareas_ejemplo[[#This Row],[En revisión]])</f>
        <v>6</v>
      </c>
    </row>
    <row r="24" spans="1:29" x14ac:dyDescent="0.3">
      <c r="A24" t="s">
        <v>27</v>
      </c>
      <c r="B24" s="1">
        <v>45196</v>
      </c>
      <c r="C24" s="1">
        <v>45205</v>
      </c>
      <c r="D24" s="1">
        <v>45208</v>
      </c>
      <c r="E24" s="1">
        <v>45210</v>
      </c>
      <c r="F24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4" s="3">
        <f>IF(Registro_ejemplo[[#This Row],[Hecho]]="","",Registro_ejemplo[[#This Row],[Hecho]]-Registro_ejemplo[[#This Row],[Por hacer]])</f>
        <v>14</v>
      </c>
      <c r="H24" s="3">
        <f>IF(Registro_ejemplo[[#This Row],[Hecho]]="","",Registro_ejemplo[[#This Row],[Hecho]]-Registro_ejemplo[[#This Row],[En proceso]])</f>
        <v>5</v>
      </c>
      <c r="I24" s="3"/>
      <c r="J24" s="1">
        <f>IF(ISNUMBER(J23),J23+1,Registro_ejemplo[[#This Row],[Por hacer]])</f>
        <v>45205</v>
      </c>
      <c r="K24">
        <f>COUNTIF(Registro_ejemplo[Por hacer],Tareas_ejemplo[[#This Row],[Fecha]])-COUNTIF(Registro_ejemplo[En proceso],Tareas_ejemplo[[#This Row],[Fecha]])+IF(ISNUMBER(K23),K23,0)</f>
        <v>3</v>
      </c>
      <c r="L24">
        <f>COUNTIF(Registro_ejemplo[En proceso],Tareas_ejemplo[[#This Row],[Fecha]])-COUNTIF(Registro_ejemplo[En revisión],Tareas_ejemplo[[#This Row],[Fecha]])+IF(ISNUMBER(L23),L23,0)</f>
        <v>4</v>
      </c>
      <c r="M24">
        <f>COUNTIF(Registro_ejemplo[En revisión],Tareas_ejemplo[[#This Row],[Fecha]])-COUNTIF(Registro_ejemplo[Hecho],Tareas_ejemplo[[#This Row],[Fecha]])+IF(ISNUMBER(M23),M23,0)</f>
        <v>3</v>
      </c>
      <c r="N24" s="3">
        <f>COUNTIF(Registro_ejemplo[Hecho],Tareas_ejemplo[[#This Row],[Fecha]])+IF(ISNUMBER(N23),N23,0)</f>
        <v>12</v>
      </c>
      <c r="O24">
        <v>6</v>
      </c>
      <c r="P24">
        <v>3</v>
      </c>
      <c r="Q24">
        <f>SUM(Tareas_ejemplo[[#This Row],[En proceso]]+Tareas_ejemplo[[#This Row],[En revisión]])</f>
        <v>7</v>
      </c>
    </row>
    <row r="25" spans="1:29" x14ac:dyDescent="0.3">
      <c r="A25" t="s">
        <v>28</v>
      </c>
      <c r="B25" s="1">
        <v>45196</v>
      </c>
      <c r="C25" s="1">
        <v>45206</v>
      </c>
      <c r="D25" s="1">
        <v>45210</v>
      </c>
      <c r="E25" s="1">
        <v>45212</v>
      </c>
      <c r="F25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5" s="3">
        <f>IF(Registro_ejemplo[[#This Row],[Hecho]]="","",Registro_ejemplo[[#This Row],[Hecho]]-Registro_ejemplo[[#This Row],[Por hacer]])</f>
        <v>16</v>
      </c>
      <c r="H25" s="3">
        <f>IF(Registro_ejemplo[[#This Row],[Hecho]]="","",Registro_ejemplo[[#This Row],[Hecho]]-Registro_ejemplo[[#This Row],[En proceso]])</f>
        <v>6</v>
      </c>
      <c r="I25" s="3"/>
      <c r="J25" s="1">
        <f>IF(ISNUMBER(J24),J24+1,Registro_ejemplo[[#This Row],[Por hacer]])</f>
        <v>45206</v>
      </c>
      <c r="K25">
        <f>COUNTIF(Registro_ejemplo[Por hacer],Tareas_ejemplo[[#This Row],[Fecha]])-COUNTIF(Registro_ejemplo[En proceso],Tareas_ejemplo[[#This Row],[Fecha]])+IF(ISNUMBER(K24),K24,0)</f>
        <v>2</v>
      </c>
      <c r="L25">
        <f>COUNTIF(Registro_ejemplo[En proceso],Tareas_ejemplo[[#This Row],[Fecha]])-COUNTIF(Registro_ejemplo[En revisión],Tareas_ejemplo[[#This Row],[Fecha]])+IF(ISNUMBER(L24),L24,0)</f>
        <v>5</v>
      </c>
      <c r="M25">
        <f>COUNTIF(Registro_ejemplo[En revisión],Tareas_ejemplo[[#This Row],[Fecha]])-COUNTIF(Registro_ejemplo[Hecho],Tareas_ejemplo[[#This Row],[Fecha]])+IF(ISNUMBER(M24),M24,0)</f>
        <v>3</v>
      </c>
      <c r="N25" s="3">
        <f>COUNTIF(Registro_ejemplo[Hecho],Tareas_ejemplo[[#This Row],[Fecha]])+IF(ISNUMBER(N24),N24,0)</f>
        <v>12</v>
      </c>
      <c r="O25">
        <v>6</v>
      </c>
      <c r="P25">
        <v>3</v>
      </c>
      <c r="Q25">
        <f>SUM(Tareas_ejemplo[[#This Row],[En proceso]]+Tareas_ejemplo[[#This Row],[En revisión]])</f>
        <v>8</v>
      </c>
    </row>
    <row r="26" spans="1:29" x14ac:dyDescent="0.3">
      <c r="A26" t="s">
        <v>29</v>
      </c>
      <c r="B26" s="1">
        <v>45196</v>
      </c>
      <c r="C26" s="1">
        <v>45207</v>
      </c>
      <c r="D26" s="1">
        <v>45209</v>
      </c>
      <c r="E26" s="1">
        <v>45213</v>
      </c>
      <c r="F26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6" s="3">
        <f>IF(Registro_ejemplo[[#This Row],[Hecho]]="","",Registro_ejemplo[[#This Row],[Hecho]]-Registro_ejemplo[[#This Row],[Por hacer]])</f>
        <v>17</v>
      </c>
      <c r="H26" s="3">
        <f>IF(Registro_ejemplo[[#This Row],[Hecho]]="","",Registro_ejemplo[[#This Row],[Hecho]]-Registro_ejemplo[[#This Row],[En proceso]])</f>
        <v>6</v>
      </c>
      <c r="I26" s="3"/>
      <c r="J26" s="1">
        <f>IF(ISNUMBER(J25),J25+1,Registro_ejemplo[[#This Row],[Por hacer]])</f>
        <v>45207</v>
      </c>
      <c r="K26">
        <f>COUNTIF(Registro_ejemplo[Por hacer],Tareas_ejemplo[[#This Row],[Fecha]])-COUNTIF(Registro_ejemplo[En proceso],Tareas_ejemplo[[#This Row],[Fecha]])+IF(ISNUMBER(K25),K25,0)</f>
        <v>1</v>
      </c>
      <c r="L26">
        <f>COUNTIF(Registro_ejemplo[En proceso],Tareas_ejemplo[[#This Row],[Fecha]])-COUNTIF(Registro_ejemplo[En revisión],Tareas_ejemplo[[#This Row],[Fecha]])+IF(ISNUMBER(L25),L25,0)</f>
        <v>4</v>
      </c>
      <c r="M26">
        <f>COUNTIF(Registro_ejemplo[En revisión],Tareas_ejemplo[[#This Row],[Fecha]])-COUNTIF(Registro_ejemplo[Hecho],Tareas_ejemplo[[#This Row],[Fecha]])+IF(ISNUMBER(M25),M25,0)</f>
        <v>2</v>
      </c>
      <c r="N26" s="3">
        <f>COUNTIF(Registro_ejemplo[Hecho],Tareas_ejemplo[[#This Row],[Fecha]])+IF(ISNUMBER(N25),N25,0)</f>
        <v>15</v>
      </c>
      <c r="O26">
        <v>6</v>
      </c>
      <c r="P26">
        <v>3</v>
      </c>
      <c r="Q26">
        <f>SUM(Tareas_ejemplo[[#This Row],[En proceso]]+Tareas_ejemplo[[#This Row],[En revisión]])</f>
        <v>6</v>
      </c>
    </row>
    <row r="27" spans="1:29" ht="18" x14ac:dyDescent="0.35">
      <c r="A27" t="s">
        <v>30</v>
      </c>
      <c r="B27" s="1">
        <v>45196</v>
      </c>
      <c r="C27" s="1">
        <v>45208</v>
      </c>
      <c r="D27" s="1">
        <v>45211</v>
      </c>
      <c r="E27" s="1">
        <v>45213</v>
      </c>
      <c r="F27" t="str">
        <f>IF(NOT(ISBLANK(Registro_ejemplo[[#This Row],[Hecho]])),"Hecho",IF(NOT(ISBLANK(Registro_ejemplo[[#This Row],[En revisión]])),"En revisión",IF(NOT(ISBLANK(Registro_ejemplo[[#This Row],[En proceso]])),"En proceso","Por Hacer")))</f>
        <v>Hecho</v>
      </c>
      <c r="G27" s="3">
        <f>IF(Registro_ejemplo[[#This Row],[Hecho]]="","",Registro_ejemplo[[#This Row],[Hecho]]-Registro_ejemplo[[#This Row],[Por hacer]])</f>
        <v>17</v>
      </c>
      <c r="H27" s="3">
        <f>IF(Registro_ejemplo[[#This Row],[Hecho]]="","",Registro_ejemplo[[#This Row],[Hecho]]-Registro_ejemplo[[#This Row],[En proceso]])</f>
        <v>5</v>
      </c>
      <c r="I27" s="3"/>
      <c r="J27" s="1">
        <f>IF(ISNUMBER(J26),J26+1,Registro_ejemplo[[#This Row],[Por hacer]])</f>
        <v>45208</v>
      </c>
      <c r="K27">
        <f>COUNTIF(Registro_ejemplo[Por hacer],Tareas_ejemplo[[#This Row],[Fecha]])-COUNTIF(Registro_ejemplo[En proceso],Tareas_ejemplo[[#This Row],[Fecha]])+IF(ISNUMBER(K26),K26,0)</f>
        <v>0</v>
      </c>
      <c r="L27">
        <f>COUNTIF(Registro_ejemplo[En proceso],Tareas_ejemplo[[#This Row],[Fecha]])-COUNTIF(Registro_ejemplo[En revisión],Tareas_ejemplo[[#This Row],[Fecha]])+IF(ISNUMBER(L26),L26,0)</f>
        <v>3</v>
      </c>
      <c r="M27">
        <f>COUNTIF(Registro_ejemplo[En revisión],Tareas_ejemplo[[#This Row],[Fecha]])-COUNTIF(Registro_ejemplo[Hecho],Tareas_ejemplo[[#This Row],[Fecha]])+IF(ISNUMBER(M26),M26,0)</f>
        <v>3</v>
      </c>
      <c r="N27" s="3">
        <f>COUNTIF(Registro_ejemplo[Hecho],Tareas_ejemplo[[#This Row],[Fecha]])+IF(ISNUMBER(N26),N26,0)</f>
        <v>16</v>
      </c>
      <c r="O27">
        <v>6</v>
      </c>
      <c r="P27">
        <v>3</v>
      </c>
      <c r="Q27">
        <f>SUM(Tareas_ejemplo[[#This Row],[En proceso]]+Tareas_ejemplo[[#This Row],[En revisión]])</f>
        <v>6</v>
      </c>
      <c r="S27" s="7" t="s">
        <v>38</v>
      </c>
    </row>
    <row r="28" spans="1:29" x14ac:dyDescent="0.3">
      <c r="J28" s="1">
        <f>IF(ISNUMBER(J27),J27+1,Registro_ejemplo[[#This Row],[Por hacer]])</f>
        <v>45209</v>
      </c>
      <c r="K28">
        <f>COUNTIF(Registro_ejemplo[Por hacer],Tareas_ejemplo[[#This Row],[Fecha]])-COUNTIF(Registro_ejemplo[En proceso],Tareas_ejemplo[[#This Row],[Fecha]])+IF(ISNUMBER(K27),K27,0)</f>
        <v>0</v>
      </c>
      <c r="L28">
        <f>COUNTIF(Registro_ejemplo[En proceso],Tareas_ejemplo[[#This Row],[Fecha]])-COUNTIF(Registro_ejemplo[En revisión],Tareas_ejemplo[[#This Row],[Fecha]])+IF(ISNUMBER(L27),L27,0)</f>
        <v>2</v>
      </c>
      <c r="M28">
        <f>COUNTIF(Registro_ejemplo[En revisión],Tareas_ejemplo[[#This Row],[Fecha]])-COUNTIF(Registro_ejemplo[Hecho],Tareas_ejemplo[[#This Row],[Fecha]])+IF(ISNUMBER(M27),M27,0)</f>
        <v>3</v>
      </c>
      <c r="N28" s="3">
        <f>COUNTIF(Registro_ejemplo[Hecho],Tareas_ejemplo[[#This Row],[Fecha]])+IF(ISNUMBER(N27),N27,0)</f>
        <v>17</v>
      </c>
      <c r="O28">
        <v>6</v>
      </c>
      <c r="P28">
        <v>3</v>
      </c>
      <c r="Q28">
        <f>SUM(Tareas_ejemplo[[#This Row],[En proceso]]+Tareas_ejemplo[[#This Row],[En revisión]])</f>
        <v>5</v>
      </c>
      <c r="S28" t="s">
        <v>41</v>
      </c>
      <c r="T28" s="2">
        <f>IFERROR(AVERAGE(Registro_ejemplo[Tiempo de Entrega]),"-")</f>
        <v>12.181818181818182</v>
      </c>
      <c r="U28" t="s">
        <v>39</v>
      </c>
      <c r="W28" t="str">
        <f>IFERROR("Tiempo de Entrega máximo (tarea "&amp;_xlfn.XLOOKUP(X28,Registro_ejemplo[Tiempo de Entrega],Registro_ejemplo[Código Tarea])&amp;"):","Tiempo de Entrega máximo:")</f>
        <v>Tiempo de Entrega máximo (tarea #013):</v>
      </c>
      <c r="X28">
        <f>MAX(Registro_ejemplo[Tiempo de Entrega])</f>
        <v>20</v>
      </c>
      <c r="Y28" t="s">
        <v>39</v>
      </c>
      <c r="AA28" t="str">
        <f>IFERROR("Tiempo de Entrega mínimo (tarea "&amp;_xlfn.XLOOKUP(AB28,Registro_ejemplo[Tiempo de Entrega],Registro_ejemplo[Código Tarea])&amp;"):","Tiempo de Entrega mínimo:")</f>
        <v>Tiempo de Entrega mínimo (tarea #001):</v>
      </c>
      <c r="AB28">
        <f>MIN(Registro_ejemplo[Tiempo de Entrega])</f>
        <v>2</v>
      </c>
      <c r="AC28" t="s">
        <v>39</v>
      </c>
    </row>
    <row r="29" spans="1:29" x14ac:dyDescent="0.3">
      <c r="J29" s="1">
        <f>IF(ISNUMBER(J28),J28+1,Registro_ejemplo[[#This Row],[Por hacer]])</f>
        <v>45210</v>
      </c>
      <c r="K29">
        <f>COUNTIF(Registro_ejemplo[Por hacer],Tareas_ejemplo[[#This Row],[Fecha]])-COUNTIF(Registro_ejemplo[En proceso],Tareas_ejemplo[[#This Row],[Fecha]])+IF(ISNUMBER(K28),K28,0)</f>
        <v>0</v>
      </c>
      <c r="L29">
        <f>COUNTIF(Registro_ejemplo[En proceso],Tareas_ejemplo[[#This Row],[Fecha]])-COUNTIF(Registro_ejemplo[En revisión],Tareas_ejemplo[[#This Row],[Fecha]])+IF(ISNUMBER(L28),L28,0)</f>
        <v>1</v>
      </c>
      <c r="M29">
        <f>COUNTIF(Registro_ejemplo[En revisión],Tareas_ejemplo[[#This Row],[Fecha]])-COUNTIF(Registro_ejemplo[Hecho],Tareas_ejemplo[[#This Row],[Fecha]])+IF(ISNUMBER(M28),M28,0)</f>
        <v>2</v>
      </c>
      <c r="N29" s="3">
        <f>COUNTIF(Registro_ejemplo[Hecho],Tareas_ejemplo[[#This Row],[Fecha]])+IF(ISNUMBER(N28),N28,0)</f>
        <v>19</v>
      </c>
      <c r="O29">
        <v>6</v>
      </c>
      <c r="P29">
        <v>3</v>
      </c>
      <c r="Q29">
        <f>SUM(Tareas_ejemplo[[#This Row],[En proceso]]+Tareas_ejemplo[[#This Row],[En revisión]])</f>
        <v>3</v>
      </c>
      <c r="S29" t="s">
        <v>42</v>
      </c>
      <c r="T29" s="2">
        <f>IFERROR(AVERAGE(Registro_ejemplo[Tiempo de Ciclo]),"-")</f>
        <v>7.3181818181818183</v>
      </c>
      <c r="U29" t="s">
        <v>39</v>
      </c>
      <c r="W29" t="str">
        <f>IFERROR("Tiempo de Ciclo máximo (tarea "&amp;_xlfn.XLOOKUP(X29,Registro_ejemplo[Tiempo de Ciclo],Registro_ejemplo[Código Tarea])&amp;"):","Tiempo de Ciclo máximo")</f>
        <v>Tiempo de Ciclo máximo (tarea #006):</v>
      </c>
      <c r="X29">
        <f>MAX(Registro_ejemplo[Tiempo de Ciclo])</f>
        <v>12</v>
      </c>
      <c r="Y29" t="s">
        <v>39</v>
      </c>
      <c r="AA29" t="str">
        <f>IFERROR("Tiempo de Ciclo mínimo (tarea "&amp;_xlfn.XLOOKUP(AB29,Registro_ejemplo[Tiempo de Ciclo],Registro_ejemplo[Código Tarea])&amp;"):","Tiempo de Ciclo mínimo:")</f>
        <v>Tiempo de Ciclo mínimo (tarea #001):</v>
      </c>
      <c r="AB29">
        <f>MIN(Registro_ejemplo[Tiempo de Ciclo])</f>
        <v>2</v>
      </c>
      <c r="AC29" t="s">
        <v>39</v>
      </c>
    </row>
    <row r="30" spans="1:29" x14ac:dyDescent="0.3">
      <c r="J30" s="1">
        <f>IF(ISNUMBER(J29),J29+1,Registro_ejemplo[[#This Row],[Por hacer]])</f>
        <v>45211</v>
      </c>
      <c r="K30">
        <f>COUNTIF(Registro_ejemplo[Por hacer],Tareas_ejemplo[[#This Row],[Fecha]])-COUNTIF(Registro_ejemplo[En proceso],Tareas_ejemplo[[#This Row],[Fecha]])+IF(ISNUMBER(K29),K29,0)</f>
        <v>0</v>
      </c>
      <c r="L30">
        <f>COUNTIF(Registro_ejemplo[En proceso],Tareas_ejemplo[[#This Row],[Fecha]])-COUNTIF(Registro_ejemplo[En revisión],Tareas_ejemplo[[#This Row],[Fecha]])+IF(ISNUMBER(L29),L29,0)</f>
        <v>0</v>
      </c>
      <c r="M30">
        <f>COUNTIF(Registro_ejemplo[En revisión],Tareas_ejemplo[[#This Row],[Fecha]])-COUNTIF(Registro_ejemplo[Hecho],Tareas_ejemplo[[#This Row],[Fecha]])+IF(ISNUMBER(M29),M29,0)</f>
        <v>3</v>
      </c>
      <c r="N30" s="3">
        <f>COUNTIF(Registro_ejemplo[Hecho],Tareas_ejemplo[[#This Row],[Fecha]])+IF(ISNUMBER(N29),N29,0)</f>
        <v>19</v>
      </c>
      <c r="O30">
        <v>6</v>
      </c>
      <c r="P30">
        <v>3</v>
      </c>
      <c r="Q30">
        <f>SUM(Tareas_ejemplo[[#This Row],[En proceso]]+Tareas_ejemplo[[#This Row],[En revisión]])</f>
        <v>3</v>
      </c>
      <c r="S30" t="s">
        <v>43</v>
      </c>
      <c r="T30" s="2">
        <f>AVERAGE(Tareas_ejemplo[WIP])</f>
        <v>5.9629629629629628</v>
      </c>
      <c r="U30" t="s">
        <v>40</v>
      </c>
      <c r="W30" s="1" t="str">
        <f>"WIP máximo ("&amp;TEXT(_xlfn.XLOOKUP(X30,Tareas_ejemplo[WIP],Tareas_ejemplo[Fecha]),"dd/mm/aa")&amp;"):"</f>
        <v>WIP máximo (27/09/23):</v>
      </c>
      <c r="X30">
        <f>MAX(Tareas_ejemplo[WIP])</f>
        <v>9</v>
      </c>
      <c r="Y30" t="s">
        <v>40</v>
      </c>
      <c r="AA30" t="str">
        <f>"WIP mínimo ("&amp;TEXT(_xlfn.XLOOKUP(AB30,Tareas_ejemplo[WIP],Tareas_ejemplo[Fecha]),"dd/mm/aa")&amp;"):"</f>
        <v>WIP mínimo (14/10/23):</v>
      </c>
      <c r="AB30">
        <f>MIN(Tareas_ejemplo[WIP])</f>
        <v>0</v>
      </c>
      <c r="AC30" t="s">
        <v>40</v>
      </c>
    </row>
    <row r="31" spans="1:29" x14ac:dyDescent="0.3">
      <c r="J31" s="1">
        <f>IF(ISNUMBER(J30),J30+1,Registro_ejemplo[[#This Row],[Por hacer]])</f>
        <v>45212</v>
      </c>
      <c r="K31">
        <f>COUNTIF(Registro_ejemplo[Por hacer],Tareas_ejemplo[[#This Row],[Fecha]])-COUNTIF(Registro_ejemplo[En proceso],Tareas_ejemplo[[#This Row],[Fecha]])+IF(ISNUMBER(K30),K30,0)</f>
        <v>0</v>
      </c>
      <c r="L31">
        <f>COUNTIF(Registro_ejemplo[En proceso],Tareas_ejemplo[[#This Row],[Fecha]])-COUNTIF(Registro_ejemplo[En revisión],Tareas_ejemplo[[#This Row],[Fecha]])+IF(ISNUMBER(L30),L30,0)</f>
        <v>0</v>
      </c>
      <c r="M31">
        <f>COUNTIF(Registro_ejemplo[En revisión],Tareas_ejemplo[[#This Row],[Fecha]])-COUNTIF(Registro_ejemplo[Hecho],Tareas_ejemplo[[#This Row],[Fecha]])+IF(ISNUMBER(M30),M30,0)</f>
        <v>2</v>
      </c>
      <c r="N31" s="3">
        <f>COUNTIF(Registro_ejemplo[Hecho],Tareas_ejemplo[[#This Row],[Fecha]])+IF(ISNUMBER(N30),N30,0)</f>
        <v>20</v>
      </c>
      <c r="O31">
        <v>6</v>
      </c>
      <c r="P31">
        <v>3</v>
      </c>
      <c r="Q31">
        <f>SUM(Tareas_ejemplo[[#This Row],[En proceso]]+Tareas_ejemplo[[#This Row],[En revisión]])</f>
        <v>2</v>
      </c>
    </row>
    <row r="32" spans="1:29" x14ac:dyDescent="0.3">
      <c r="J32" s="1">
        <f>IF(ISNUMBER(J31),J31+1,Registro_ejemplo[[#This Row],[Por hacer]])</f>
        <v>45213</v>
      </c>
      <c r="K32">
        <f>COUNTIF(Registro_ejemplo[Por hacer],Tareas_ejemplo[[#This Row],[Fecha]])-COUNTIF(Registro_ejemplo[En proceso],Tareas_ejemplo[[#This Row],[Fecha]])+IF(ISNUMBER(K31),K31,0)</f>
        <v>0</v>
      </c>
      <c r="L32">
        <f>COUNTIF(Registro_ejemplo[En proceso],Tareas_ejemplo[[#This Row],[Fecha]])-COUNTIF(Registro_ejemplo[En revisión],Tareas_ejemplo[[#This Row],[Fecha]])+IF(ISNUMBER(L31),L31,0)</f>
        <v>0</v>
      </c>
      <c r="M32">
        <f>COUNTIF(Registro_ejemplo[En revisión],Tareas_ejemplo[[#This Row],[Fecha]])-COUNTIF(Registro_ejemplo[Hecho],Tareas_ejemplo[[#This Row],[Fecha]])+IF(ISNUMBER(M31),M31,0)</f>
        <v>0</v>
      </c>
      <c r="N32" s="3">
        <f>COUNTIF(Registro_ejemplo[Hecho],Tareas_ejemplo[[#This Row],[Fecha]])+IF(ISNUMBER(N31),N31,0)</f>
        <v>22</v>
      </c>
      <c r="O32">
        <v>6</v>
      </c>
      <c r="P32">
        <v>3</v>
      </c>
      <c r="Q32">
        <f>SUM(Tareas_ejemplo[[#This Row],[En proceso]]+Tareas_ejemplo[[#This Row],[En revisión]])</f>
        <v>0</v>
      </c>
    </row>
  </sheetData>
  <phoneticPr fontId="1" type="noConversion"/>
  <conditionalFormatting sqref="L6:L32">
    <cfRule type="cellIs" dxfId="2" priority="2" operator="greaterThan">
      <formula>$O6</formula>
    </cfRule>
  </conditionalFormatting>
  <conditionalFormatting sqref="M6:M32">
    <cfRule type="cellIs" dxfId="1" priority="1" operator="greaterThan">
      <formula>$P6</formula>
    </cfRule>
  </conditionalFormatting>
  <conditionalFormatting sqref="Q6:Q32">
    <cfRule type="cellIs" dxfId="0" priority="4" operator="greaterThan">
      <formula>$O6+$P6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Equipo</vt:lpstr>
      <vt:lpstr>Tareas</vt:lpstr>
      <vt:lpstr>Flujo Acumulado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IMBERT PAREDES</dc:creator>
  <cp:lastModifiedBy>DANIEL BERDASCO GONZALEZ</cp:lastModifiedBy>
  <dcterms:created xsi:type="dcterms:W3CDTF">2023-09-15T07:41:34Z</dcterms:created>
  <dcterms:modified xsi:type="dcterms:W3CDTF">2024-12-10T23:10:52Z</dcterms:modified>
</cp:coreProperties>
</file>