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s\Downloads\"/>
    </mc:Choice>
  </mc:AlternateContent>
  <xr:revisionPtr revIDLastSave="0" documentId="13_ncr:1_{3970651B-3502-4721-8392-1822EE28EDA2}" xr6:coauthVersionLast="47" xr6:coauthVersionMax="47" xr10:uidLastSave="{00000000-0000-0000-0000-000000000000}"/>
  <bookViews>
    <workbookView xWindow="-108" yWindow="-108" windowWidth="23256" windowHeight="12456" activeTab="1" xr2:uid="{1B3535A6-1ED6-8F4A-B46A-D0C9D3BD4C34}"/>
  </bookViews>
  <sheets>
    <sheet name="Equipo" sheetId="6" r:id="rId1"/>
    <sheet name="Tareas" sheetId="5" r:id="rId2"/>
    <sheet name="Flujo Acumulado" sheetId="4" r:id="rId3"/>
    <sheet name="Ejempl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4" l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F21" i="4"/>
  <c r="F22" i="4"/>
  <c r="F23" i="4"/>
  <c r="F24" i="4"/>
  <c r="F25" i="4"/>
  <c r="F26" i="4"/>
  <c r="F27" i="4"/>
  <c r="F28" i="4"/>
  <c r="F29" i="4"/>
  <c r="F30" i="4"/>
  <c r="F31" i="4"/>
  <c r="G21" i="4"/>
  <c r="G22" i="4"/>
  <c r="G23" i="4"/>
  <c r="G24" i="4"/>
  <c r="G25" i="4"/>
  <c r="G26" i="4"/>
  <c r="G27" i="4"/>
  <c r="G28" i="4"/>
  <c r="G29" i="4"/>
  <c r="G30" i="4"/>
  <c r="G31" i="4"/>
  <c r="H21" i="4"/>
  <c r="H22" i="4"/>
  <c r="H23" i="4"/>
  <c r="H24" i="4"/>
  <c r="H25" i="4"/>
  <c r="H26" i="4"/>
  <c r="H27" i="4"/>
  <c r="H28" i="4"/>
  <c r="H29" i="4"/>
  <c r="H30" i="4"/>
  <c r="H31" i="4"/>
  <c r="F11" i="4"/>
  <c r="F12" i="4"/>
  <c r="F13" i="4"/>
  <c r="F14" i="4"/>
  <c r="F15" i="4"/>
  <c r="F16" i="4"/>
  <c r="F17" i="4"/>
  <c r="F18" i="4"/>
  <c r="F19" i="4"/>
  <c r="F20" i="4"/>
  <c r="G11" i="4"/>
  <c r="G12" i="4"/>
  <c r="G13" i="4"/>
  <c r="G14" i="4"/>
  <c r="G15" i="4"/>
  <c r="G16" i="4"/>
  <c r="G17" i="4"/>
  <c r="G18" i="4"/>
  <c r="G19" i="4"/>
  <c r="G20" i="4"/>
  <c r="H11" i="4"/>
  <c r="H12" i="4"/>
  <c r="H13" i="4"/>
  <c r="H14" i="4"/>
  <c r="H15" i="4"/>
  <c r="H16" i="4"/>
  <c r="H17" i="4"/>
  <c r="H18" i="4"/>
  <c r="H19" i="4"/>
  <c r="H20" i="4"/>
  <c r="AA29" i="3"/>
  <c r="AA28" i="3"/>
  <c r="W29" i="3"/>
  <c r="W28" i="3"/>
  <c r="T29" i="3"/>
  <c r="T28" i="3"/>
  <c r="J6" i="4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H6" i="4"/>
  <c r="H7" i="4"/>
  <c r="H8" i="4"/>
  <c r="H9" i="4"/>
  <c r="H10" i="4"/>
  <c r="G6" i="4"/>
  <c r="G7" i="4"/>
  <c r="G8" i="4"/>
  <c r="G9" i="4"/>
  <c r="G10" i="4"/>
  <c r="T29" i="4" l="1"/>
  <c r="T28" i="4"/>
  <c r="M6" i="4"/>
  <c r="J7" i="3"/>
  <c r="J8" i="3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6" i="3"/>
  <c r="F10" i="4"/>
  <c r="F9" i="4"/>
  <c r="F8" i="4"/>
  <c r="F7" i="4"/>
  <c r="F6" i="4"/>
  <c r="AB29" i="3"/>
  <c r="AB28" i="3"/>
  <c r="X28" i="3"/>
  <c r="F26" i="3"/>
  <c r="F27" i="3"/>
  <c r="F22" i="3"/>
  <c r="F23" i="3"/>
  <c r="F24" i="3"/>
  <c r="F25" i="3"/>
  <c r="F15" i="3"/>
  <c r="F16" i="3"/>
  <c r="F17" i="3"/>
  <c r="F18" i="3"/>
  <c r="F19" i="3"/>
  <c r="F20" i="3"/>
  <c r="F21" i="3"/>
  <c r="F6" i="3"/>
  <c r="F7" i="3"/>
  <c r="F8" i="3"/>
  <c r="F9" i="3"/>
  <c r="F10" i="3"/>
  <c r="F11" i="3"/>
  <c r="F12" i="3"/>
  <c r="F13" i="3"/>
  <c r="F14" i="3"/>
  <c r="N6" i="4" l="1"/>
  <c r="J7" i="4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N6" i="3"/>
  <c r="N7" i="3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X29" i="3"/>
  <c r="X28" i="4"/>
  <c r="W28" i="4" s="1"/>
  <c r="AB28" i="4"/>
  <c r="AA28" i="4" s="1"/>
  <c r="X29" i="4"/>
  <c r="W29" i="4" s="1"/>
  <c r="K6" i="4"/>
  <c r="AB29" i="4"/>
  <c r="AA29" i="4" s="1"/>
  <c r="L6" i="4"/>
  <c r="K6" i="3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L6" i="3"/>
  <c r="M6" i="3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K7" i="4" l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M7" i="4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N7" i="4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Q6" i="4"/>
  <c r="L7" i="4"/>
  <c r="L7" i="3"/>
  <c r="Q6" i="3"/>
  <c r="Q7" i="4" l="1"/>
  <c r="L8" i="4"/>
  <c r="L8" i="3"/>
  <c r="Q7" i="3"/>
  <c r="Q8" i="4" l="1"/>
  <c r="L9" i="4"/>
  <c r="L9" i="3"/>
  <c r="Q8" i="3"/>
  <c r="Q9" i="4" l="1"/>
  <c r="L10" i="4"/>
  <c r="L11" i="4" s="1"/>
  <c r="L10" i="3"/>
  <c r="Q9" i="3"/>
  <c r="L12" i="4" l="1"/>
  <c r="Q11" i="4"/>
  <c r="Q10" i="4"/>
  <c r="L11" i="3"/>
  <c r="Q10" i="3"/>
  <c r="Q12" i="4" l="1"/>
  <c r="L13" i="4"/>
  <c r="L12" i="3"/>
  <c r="Q11" i="3"/>
  <c r="L14" i="4" l="1"/>
  <c r="Q13" i="4"/>
  <c r="L13" i="3"/>
  <c r="Q12" i="3"/>
  <c r="L15" i="4" l="1"/>
  <c r="Q14" i="4"/>
  <c r="L14" i="3"/>
  <c r="Q13" i="3"/>
  <c r="L16" i="4" l="1"/>
  <c r="Q15" i="4"/>
  <c r="L15" i="3"/>
  <c r="Q14" i="3"/>
  <c r="L17" i="4" l="1"/>
  <c r="Q16" i="4"/>
  <c r="L16" i="3"/>
  <c r="Q15" i="3"/>
  <c r="L18" i="4" l="1"/>
  <c r="Q17" i="4"/>
  <c r="L17" i="3"/>
  <c r="Q16" i="3"/>
  <c r="Q18" i="4" l="1"/>
  <c r="L19" i="4"/>
  <c r="L18" i="3"/>
  <c r="Q17" i="3"/>
  <c r="Q19" i="4" l="1"/>
  <c r="L20" i="4"/>
  <c r="L19" i="3"/>
  <c r="Q18" i="3"/>
  <c r="Q20" i="4" l="1"/>
  <c r="L21" i="4"/>
  <c r="L20" i="3"/>
  <c r="Q19" i="3"/>
  <c r="L22" i="4" l="1"/>
  <c r="Q21" i="4"/>
  <c r="L21" i="3"/>
  <c r="Q20" i="3"/>
  <c r="L23" i="4" l="1"/>
  <c r="Q22" i="4"/>
  <c r="L22" i="3"/>
  <c r="Q21" i="3"/>
  <c r="Q23" i="4" l="1"/>
  <c r="L24" i="4"/>
  <c r="L23" i="3"/>
  <c r="Q22" i="3"/>
  <c r="L25" i="4" l="1"/>
  <c r="Q24" i="4"/>
  <c r="L24" i="3"/>
  <c r="Q23" i="3"/>
  <c r="Q25" i="4" l="1"/>
  <c r="L26" i="4"/>
  <c r="L25" i="3"/>
  <c r="Q24" i="3"/>
  <c r="Q26" i="4" l="1"/>
  <c r="L27" i="4"/>
  <c r="L26" i="3"/>
  <c r="Q25" i="3"/>
  <c r="Q27" i="4" l="1"/>
  <c r="L28" i="4"/>
  <c r="L27" i="3"/>
  <c r="Q26" i="3"/>
  <c r="L29" i="4" l="1"/>
  <c r="Q28" i="4"/>
  <c r="L28" i="3"/>
  <c r="Q27" i="3"/>
  <c r="L30" i="4" l="1"/>
  <c r="Q29" i="4"/>
  <c r="L29" i="3"/>
  <c r="Q28" i="3"/>
  <c r="Q30" i="4" l="1"/>
  <c r="L31" i="4"/>
  <c r="L30" i="3"/>
  <c r="Q29" i="3"/>
  <c r="Q31" i="4" l="1"/>
  <c r="L31" i="3"/>
  <c r="Q30" i="3"/>
  <c r="L32" i="3" l="1"/>
  <c r="Q32" i="3" s="1"/>
  <c r="Q31" i="3"/>
  <c r="X30" i="3" l="1"/>
  <c r="W30" i="3" s="1"/>
  <c r="AB30" i="3"/>
  <c r="AA30" i="3" s="1"/>
  <c r="T30" i="3"/>
  <c r="AB30" i="4" l="1"/>
  <c r="AA30" i="4" s="1"/>
  <c r="T30" i="4"/>
  <c r="X30" i="4"/>
  <c r="W30" i="4" s="1"/>
</calcChain>
</file>

<file path=xl/sharedStrings.xml><?xml version="1.0" encoding="utf-8"?>
<sst xmlns="http://schemas.openxmlformats.org/spreadsheetml/2006/main" count="214" uniqueCount="98">
  <si>
    <t>Tareas en el kanban</t>
  </si>
  <si>
    <t>Por hacer</t>
  </si>
  <si>
    <t>En proceso</t>
  </si>
  <si>
    <t>En revisión</t>
  </si>
  <si>
    <t>Hecho</t>
  </si>
  <si>
    <t>WIP</t>
  </si>
  <si>
    <t>Código Tarea</t>
  </si>
  <si>
    <t>Fecha</t>
  </si>
  <si>
    <t>#001</t>
  </si>
  <si>
    <t>#002</t>
  </si>
  <si>
    <t>#003</t>
  </si>
  <si>
    <t>#004</t>
  </si>
  <si>
    <t>#005</t>
  </si>
  <si>
    <t>#006</t>
  </si>
  <si>
    <t>#007</t>
  </si>
  <si>
    <t>Estado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</si>
  <si>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</si>
  <si>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</si>
  <si>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</si>
  <si>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</si>
  <si>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</si>
  <si>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</si>
  <si>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</si>
  <si>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</si>
  <si>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</si>
  <si>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</si>
  <si>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</si>
  <si>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</si>
  <si>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</si>
  <si>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</si>
  <si>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</si>
  <si>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Registro de actividad</t>
  </si>
  <si>
    <t>Fundamentos de Videojuegos - ETSIINF</t>
  </si>
  <si>
    <t>Tiempo de Entrega</t>
  </si>
  <si>
    <t>Tiempo de Ciclo</t>
  </si>
  <si>
    <t>Límite WIP - Proceso</t>
  </si>
  <si>
    <t>Límite WIP - Revisión</t>
  </si>
  <si>
    <t>Diagrama de Flujo Acumulado</t>
  </si>
  <si>
    <t>Métricas</t>
  </si>
  <si>
    <t>días</t>
  </si>
  <si>
    <t>tareas</t>
  </si>
  <si>
    <t>Tiempo de Entrega promedio:</t>
  </si>
  <si>
    <t>Tiempo de Ciclo promedio:</t>
  </si>
  <si>
    <t>WIP promedio:</t>
  </si>
  <si>
    <t>Ejemplo</t>
  </si>
  <si>
    <t>Registro para el proyecto</t>
  </si>
  <si>
    <t>Descrpción</t>
  </si>
  <si>
    <t>Reunión inicial</t>
  </si>
  <si>
    <t>Planificación del proyecto</t>
  </si>
  <si>
    <t>Crear repositorio GitHub</t>
  </si>
  <si>
    <t>Game Lab: Movimiento player</t>
  </si>
  <si>
    <t>Game Lab: Enemigo Script</t>
  </si>
  <si>
    <t>Tutoriales  Github</t>
  </si>
  <si>
    <t>Game Lab: Ataque melee</t>
  </si>
  <si>
    <t>Game Lab: Sistema movimiento de camara</t>
  </si>
  <si>
    <t>Prototipo: Implementar mecánica de cambio de personajes</t>
  </si>
  <si>
    <t>Game Lab: Diseñar aspecto de personaje principal</t>
  </si>
  <si>
    <t>Game Lab: Diseñar aspecto enemigo</t>
  </si>
  <si>
    <t>Game Lab: Nivel de prueba</t>
  </si>
  <si>
    <t>Actualizar Backlog</t>
  </si>
  <si>
    <t>StoryBoard</t>
  </si>
  <si>
    <t>Revisar GDD</t>
  </si>
  <si>
    <t>Encargado</t>
  </si>
  <si>
    <t>Nombre</t>
  </si>
  <si>
    <t>Acrónimo</t>
  </si>
  <si>
    <t xml:space="preserve">Daniel Berdasco González </t>
  </si>
  <si>
    <t xml:space="preserve">Daniel Fernández Feas </t>
  </si>
  <si>
    <t>David Henríquez Garrido</t>
  </si>
  <si>
    <t>Noa Alegria Israel Benchaya</t>
  </si>
  <si>
    <t>Lucas Lillo Ramírez</t>
  </si>
  <si>
    <t>Álvaro Salamero García</t>
  </si>
  <si>
    <t>DB</t>
  </si>
  <si>
    <t>DF</t>
  </si>
  <si>
    <t>DH</t>
  </si>
  <si>
    <t>LL</t>
  </si>
  <si>
    <t>NA</t>
  </si>
  <si>
    <t>AS</t>
  </si>
  <si>
    <t xml:space="preserve">Miembros del Grupo 13 </t>
  </si>
  <si>
    <t>Grupo 13</t>
  </si>
  <si>
    <t>DF y NA</t>
  </si>
  <si>
    <t>Resumen Tareas</t>
  </si>
  <si>
    <t>Sistema movimiento cámara</t>
  </si>
  <si>
    <t>Definir Características Personaje Tanque</t>
  </si>
  <si>
    <t>Hablidad especial Tanque</t>
  </si>
  <si>
    <t>Definir Características Personaje Arquero</t>
  </si>
  <si>
    <t>Arquero: Mecánica Disparo Base</t>
  </si>
  <si>
    <t>Pulir mecánica de cambio de personaje</t>
  </si>
  <si>
    <t>Sprites arquero</t>
  </si>
  <si>
    <t>Sprites Tanque</t>
  </si>
  <si>
    <t>Test unitarios</t>
  </si>
  <si>
    <t>Tutorial</t>
  </si>
  <si>
    <t>Actualizar GDD</t>
  </si>
  <si>
    <t>#023</t>
  </si>
  <si>
    <t>#024</t>
  </si>
  <si>
    <t>#025</t>
  </si>
  <si>
    <t>#026</t>
  </si>
  <si>
    <t>Iteración 2</t>
  </si>
  <si>
    <t>LL y 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</si>
</sst>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22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CE4D6"/>
        <bgColor rgb="FFFCE4D6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1" xfId="0" applyFill="1" applyBorder="1"/>
    <xf numFmtId="165" fontId="0" fillId="0" borderId="0" xfId="0" applyNumberFormat="1"/>
    <xf numFmtId="14" fontId="7" fillId="4" borderId="0" xfId="0" applyNumberFormat="1" applyFont="1" applyFill="1"/>
    <xf numFmtId="14" fontId="7" fillId="0" borderId="0" xfId="0" applyNumberFormat="1" applyFont="1"/>
    <xf numFmtId="0" fontId="6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8" fillId="0" borderId="0" xfId="0" applyFont="1"/>
    <xf numFmtId="0" fontId="0" fillId="3" borderId="3" xfId="0" applyFill="1" applyBorder="1"/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0" formatCode="General"/>
    </dxf>
    <dxf>
      <numFmt numFmtId="165" formatCode="d/m/yy"/>
    </dxf>
    <dxf>
      <numFmt numFmtId="165" formatCode="d/m/yy"/>
    </dxf>
    <dxf>
      <numFmt numFmtId="165" formatCode="d/m/yy"/>
    </dxf>
    <dxf>
      <numFmt numFmtId="165" formatCode="d/m/yy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0" formatCode="General"/>
    </dxf>
    <dxf>
      <numFmt numFmtId="165" formatCode="d/m/yy"/>
    </dxf>
    <dxf>
      <numFmt numFmtId="165" formatCode="d/m/yy"/>
    </dxf>
    <dxf>
      <numFmt numFmtId="165" formatCode="d/m/yy"/>
    </dxf>
    <dxf>
      <numFmt numFmtId="165" formatCode="d/m/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Diagrama de Flujo Acumulado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'Flujo Acumulado'!$N$5</c:f>
              <c:strCache>
                <c:ptCount val="1"/>
                <c:pt idx="0">
                  <c:v>Hecho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'Flujo Acumulado'!$J$6:$J$32</c:f>
              <c:numCache>
                <c:formatCode>m/d/yyyy</c:formatCode>
                <c:ptCount val="27"/>
                <c:pt idx="0">
                  <c:v>45569</c:v>
                </c:pt>
                <c:pt idx="1">
                  <c:v>45570</c:v>
                </c:pt>
                <c:pt idx="2">
                  <c:v>45571</c:v>
                </c:pt>
                <c:pt idx="3">
                  <c:v>45572</c:v>
                </c:pt>
                <c:pt idx="4">
                  <c:v>45573</c:v>
                </c:pt>
                <c:pt idx="5" formatCode="d/m/yy">
                  <c:v>45574</c:v>
                </c:pt>
                <c:pt idx="6" formatCode="d/m/yy">
                  <c:v>45575</c:v>
                </c:pt>
                <c:pt idx="7" formatCode="d/m/yy">
                  <c:v>45576</c:v>
                </c:pt>
                <c:pt idx="8" formatCode="d/m/yy">
                  <c:v>45577</c:v>
                </c:pt>
                <c:pt idx="9" formatCode="d/m/yy">
                  <c:v>45578</c:v>
                </c:pt>
                <c:pt idx="10" formatCode="d/m/yy">
                  <c:v>45579</c:v>
                </c:pt>
                <c:pt idx="11" formatCode="d/m/yy">
                  <c:v>45580</c:v>
                </c:pt>
                <c:pt idx="12" formatCode="d/m/yy">
                  <c:v>45581</c:v>
                </c:pt>
                <c:pt idx="13" formatCode="d/m/yy">
                  <c:v>45582</c:v>
                </c:pt>
                <c:pt idx="14" formatCode="d/m/yy">
                  <c:v>45583</c:v>
                </c:pt>
                <c:pt idx="15" formatCode="d/m/yy">
                  <c:v>45584</c:v>
                </c:pt>
                <c:pt idx="16" formatCode="d/m/yy">
                  <c:v>45585</c:v>
                </c:pt>
                <c:pt idx="17" formatCode="d/m/yy">
                  <c:v>45586</c:v>
                </c:pt>
                <c:pt idx="18" formatCode="d/m/yy">
                  <c:v>45587</c:v>
                </c:pt>
                <c:pt idx="19" formatCode="d/m/yy">
                  <c:v>45588</c:v>
                </c:pt>
                <c:pt idx="20" formatCode="d/m/yy">
                  <c:v>45589</c:v>
                </c:pt>
                <c:pt idx="21" formatCode="d/m/yy">
                  <c:v>45590</c:v>
                </c:pt>
                <c:pt idx="22" formatCode="d/m/yy">
                  <c:v>45591</c:v>
                </c:pt>
                <c:pt idx="23" formatCode="d/m/yy">
                  <c:v>45592</c:v>
                </c:pt>
                <c:pt idx="24" formatCode="d/m/yy">
                  <c:v>45593</c:v>
                </c:pt>
                <c:pt idx="25" formatCode="d/m/yy">
                  <c:v>45594</c:v>
                </c:pt>
              </c:numCache>
            </c:numRef>
          </c:cat>
          <c:val>
            <c:numRef>
              <c:f>'Flujo Acumulado'!$N$6:$N$32</c:f>
              <c:numCache>
                <c:formatCode>0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11</c:v>
                </c:pt>
                <c:pt idx="12">
                  <c:v>13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7-474D-82A9-57D7D9DBDDC5}"/>
            </c:ext>
          </c:extLst>
        </c:ser>
        <c:ser>
          <c:idx val="2"/>
          <c:order val="1"/>
          <c:tx>
            <c:strRef>
              <c:f>'Flujo Acumulado'!$M$5</c:f>
              <c:strCache>
                <c:ptCount val="1"/>
                <c:pt idx="0">
                  <c:v>En revisión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'Flujo Acumulado'!$J$6:$J$32</c:f>
              <c:numCache>
                <c:formatCode>m/d/yyyy</c:formatCode>
                <c:ptCount val="27"/>
                <c:pt idx="0">
                  <c:v>45569</c:v>
                </c:pt>
                <c:pt idx="1">
                  <c:v>45570</c:v>
                </c:pt>
                <c:pt idx="2">
                  <c:v>45571</c:v>
                </c:pt>
                <c:pt idx="3">
                  <c:v>45572</c:v>
                </c:pt>
                <c:pt idx="4">
                  <c:v>45573</c:v>
                </c:pt>
                <c:pt idx="5" formatCode="d/m/yy">
                  <c:v>45574</c:v>
                </c:pt>
                <c:pt idx="6" formatCode="d/m/yy">
                  <c:v>45575</c:v>
                </c:pt>
                <c:pt idx="7" formatCode="d/m/yy">
                  <c:v>45576</c:v>
                </c:pt>
                <c:pt idx="8" formatCode="d/m/yy">
                  <c:v>45577</c:v>
                </c:pt>
                <c:pt idx="9" formatCode="d/m/yy">
                  <c:v>45578</c:v>
                </c:pt>
                <c:pt idx="10" formatCode="d/m/yy">
                  <c:v>45579</c:v>
                </c:pt>
                <c:pt idx="11" formatCode="d/m/yy">
                  <c:v>45580</c:v>
                </c:pt>
                <c:pt idx="12" formatCode="d/m/yy">
                  <c:v>45581</c:v>
                </c:pt>
                <c:pt idx="13" formatCode="d/m/yy">
                  <c:v>45582</c:v>
                </c:pt>
                <c:pt idx="14" formatCode="d/m/yy">
                  <c:v>45583</c:v>
                </c:pt>
                <c:pt idx="15" formatCode="d/m/yy">
                  <c:v>45584</c:v>
                </c:pt>
                <c:pt idx="16" formatCode="d/m/yy">
                  <c:v>45585</c:v>
                </c:pt>
                <c:pt idx="17" formatCode="d/m/yy">
                  <c:v>45586</c:v>
                </c:pt>
                <c:pt idx="18" formatCode="d/m/yy">
                  <c:v>45587</c:v>
                </c:pt>
                <c:pt idx="19" formatCode="d/m/yy">
                  <c:v>45588</c:v>
                </c:pt>
                <c:pt idx="20" formatCode="d/m/yy">
                  <c:v>45589</c:v>
                </c:pt>
                <c:pt idx="21" formatCode="d/m/yy">
                  <c:v>45590</c:v>
                </c:pt>
                <c:pt idx="22" formatCode="d/m/yy">
                  <c:v>45591</c:v>
                </c:pt>
                <c:pt idx="23" formatCode="d/m/yy">
                  <c:v>45592</c:v>
                </c:pt>
                <c:pt idx="24" formatCode="d/m/yy">
                  <c:v>45593</c:v>
                </c:pt>
                <c:pt idx="25" formatCode="d/m/yy">
                  <c:v>45594</c:v>
                </c:pt>
              </c:numCache>
            </c:numRef>
          </c:cat>
          <c:val>
            <c:numRef>
              <c:f>'Flujo Acumulado'!$M$6:$M$32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87-474D-82A9-57D7D9DBDDC5}"/>
            </c:ext>
          </c:extLst>
        </c:ser>
        <c:ser>
          <c:idx val="1"/>
          <c:order val="2"/>
          <c:tx>
            <c:strRef>
              <c:f>'Flujo Acumulado'!$L$5</c:f>
              <c:strCache>
                <c:ptCount val="1"/>
                <c:pt idx="0">
                  <c:v>En proceso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'Flujo Acumulado'!$J$6:$J$32</c:f>
              <c:numCache>
                <c:formatCode>m/d/yyyy</c:formatCode>
                <c:ptCount val="27"/>
                <c:pt idx="0">
                  <c:v>45569</c:v>
                </c:pt>
                <c:pt idx="1">
                  <c:v>45570</c:v>
                </c:pt>
                <c:pt idx="2">
                  <c:v>45571</c:v>
                </c:pt>
                <c:pt idx="3">
                  <c:v>45572</c:v>
                </c:pt>
                <c:pt idx="4">
                  <c:v>45573</c:v>
                </c:pt>
                <c:pt idx="5" formatCode="d/m/yy">
                  <c:v>45574</c:v>
                </c:pt>
                <c:pt idx="6" formatCode="d/m/yy">
                  <c:v>45575</c:v>
                </c:pt>
                <c:pt idx="7" formatCode="d/m/yy">
                  <c:v>45576</c:v>
                </c:pt>
                <c:pt idx="8" formatCode="d/m/yy">
                  <c:v>45577</c:v>
                </c:pt>
                <c:pt idx="9" formatCode="d/m/yy">
                  <c:v>45578</c:v>
                </c:pt>
                <c:pt idx="10" formatCode="d/m/yy">
                  <c:v>45579</c:v>
                </c:pt>
                <c:pt idx="11" formatCode="d/m/yy">
                  <c:v>45580</c:v>
                </c:pt>
                <c:pt idx="12" formatCode="d/m/yy">
                  <c:v>45581</c:v>
                </c:pt>
                <c:pt idx="13" formatCode="d/m/yy">
                  <c:v>45582</c:v>
                </c:pt>
                <c:pt idx="14" formatCode="d/m/yy">
                  <c:v>45583</c:v>
                </c:pt>
                <c:pt idx="15" formatCode="d/m/yy">
                  <c:v>45584</c:v>
                </c:pt>
                <c:pt idx="16" formatCode="d/m/yy">
                  <c:v>45585</c:v>
                </c:pt>
                <c:pt idx="17" formatCode="d/m/yy">
                  <c:v>45586</c:v>
                </c:pt>
                <c:pt idx="18" formatCode="d/m/yy">
                  <c:v>45587</c:v>
                </c:pt>
                <c:pt idx="19" formatCode="d/m/yy">
                  <c:v>45588</c:v>
                </c:pt>
                <c:pt idx="20" formatCode="d/m/yy">
                  <c:v>45589</c:v>
                </c:pt>
                <c:pt idx="21" formatCode="d/m/yy">
                  <c:v>45590</c:v>
                </c:pt>
                <c:pt idx="22" formatCode="d/m/yy">
                  <c:v>45591</c:v>
                </c:pt>
                <c:pt idx="23" formatCode="d/m/yy">
                  <c:v>45592</c:v>
                </c:pt>
                <c:pt idx="24" formatCode="d/m/yy">
                  <c:v>45593</c:v>
                </c:pt>
                <c:pt idx="25" formatCode="d/m/yy">
                  <c:v>45594</c:v>
                </c:pt>
              </c:numCache>
            </c:numRef>
          </c:cat>
          <c:val>
            <c:numRef>
              <c:f>'Flujo Acumulado'!$L$6:$L$32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5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87-474D-82A9-57D7D9DBDDC5}"/>
            </c:ext>
          </c:extLst>
        </c:ser>
        <c:ser>
          <c:idx val="0"/>
          <c:order val="3"/>
          <c:tx>
            <c:strRef>
              <c:f>'Flujo Acumulado'!$K$5</c:f>
              <c:strCache>
                <c:ptCount val="1"/>
                <c:pt idx="0">
                  <c:v>Por hacer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'Flujo Acumulado'!$J$6:$J$32</c:f>
              <c:numCache>
                <c:formatCode>m/d/yyyy</c:formatCode>
                <c:ptCount val="27"/>
                <c:pt idx="0">
                  <c:v>45569</c:v>
                </c:pt>
                <c:pt idx="1">
                  <c:v>45570</c:v>
                </c:pt>
                <c:pt idx="2">
                  <c:v>45571</c:v>
                </c:pt>
                <c:pt idx="3">
                  <c:v>45572</c:v>
                </c:pt>
                <c:pt idx="4">
                  <c:v>45573</c:v>
                </c:pt>
                <c:pt idx="5" formatCode="d/m/yy">
                  <c:v>45574</c:v>
                </c:pt>
                <c:pt idx="6" formatCode="d/m/yy">
                  <c:v>45575</c:v>
                </c:pt>
                <c:pt idx="7" formatCode="d/m/yy">
                  <c:v>45576</c:v>
                </c:pt>
                <c:pt idx="8" formatCode="d/m/yy">
                  <c:v>45577</c:v>
                </c:pt>
                <c:pt idx="9" formatCode="d/m/yy">
                  <c:v>45578</c:v>
                </c:pt>
                <c:pt idx="10" formatCode="d/m/yy">
                  <c:v>45579</c:v>
                </c:pt>
                <c:pt idx="11" formatCode="d/m/yy">
                  <c:v>45580</c:v>
                </c:pt>
                <c:pt idx="12" formatCode="d/m/yy">
                  <c:v>45581</c:v>
                </c:pt>
                <c:pt idx="13" formatCode="d/m/yy">
                  <c:v>45582</c:v>
                </c:pt>
                <c:pt idx="14" formatCode="d/m/yy">
                  <c:v>45583</c:v>
                </c:pt>
                <c:pt idx="15" formatCode="d/m/yy">
                  <c:v>45584</c:v>
                </c:pt>
                <c:pt idx="16" formatCode="d/m/yy">
                  <c:v>45585</c:v>
                </c:pt>
                <c:pt idx="17" formatCode="d/m/yy">
                  <c:v>45586</c:v>
                </c:pt>
                <c:pt idx="18" formatCode="d/m/yy">
                  <c:v>45587</c:v>
                </c:pt>
                <c:pt idx="19" formatCode="d/m/yy">
                  <c:v>45588</c:v>
                </c:pt>
                <c:pt idx="20" formatCode="d/m/yy">
                  <c:v>45589</c:v>
                </c:pt>
                <c:pt idx="21" formatCode="d/m/yy">
                  <c:v>45590</c:v>
                </c:pt>
                <c:pt idx="22" formatCode="d/m/yy">
                  <c:v>45591</c:v>
                </c:pt>
                <c:pt idx="23" formatCode="d/m/yy">
                  <c:v>45592</c:v>
                </c:pt>
                <c:pt idx="24" formatCode="d/m/yy">
                  <c:v>45593</c:v>
                </c:pt>
                <c:pt idx="25" formatCode="d/m/yy">
                  <c:v>45594</c:v>
                </c:pt>
              </c:numCache>
            </c:numRef>
          </c:cat>
          <c:val>
            <c:numRef>
              <c:f>'Flujo Acumulado'!$K$6:$K$32</c:f>
              <c:numCache>
                <c:formatCode>General</c:formatCode>
                <c:ptCount val="2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  <c:pt idx="5">
                  <c:v>10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11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9</c:v>
                </c:pt>
                <c:pt idx="23">
                  <c:v>9</c:v>
                </c:pt>
                <c:pt idx="24">
                  <c:v>8</c:v>
                </c:pt>
                <c:pt idx="2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87-474D-82A9-57D7D9DBD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370639"/>
        <c:axId val="1553593471"/>
      </c:areaChart>
      <c:dateAx>
        <c:axId val="15533706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593471"/>
        <c:crosses val="autoZero"/>
        <c:auto val="1"/>
        <c:lblOffset val="100"/>
        <c:baseTimeUnit val="days"/>
      </c:dateAx>
      <c:valAx>
        <c:axId val="155359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370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Diagrama de Flujo Acumulado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Ejemplo!$N$5</c:f>
              <c:strCache>
                <c:ptCount val="1"/>
                <c:pt idx="0">
                  <c:v>Hecho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Ejemplo!$J$6:$J$32</c:f>
              <c:numCache>
                <c:formatCode>m/d/yyyy</c:formatCode>
                <c:ptCount val="27"/>
                <c:pt idx="0">
                  <c:v>45187</c:v>
                </c:pt>
                <c:pt idx="1">
                  <c:v>45188</c:v>
                </c:pt>
                <c:pt idx="2">
                  <c:v>45189</c:v>
                </c:pt>
                <c:pt idx="3">
                  <c:v>45190</c:v>
                </c:pt>
                <c:pt idx="4">
                  <c:v>45191</c:v>
                </c:pt>
                <c:pt idx="5">
                  <c:v>45192</c:v>
                </c:pt>
                <c:pt idx="6">
                  <c:v>45193</c:v>
                </c:pt>
                <c:pt idx="7">
                  <c:v>45194</c:v>
                </c:pt>
                <c:pt idx="8">
                  <c:v>45195</c:v>
                </c:pt>
                <c:pt idx="9">
                  <c:v>45196</c:v>
                </c:pt>
                <c:pt idx="10">
                  <c:v>45197</c:v>
                </c:pt>
                <c:pt idx="11">
                  <c:v>45198</c:v>
                </c:pt>
                <c:pt idx="12">
                  <c:v>45199</c:v>
                </c:pt>
                <c:pt idx="13">
                  <c:v>45200</c:v>
                </c:pt>
                <c:pt idx="14">
                  <c:v>45201</c:v>
                </c:pt>
                <c:pt idx="15">
                  <c:v>45202</c:v>
                </c:pt>
                <c:pt idx="16">
                  <c:v>45203</c:v>
                </c:pt>
                <c:pt idx="17">
                  <c:v>45204</c:v>
                </c:pt>
                <c:pt idx="18">
                  <c:v>45205</c:v>
                </c:pt>
                <c:pt idx="19">
                  <c:v>45206</c:v>
                </c:pt>
                <c:pt idx="20">
                  <c:v>45207</c:v>
                </c:pt>
                <c:pt idx="21">
                  <c:v>45208</c:v>
                </c:pt>
                <c:pt idx="22">
                  <c:v>45209</c:v>
                </c:pt>
                <c:pt idx="23">
                  <c:v>45210</c:v>
                </c:pt>
                <c:pt idx="24">
                  <c:v>45211</c:v>
                </c:pt>
                <c:pt idx="25">
                  <c:v>45212</c:v>
                </c:pt>
                <c:pt idx="26">
                  <c:v>45213</c:v>
                </c:pt>
              </c:numCache>
            </c:numRef>
          </c:cat>
          <c:val>
            <c:numRef>
              <c:f>Ejemplo!$N$6:$N$32</c:f>
              <c:numCache>
                <c:formatCode>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19</c:v>
                </c:pt>
                <c:pt idx="24">
                  <c:v>19</c:v>
                </c:pt>
                <c:pt idx="25">
                  <c:v>20</c:v>
                </c:pt>
                <c:pt idx="2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3E-0D43-8520-EC857C1E3653}"/>
            </c:ext>
          </c:extLst>
        </c:ser>
        <c:ser>
          <c:idx val="2"/>
          <c:order val="1"/>
          <c:tx>
            <c:strRef>
              <c:f>Ejemplo!$M$5</c:f>
              <c:strCache>
                <c:ptCount val="1"/>
                <c:pt idx="0">
                  <c:v>En revisión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Ejemplo!$J$6:$J$32</c:f>
              <c:numCache>
                <c:formatCode>m/d/yyyy</c:formatCode>
                <c:ptCount val="27"/>
                <c:pt idx="0">
                  <c:v>45187</c:v>
                </c:pt>
                <c:pt idx="1">
                  <c:v>45188</c:v>
                </c:pt>
                <c:pt idx="2">
                  <c:v>45189</c:v>
                </c:pt>
                <c:pt idx="3">
                  <c:v>45190</c:v>
                </c:pt>
                <c:pt idx="4">
                  <c:v>45191</c:v>
                </c:pt>
                <c:pt idx="5">
                  <c:v>45192</c:v>
                </c:pt>
                <c:pt idx="6">
                  <c:v>45193</c:v>
                </c:pt>
                <c:pt idx="7">
                  <c:v>45194</c:v>
                </c:pt>
                <c:pt idx="8">
                  <c:v>45195</c:v>
                </c:pt>
                <c:pt idx="9">
                  <c:v>45196</c:v>
                </c:pt>
                <c:pt idx="10">
                  <c:v>45197</c:v>
                </c:pt>
                <c:pt idx="11">
                  <c:v>45198</c:v>
                </c:pt>
                <c:pt idx="12">
                  <c:v>45199</c:v>
                </c:pt>
                <c:pt idx="13">
                  <c:v>45200</c:v>
                </c:pt>
                <c:pt idx="14">
                  <c:v>45201</c:v>
                </c:pt>
                <c:pt idx="15">
                  <c:v>45202</c:v>
                </c:pt>
                <c:pt idx="16">
                  <c:v>45203</c:v>
                </c:pt>
                <c:pt idx="17">
                  <c:v>45204</c:v>
                </c:pt>
                <c:pt idx="18">
                  <c:v>45205</c:v>
                </c:pt>
                <c:pt idx="19">
                  <c:v>45206</c:v>
                </c:pt>
                <c:pt idx="20">
                  <c:v>45207</c:v>
                </c:pt>
                <c:pt idx="21">
                  <c:v>45208</c:v>
                </c:pt>
                <c:pt idx="22">
                  <c:v>45209</c:v>
                </c:pt>
                <c:pt idx="23">
                  <c:v>45210</c:v>
                </c:pt>
                <c:pt idx="24">
                  <c:v>45211</c:v>
                </c:pt>
                <c:pt idx="25">
                  <c:v>45212</c:v>
                </c:pt>
                <c:pt idx="26">
                  <c:v>45213</c:v>
                </c:pt>
              </c:numCache>
            </c:numRef>
          </c:cat>
          <c:val>
            <c:numRef>
              <c:f>Ejemplo!$M$6:$M$32</c:f>
              <c:numCache>
                <c:formatCode>General</c:formatCode>
                <c:ptCount val="2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3E-0D43-8520-EC857C1E3653}"/>
            </c:ext>
          </c:extLst>
        </c:ser>
        <c:ser>
          <c:idx val="1"/>
          <c:order val="2"/>
          <c:tx>
            <c:strRef>
              <c:f>Ejemplo!$L$5</c:f>
              <c:strCache>
                <c:ptCount val="1"/>
                <c:pt idx="0">
                  <c:v>En proceso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Ejemplo!$J$6:$J$32</c:f>
              <c:numCache>
                <c:formatCode>m/d/yyyy</c:formatCode>
                <c:ptCount val="27"/>
                <c:pt idx="0">
                  <c:v>45187</c:v>
                </c:pt>
                <c:pt idx="1">
                  <c:v>45188</c:v>
                </c:pt>
                <c:pt idx="2">
                  <c:v>45189</c:v>
                </c:pt>
                <c:pt idx="3">
                  <c:v>45190</c:v>
                </c:pt>
                <c:pt idx="4">
                  <c:v>45191</c:v>
                </c:pt>
                <c:pt idx="5">
                  <c:v>45192</c:v>
                </c:pt>
                <c:pt idx="6">
                  <c:v>45193</c:v>
                </c:pt>
                <c:pt idx="7">
                  <c:v>45194</c:v>
                </c:pt>
                <c:pt idx="8">
                  <c:v>45195</c:v>
                </c:pt>
                <c:pt idx="9">
                  <c:v>45196</c:v>
                </c:pt>
                <c:pt idx="10">
                  <c:v>45197</c:v>
                </c:pt>
                <c:pt idx="11">
                  <c:v>45198</c:v>
                </c:pt>
                <c:pt idx="12">
                  <c:v>45199</c:v>
                </c:pt>
                <c:pt idx="13">
                  <c:v>45200</c:v>
                </c:pt>
                <c:pt idx="14">
                  <c:v>45201</c:v>
                </c:pt>
                <c:pt idx="15">
                  <c:v>45202</c:v>
                </c:pt>
                <c:pt idx="16">
                  <c:v>45203</c:v>
                </c:pt>
                <c:pt idx="17">
                  <c:v>45204</c:v>
                </c:pt>
                <c:pt idx="18">
                  <c:v>45205</c:v>
                </c:pt>
                <c:pt idx="19">
                  <c:v>45206</c:v>
                </c:pt>
                <c:pt idx="20">
                  <c:v>45207</c:v>
                </c:pt>
                <c:pt idx="21">
                  <c:v>45208</c:v>
                </c:pt>
                <c:pt idx="22">
                  <c:v>45209</c:v>
                </c:pt>
                <c:pt idx="23">
                  <c:v>45210</c:v>
                </c:pt>
                <c:pt idx="24">
                  <c:v>45211</c:v>
                </c:pt>
                <c:pt idx="25">
                  <c:v>45212</c:v>
                </c:pt>
                <c:pt idx="26">
                  <c:v>45213</c:v>
                </c:pt>
              </c:numCache>
            </c:numRef>
          </c:cat>
          <c:val>
            <c:numRef>
              <c:f>Ejemplo!$L$6:$L$32</c:f>
              <c:numCache>
                <c:formatCode>General</c:formatCode>
                <c:ptCount val="27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3E-0D43-8520-EC857C1E3653}"/>
            </c:ext>
          </c:extLst>
        </c:ser>
        <c:ser>
          <c:idx val="0"/>
          <c:order val="3"/>
          <c:tx>
            <c:strRef>
              <c:f>Ejemplo!$K$5</c:f>
              <c:strCache>
                <c:ptCount val="1"/>
                <c:pt idx="0">
                  <c:v>Por hacer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Ejemplo!$J$6:$J$32</c:f>
              <c:numCache>
                <c:formatCode>m/d/yyyy</c:formatCode>
                <c:ptCount val="27"/>
                <c:pt idx="0">
                  <c:v>45187</c:v>
                </c:pt>
                <c:pt idx="1">
                  <c:v>45188</c:v>
                </c:pt>
                <c:pt idx="2">
                  <c:v>45189</c:v>
                </c:pt>
                <c:pt idx="3">
                  <c:v>45190</c:v>
                </c:pt>
                <c:pt idx="4">
                  <c:v>45191</c:v>
                </c:pt>
                <c:pt idx="5">
                  <c:v>45192</c:v>
                </c:pt>
                <c:pt idx="6">
                  <c:v>45193</c:v>
                </c:pt>
                <c:pt idx="7">
                  <c:v>45194</c:v>
                </c:pt>
                <c:pt idx="8">
                  <c:v>45195</c:v>
                </c:pt>
                <c:pt idx="9">
                  <c:v>45196</c:v>
                </c:pt>
                <c:pt idx="10">
                  <c:v>45197</c:v>
                </c:pt>
                <c:pt idx="11">
                  <c:v>45198</c:v>
                </c:pt>
                <c:pt idx="12">
                  <c:v>45199</c:v>
                </c:pt>
                <c:pt idx="13">
                  <c:v>45200</c:v>
                </c:pt>
                <c:pt idx="14">
                  <c:v>45201</c:v>
                </c:pt>
                <c:pt idx="15">
                  <c:v>45202</c:v>
                </c:pt>
                <c:pt idx="16">
                  <c:v>45203</c:v>
                </c:pt>
                <c:pt idx="17">
                  <c:v>45204</c:v>
                </c:pt>
                <c:pt idx="18">
                  <c:v>45205</c:v>
                </c:pt>
                <c:pt idx="19">
                  <c:v>45206</c:v>
                </c:pt>
                <c:pt idx="20">
                  <c:v>45207</c:v>
                </c:pt>
                <c:pt idx="21">
                  <c:v>45208</c:v>
                </c:pt>
                <c:pt idx="22">
                  <c:v>45209</c:v>
                </c:pt>
                <c:pt idx="23">
                  <c:v>45210</c:v>
                </c:pt>
                <c:pt idx="24">
                  <c:v>45211</c:v>
                </c:pt>
                <c:pt idx="25">
                  <c:v>45212</c:v>
                </c:pt>
                <c:pt idx="26">
                  <c:v>45213</c:v>
                </c:pt>
              </c:numCache>
            </c:numRef>
          </c:cat>
          <c:val>
            <c:numRef>
              <c:f>Ejemplo!$K$6:$K$32</c:f>
              <c:numCache>
                <c:formatCode>General</c:formatCode>
                <c:ptCount val="27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E-0D43-8520-EC857C1E3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370639"/>
        <c:axId val="1553593471"/>
      </c:areaChart>
      <c:dateAx>
        <c:axId val="15533706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593471"/>
        <c:crosses val="autoZero"/>
        <c:auto val="1"/>
        <c:lblOffset val="100"/>
        <c:baseTimeUnit val="days"/>
      </c:dateAx>
      <c:valAx>
        <c:axId val="155359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370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12700</xdr:colOff>
      <xdr:row>4</xdr:row>
      <xdr:rowOff>0</xdr:rowOff>
    </xdr:from>
    <xdr:to>
      <xdr:col>27</xdr:col>
      <xdr:colOff>25400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2B9C0C-F968-B840-8FAC-2B82A7F57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12700</xdr:colOff>
      <xdr:row>4</xdr:row>
      <xdr:rowOff>0</xdr:rowOff>
    </xdr:from>
    <xdr:to>
      <xdr:col>27</xdr:col>
      <xdr:colOff>25400</xdr:colOff>
      <xdr:row>25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34C1D19-6BCC-16F1-7B27-AE6AF7CFF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F1F05E-4968-9743-B876-58A6FF90A0CE}" name="Registro_proyecto" displayName="Registro_proyecto" ref="A5:H31" totalsRowShown="0" headerRowDxfId="42">
  <autoFilter ref="A5:H31" xr:uid="{7E41C880-750C-1C4E-95C2-C5F1AF1F48EB}"/>
  <tableColumns count="8">
    <tableColumn id="1" xr3:uid="{084D4B41-BB1A-F14D-A7DB-261A095623A8}" name="Código Tarea"/>
    <tableColumn id="2" xr3:uid="{24647FD7-1A93-2944-B3C8-44814247B44B}" name="Por hacer" dataDxfId="41"/>
    <tableColumn id="3" xr3:uid="{31B7D122-0697-464F-A52D-AD2A1B154186}" name="En proceso" dataDxfId="40"/>
    <tableColumn id="4" xr3:uid="{DD5FE396-5DF2-594B-B04E-B389248994B0}" name="En revisión" dataDxfId="39"/>
    <tableColumn id="5" xr3:uid="{091F48CA-66B5-E844-AF12-25E8B3CC31C7}" name="Hecho" dataDxfId="38"/>
    <tableColumn id="6" xr3:uid="{BD02399F-56F5-FC49-A327-9BF636636597}" name="Estado" dataDxfId="37">
      <calculatedColumnFormula>IF(NOT(ISBLANK(Registro_proyecto[[#This Row],[Hecho]])),"Hecho",IF(NOT(ISBLANK(Registro_proyecto[[#This Row],[En revisión]])),"En revisión",IF(NOT(ISBLANK(Registro_proyecto[[#This Row],[En proceso]])),"En proceso","Por Hacer")))</calculatedColumnFormula>
    </tableColumn>
    <tableColumn id="7" xr3:uid="{FD25D361-3E57-BB44-B447-F9ABDB7B71ED}" name="Tiempo de Entrega" dataDxfId="36">
      <calculatedColumnFormula>IF(Registro_proyecto[[#This Row],[Hecho]]="","",Registro_proyecto[[#This Row],[Hecho]]-Registro_proyecto[[#This Row],[Por hacer]])</calculatedColumnFormula>
    </tableColumn>
    <tableColumn id="8" xr3:uid="{B3D1C76A-DFF2-F845-B4A9-C56DEF71A973}" name="Tiempo de Ciclo" dataDxfId="35">
      <calculatedColumnFormula>IF(Registro_proyecto[[#This Row],[Hecho]]="","",Registro_proyecto[[#This Row],[Hecho]]-Registro_proyecto[[#This Row],[En proceso]])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45E45C-F67E-DB4A-8819-4A5AD06C273C}" name="Tareas_proyecto" displayName="Tareas_proyecto" ref="J5:Q31" totalsRowShown="0" headerRowDxfId="11">
  <autoFilter ref="J5:Q31" xr:uid="{6D705243-7643-854C-B19C-9823DCEBE549}"/>
  <tableColumns count="8">
    <tableColumn id="1" xr3:uid="{243BBE1A-6B07-0C47-8575-1D46C9218228}" name="Fecha" dataDxfId="10">
      <calculatedColumnFormula>IF(ISNUMBER(J5),J5+1,Registro_proyecto[[#This Row],[Por hacer]])</calculatedColumnFormula>
    </tableColumn>
    <tableColumn id="2" xr3:uid="{7FECE11E-0B7D-674D-9F0A-8A54F0CC3E37}" name="Por hacer" dataDxfId="9">
      <calculatedColumnFormula>COUNTIF(Registro_proyecto[Por hacer],Tareas_proyecto[[#This Row],[Fecha]])-COUNTIF(Registro_proyecto[En proceso],Tareas_proyecto[[#This Row],[Fecha]])+IF(ISNUMBER(K5),K5,0)</calculatedColumnFormula>
    </tableColumn>
    <tableColumn id="3" xr3:uid="{177DF3AC-2CE4-DA43-A516-73A28C601535}" name="En proceso" dataDxfId="8">
      <calculatedColumnFormula>COUNTIF(Registro_proyecto[En proceso],Tareas_proyecto[[#This Row],[Fecha]])-COUNTIF(Registro_proyecto[En revisión],Tareas_proyecto[[#This Row],[Fecha]])+IF(ISNUMBER(L5),L5,0)</calculatedColumnFormula>
    </tableColumn>
    <tableColumn id="4" xr3:uid="{1DEA09EE-526C-154F-B178-B0309550FE4D}" name="En revisión" dataDxfId="7">
      <calculatedColumnFormula>COUNTIF(Registro_proyecto[En revisión],Tareas_proyecto[[#This Row],[Fecha]])-COUNTIF(Registro_proyecto[Hecho],Tareas_proyecto[[#This Row],[Fecha]])+IF(ISNUMBER(M5),M5,0)</calculatedColumnFormula>
    </tableColumn>
    <tableColumn id="5" xr3:uid="{AE0CA32D-6E83-9049-8EB3-9F2A5FF4A971}" name="Hecho" dataDxfId="6">
      <calculatedColumnFormula>COUNTIF(Registro_proyecto[Hecho],Tareas_proyecto[[#This Row],[Fecha]])+IF(ISNUMBER(N5),N5,0)</calculatedColumnFormula>
    </tableColumn>
    <tableColumn id="6" xr3:uid="{34356E9A-4335-1A41-9B0E-26DD630F2ED4}" name="Límite WIP - Proceso" dataDxfId="5"/>
    <tableColumn id="7" xr3:uid="{E557E1D9-7937-DE49-A6B4-AEF7A0E22CFE}" name="Límite WIP - Revisión" dataDxfId="4"/>
    <tableColumn id="8" xr3:uid="{2E11DB40-35A0-E34C-90C3-B99F6CF7E2C6}" name="WIP" dataDxfId="3">
      <calculatedColumnFormula>SUM(Tareas_proyecto[[#This Row],[En proceso]]+Tareas_proyecto[[#This Row],[En revisión]])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1C880-750C-1C4E-95C2-C5F1AF1F48EB}" name="Registro_ejemplo" displayName="Registro_ejemplo" ref="A5:H27" totalsRowShown="0" headerRowDxfId="34">
  <autoFilter ref="A5:H27" xr:uid="{7E41C880-750C-1C4E-95C2-C5F1AF1F48EB}"/>
  <tableColumns count="8">
    <tableColumn id="1" xr3:uid="{180F83F4-9428-7446-AC41-ABD52E62F91F}" name="Código Tarea"/>
    <tableColumn id="2" xr3:uid="{463B122F-62DA-954F-95FD-331D7FAAB202}" name="Por hacer" dataDxfId="33"/>
    <tableColumn id="3" xr3:uid="{82E8C085-8FCA-FB44-A660-9397FDACB474}" name="En proceso" dataDxfId="32"/>
    <tableColumn id="4" xr3:uid="{87B874D2-CF25-134C-8FDA-70DA772E6914}" name="En revisión" dataDxfId="31"/>
    <tableColumn id="5" xr3:uid="{9730A58C-2241-8445-A952-86CBA5D59D72}" name="Hecho" dataDxfId="30"/>
    <tableColumn id="6" xr3:uid="{6CB970B5-A47E-4A49-96CA-7231F849B790}" name="Estado" dataDxfId="29">
      <calculatedColumnFormula>IF(NOT(ISBLANK(Registro_ejemplo[[#This Row],[Hecho]])),"Hecho",IF(NOT(ISBLANK(Registro_ejemplo[[#This Row],[En revisión]])),"En revisión",IF(NOT(ISBLANK(Registro_ejemplo[[#This Row],[En proceso]])),"En proceso","Por Hacer")))</calculatedColumnFormula>
    </tableColumn>
    <tableColumn id="7" xr3:uid="{77F88428-C7D0-2E40-A482-1F2659D41A55}" name="Tiempo de Entrega" dataDxfId="28">
      <calculatedColumnFormula>IF(Registro_ejemplo[[#This Row],[Hecho]]="","",Registro_ejemplo[[#This Row],[Hecho]]-Registro_ejemplo[[#This Row],[Por hacer]])</calculatedColumnFormula>
    </tableColumn>
    <tableColumn id="8" xr3:uid="{1A2EEA40-7A95-BE4A-B265-911F543B8A70}" name="Tiempo de Ciclo" dataDxfId="27">
      <calculatedColumnFormula>IF(Registro_ejemplo[[#This Row],[Hecho]]="","",Registro_ejemplo[[#This Row],[Hecho]]-Registro_ejemplo[[#This Row],[En proceso]])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705243-7643-854C-B19C-9823DCEBE549}" name="Tareas_ejemplo" displayName="Tareas_ejemplo" ref="J5:Q32" totalsRowShown="0" headerRowDxfId="26">
  <autoFilter ref="J5:Q32" xr:uid="{6D705243-7643-854C-B19C-9823DCEBE549}"/>
  <tableColumns count="8">
    <tableColumn id="1" xr3:uid="{11685733-81D4-2345-9562-4005950B51D3}" name="Fecha" dataDxfId="25">
      <calculatedColumnFormula>IF(ISNUMBER(J5),J5+1,Registro_ejemplo[[#This Row],[Por hacer]])</calculatedColumnFormula>
    </tableColumn>
    <tableColumn id="2" xr3:uid="{B912A3E8-D2F6-F04B-B84F-A941361336E8}" name="Por hacer" dataDxfId="24">
      <calculatedColumnFormula>COUNTIF(Registro_ejemplo[Por hacer],Tareas_ejemplo[[#This Row],[Fecha]])-COUNTIF(Registro_ejemplo[En proceso],Tareas_ejemplo[[#This Row],[Fecha]])+IF(ISNUMBER(K5),K5,0)</calculatedColumnFormula>
    </tableColumn>
    <tableColumn id="3" xr3:uid="{EE43C000-6A54-7542-9D18-FF444D82BACE}" name="En proceso" dataDxfId="23">
      <calculatedColumnFormula>COUNTIF(Registro_ejemplo[En proceso],Tareas_ejemplo[[#This Row],[Fecha]])-COUNTIF(Registro_ejemplo[En revisión],Tareas_ejemplo[[#This Row],[Fecha]])+IF(ISNUMBER(L5),L5,0)</calculatedColumnFormula>
    </tableColumn>
    <tableColumn id="4" xr3:uid="{C6D72137-FC00-2F43-8A68-175D48196E52}" name="En revisión" dataDxfId="22">
      <calculatedColumnFormula>COUNTIF(Registro_ejemplo[En revisión],Tareas_ejemplo[[#This Row],[Fecha]])-COUNTIF(Registro_ejemplo[Hecho],Tareas_ejemplo[[#This Row],[Fecha]])+IF(ISNUMBER(M5),M5,0)</calculatedColumnFormula>
    </tableColumn>
    <tableColumn id="5" xr3:uid="{9B9BA2F7-AAFA-C346-A930-6F5C5016CC15}" name="Hecho" dataDxfId="21">
      <calculatedColumnFormula>COUNTIF(Registro_ejemplo[Hecho],Tareas_ejemplo[[#This Row],[Fecha]])+IF(ISNUMBER(N5),N5,0)</calculatedColumnFormula>
    </tableColumn>
    <tableColumn id="6" xr3:uid="{ECF68C0B-9732-BD49-9804-B9B3CBC8C9D2}" name="Límite WIP - Proceso" dataDxfId="20"/>
    <tableColumn id="7" xr3:uid="{B90BAE6F-C214-294C-8B49-F1FF950AB5F4}" name="Límite WIP - Revisión" dataDxfId="19"/>
    <tableColumn id="8" xr3:uid="{7E2E67BB-8B4A-C845-9F0D-D7215D486CB2}" name="WIP" dataDxfId="18">
      <calculatedColumnFormula>SUM(Tareas_ejemplo[[#This Row],[En proceso]]+Tareas_ejemplo[[#This Row],[En revisión]])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F501-E85B-46A0-A233-71BC61734CF4}">
  <dimension ref="A2:D11"/>
  <sheetViews>
    <sheetView workbookViewId="0">
      <selection activeCell="A2" sqref="A2"/>
    </sheetView>
  </sheetViews>
  <sheetFormatPr defaultRowHeight="15.6" x14ac:dyDescent="0.3"/>
  <cols>
    <col min="3" max="3" width="28.59765625" customWidth="1"/>
    <col min="4" max="4" width="10.5" customWidth="1"/>
  </cols>
  <sheetData>
    <row r="2" spans="1:4" ht="28.8" x14ac:dyDescent="0.55000000000000004">
      <c r="A2" s="16" t="s">
        <v>77</v>
      </c>
    </row>
    <row r="5" spans="1:4" x14ac:dyDescent="0.3">
      <c r="C5" s="14" t="s">
        <v>63</v>
      </c>
      <c r="D5" s="14" t="s">
        <v>64</v>
      </c>
    </row>
    <row r="6" spans="1:4" x14ac:dyDescent="0.3">
      <c r="C6" s="10" t="s">
        <v>65</v>
      </c>
      <c r="D6" s="15" t="s">
        <v>71</v>
      </c>
    </row>
    <row r="7" spans="1:4" x14ac:dyDescent="0.3">
      <c r="C7" s="10" t="s">
        <v>66</v>
      </c>
      <c r="D7" s="15" t="s">
        <v>72</v>
      </c>
    </row>
    <row r="8" spans="1:4" x14ac:dyDescent="0.3">
      <c r="C8" s="10" t="s">
        <v>67</v>
      </c>
      <c r="D8" s="15" t="s">
        <v>73</v>
      </c>
    </row>
    <row r="9" spans="1:4" x14ac:dyDescent="0.3">
      <c r="C9" s="10" t="s">
        <v>68</v>
      </c>
      <c r="D9" s="15" t="s">
        <v>75</v>
      </c>
    </row>
    <row r="10" spans="1:4" x14ac:dyDescent="0.3">
      <c r="C10" s="10" t="s">
        <v>69</v>
      </c>
      <c r="D10" s="15" t="s">
        <v>74</v>
      </c>
    </row>
    <row r="11" spans="1:4" x14ac:dyDescent="0.3">
      <c r="C11" s="10" t="s">
        <v>70</v>
      </c>
      <c r="D11" s="1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5B37-9939-4DF1-929C-AE366762D5D0}">
  <dimension ref="A2:C32"/>
  <sheetViews>
    <sheetView tabSelected="1" topLeftCell="A14" workbookViewId="0">
      <selection activeCell="B28" sqref="B28"/>
    </sheetView>
  </sheetViews>
  <sheetFormatPr defaultRowHeight="15.6" x14ac:dyDescent="0.3"/>
  <cols>
    <col min="1" max="1" width="12.69921875" customWidth="1"/>
    <col min="2" max="2" width="53.19921875" customWidth="1"/>
    <col min="3" max="3" width="16.19921875" customWidth="1"/>
  </cols>
  <sheetData>
    <row r="2" spans="1:3" ht="28.8" x14ac:dyDescent="0.55000000000000004">
      <c r="A2" s="16" t="s">
        <v>80</v>
      </c>
    </row>
    <row r="5" spans="1:3" x14ac:dyDescent="0.3">
      <c r="A5" s="14" t="s">
        <v>6</v>
      </c>
      <c r="B5" s="14" t="s">
        <v>46</v>
      </c>
      <c r="C5" s="14" t="s">
        <v>62</v>
      </c>
    </row>
    <row r="6" spans="1:3" x14ac:dyDescent="0.3">
      <c r="A6" s="10" t="s">
        <v>8</v>
      </c>
      <c r="B6" s="10" t="s">
        <v>47</v>
      </c>
      <c r="C6" s="15" t="s">
        <v>78</v>
      </c>
    </row>
    <row r="7" spans="1:3" x14ac:dyDescent="0.3">
      <c r="A7" s="10" t="s">
        <v>9</v>
      </c>
      <c r="B7" s="10" t="s">
        <v>48</v>
      </c>
      <c r="C7" s="15" t="s">
        <v>78</v>
      </c>
    </row>
    <row r="8" spans="1:3" x14ac:dyDescent="0.3">
      <c r="A8" s="10" t="s">
        <v>10</v>
      </c>
      <c r="B8" s="10" t="s">
        <v>52</v>
      </c>
      <c r="C8" s="15" t="s">
        <v>78</v>
      </c>
    </row>
    <row r="9" spans="1:3" x14ac:dyDescent="0.3">
      <c r="A9" s="10" t="s">
        <v>11</v>
      </c>
      <c r="B9" s="10" t="s">
        <v>49</v>
      </c>
      <c r="C9" s="15" t="s">
        <v>78</v>
      </c>
    </row>
    <row r="10" spans="1:3" x14ac:dyDescent="0.3">
      <c r="A10" s="10" t="s">
        <v>12</v>
      </c>
      <c r="B10" s="10" t="s">
        <v>50</v>
      </c>
      <c r="C10" s="15" t="s">
        <v>73</v>
      </c>
    </row>
    <row r="11" spans="1:3" x14ac:dyDescent="0.3">
      <c r="A11" s="10" t="s">
        <v>13</v>
      </c>
      <c r="B11" s="10" t="s">
        <v>51</v>
      </c>
      <c r="C11" s="15" t="s">
        <v>73</v>
      </c>
    </row>
    <row r="12" spans="1:3" x14ac:dyDescent="0.3">
      <c r="A12" s="10" t="s">
        <v>14</v>
      </c>
      <c r="B12" s="10" t="s">
        <v>53</v>
      </c>
      <c r="C12" s="15" t="s">
        <v>76</v>
      </c>
    </row>
    <row r="13" spans="1:3" x14ac:dyDescent="0.3">
      <c r="A13" s="10" t="s">
        <v>16</v>
      </c>
      <c r="B13" s="10" t="s">
        <v>54</v>
      </c>
      <c r="C13" s="15" t="s">
        <v>76</v>
      </c>
    </row>
    <row r="14" spans="1:3" x14ac:dyDescent="0.3">
      <c r="A14" s="10" t="s">
        <v>17</v>
      </c>
      <c r="B14" s="10" t="s">
        <v>55</v>
      </c>
      <c r="C14" s="15" t="s">
        <v>74</v>
      </c>
    </row>
    <row r="15" spans="1:3" x14ac:dyDescent="0.3">
      <c r="A15" s="10" t="s">
        <v>18</v>
      </c>
      <c r="B15" s="10" t="s">
        <v>56</v>
      </c>
      <c r="C15" s="15" t="s">
        <v>79</v>
      </c>
    </row>
    <row r="16" spans="1:3" x14ac:dyDescent="0.3">
      <c r="A16" s="10" t="s">
        <v>19</v>
      </c>
      <c r="B16" s="10" t="s">
        <v>57</v>
      </c>
      <c r="C16" s="15" t="s">
        <v>79</v>
      </c>
    </row>
    <row r="17" spans="1:3" x14ac:dyDescent="0.3">
      <c r="A17" s="10" t="s">
        <v>20</v>
      </c>
      <c r="B17" s="10" t="s">
        <v>58</v>
      </c>
      <c r="C17" s="15" t="s">
        <v>79</v>
      </c>
    </row>
    <row r="18" spans="1:3" x14ac:dyDescent="0.3">
      <c r="A18" s="10" t="s">
        <v>21</v>
      </c>
      <c r="B18" s="10" t="s">
        <v>59</v>
      </c>
      <c r="C18" s="15" t="s">
        <v>71</v>
      </c>
    </row>
    <row r="19" spans="1:3" x14ac:dyDescent="0.3">
      <c r="A19" s="10" t="s">
        <v>22</v>
      </c>
      <c r="B19" s="10" t="s">
        <v>60</v>
      </c>
      <c r="C19" s="15" t="s">
        <v>71</v>
      </c>
    </row>
    <row r="20" spans="1:3" x14ac:dyDescent="0.3">
      <c r="A20" s="10" t="s">
        <v>23</v>
      </c>
      <c r="B20" s="10" t="s">
        <v>61</v>
      </c>
      <c r="C20" s="15" t="s">
        <v>71</v>
      </c>
    </row>
    <row r="21" spans="1:3" x14ac:dyDescent="0.3">
      <c r="A21" s="18" t="s">
        <v>96</v>
      </c>
      <c r="B21" s="19"/>
      <c r="C21" s="19"/>
    </row>
    <row r="22" spans="1:3" x14ac:dyDescent="0.3">
      <c r="A22" s="10" t="s">
        <v>24</v>
      </c>
      <c r="B22" s="17" t="s">
        <v>81</v>
      </c>
      <c r="C22" s="15" t="s">
        <v>76</v>
      </c>
    </row>
    <row r="23" spans="1:3" x14ac:dyDescent="0.3">
      <c r="A23" s="10" t="s">
        <v>25</v>
      </c>
      <c r="B23" s="17" t="s">
        <v>82</v>
      </c>
      <c r="C23" s="15" t="s">
        <v>73</v>
      </c>
    </row>
    <row r="24" spans="1:3" x14ac:dyDescent="0.3">
      <c r="A24" s="10" t="s">
        <v>26</v>
      </c>
      <c r="B24" s="17" t="s">
        <v>83</v>
      </c>
      <c r="C24" s="15" t="s">
        <v>73</v>
      </c>
    </row>
    <row r="25" spans="1:3" x14ac:dyDescent="0.3">
      <c r="A25" s="10" t="s">
        <v>27</v>
      </c>
      <c r="B25" s="17" t="s">
        <v>84</v>
      </c>
      <c r="C25" s="15" t="s">
        <v>74</v>
      </c>
    </row>
    <row r="26" spans="1:3" x14ac:dyDescent="0.3">
      <c r="A26" s="10" t="s">
        <v>28</v>
      </c>
      <c r="B26" s="17" t="s">
        <v>85</v>
      </c>
      <c r="C26" s="15" t="s">
        <v>74</v>
      </c>
    </row>
    <row r="27" spans="1:3" x14ac:dyDescent="0.3">
      <c r="A27" s="10" t="s">
        <v>29</v>
      </c>
      <c r="B27" s="17" t="s">
        <v>86</v>
      </c>
      <c r="C27" s="15" t="s">
        <v>74</v>
      </c>
    </row>
    <row r="28" spans="1:3" x14ac:dyDescent="0.3">
      <c r="A28" s="10" t="s">
        <v>30</v>
      </c>
      <c r="B28" s="17" t="s">
        <v>87</v>
      </c>
      <c r="C28" s="15" t="s">
        <v>79</v>
      </c>
    </row>
    <row r="29" spans="1:3" x14ac:dyDescent="0.3">
      <c r="A29" s="10" t="s">
        <v>92</v>
      </c>
      <c r="B29" s="17" t="s">
        <v>88</v>
      </c>
      <c r="C29" s="15" t="s">
        <v>79</v>
      </c>
    </row>
    <row r="30" spans="1:3" x14ac:dyDescent="0.3">
      <c r="A30" s="10" t="s">
        <v>93</v>
      </c>
      <c r="B30" s="17" t="s">
        <v>89</v>
      </c>
      <c r="C30" s="15" t="s">
        <v>97</v>
      </c>
    </row>
    <row r="31" spans="1:3" x14ac:dyDescent="0.3">
      <c r="A31" s="10" t="s">
        <v>94</v>
      </c>
      <c r="B31" s="17" t="s">
        <v>90</v>
      </c>
      <c r="C31" s="15" t="s">
        <v>73</v>
      </c>
    </row>
    <row r="32" spans="1:3" x14ac:dyDescent="0.3">
      <c r="A32" s="10" t="s">
        <v>95</v>
      </c>
      <c r="B32" s="10" t="s">
        <v>91</v>
      </c>
      <c r="C32" s="15" t="s">
        <v>71</v>
      </c>
    </row>
  </sheetData>
  <mergeCells count="1">
    <mergeCell ref="A21:C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A928-A56A-8A41-8993-334C4E65BC79}">
  <dimension ref="A1:AC32"/>
  <sheetViews>
    <sheetView zoomScale="63" zoomScaleNormal="64" workbookViewId="0">
      <selection activeCell="D32" sqref="D32"/>
    </sheetView>
  </sheetViews>
  <sheetFormatPr defaultColWidth="11.19921875" defaultRowHeight="15.6" x14ac:dyDescent="0.3"/>
  <cols>
    <col min="1" max="1" width="11.69921875" customWidth="1"/>
    <col min="2" max="2" width="12.296875" customWidth="1"/>
    <col min="3" max="4" width="13.69921875" bestFit="1" customWidth="1"/>
    <col min="7" max="8" width="13.5" bestFit="1" customWidth="1"/>
    <col min="11" max="11" width="12.5" bestFit="1" customWidth="1"/>
    <col min="12" max="13" width="13.69921875" bestFit="1" customWidth="1"/>
    <col min="15" max="16" width="13.69921875" bestFit="1" customWidth="1"/>
    <col min="19" max="19" width="26.19921875" customWidth="1"/>
    <col min="20" max="20" width="8.5" bestFit="1" customWidth="1"/>
    <col min="21" max="21" width="6.296875" bestFit="1" customWidth="1"/>
    <col min="22" max="22" width="6.296875" customWidth="1"/>
    <col min="23" max="23" width="34.69921875" bestFit="1" customWidth="1"/>
    <col min="24" max="24" width="3.69921875" customWidth="1"/>
    <col min="25" max="25" width="6.296875" bestFit="1" customWidth="1"/>
    <col min="26" max="26" width="6.5" customWidth="1"/>
    <col min="27" max="27" width="34.796875" bestFit="1" customWidth="1"/>
    <col min="28" max="28" width="3.796875" customWidth="1"/>
  </cols>
  <sheetData>
    <row r="1" spans="1:19" ht="28.8" x14ac:dyDescent="0.55000000000000004">
      <c r="A1" s="8" t="s">
        <v>32</v>
      </c>
    </row>
    <row r="2" spans="1:19" x14ac:dyDescent="0.3">
      <c r="A2" t="s">
        <v>45</v>
      </c>
    </row>
    <row r="4" spans="1:19" ht="18" x14ac:dyDescent="0.35">
      <c r="A4" s="9" t="s">
        <v>31</v>
      </c>
      <c r="C4" s="5"/>
      <c r="D4" s="5"/>
      <c r="J4" s="9" t="s">
        <v>0</v>
      </c>
      <c r="L4" s="5"/>
      <c r="M4" s="5"/>
      <c r="S4" s="9" t="s">
        <v>37</v>
      </c>
    </row>
    <row r="5" spans="1:19" ht="31.2" x14ac:dyDescent="0.3">
      <c r="A5" s="4" t="s">
        <v>6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15</v>
      </c>
      <c r="G5" s="4" t="s">
        <v>33</v>
      </c>
      <c r="H5" s="4" t="s">
        <v>34</v>
      </c>
      <c r="I5" s="4"/>
      <c r="J5" s="4" t="s">
        <v>7</v>
      </c>
      <c r="K5" s="4" t="s">
        <v>1</v>
      </c>
      <c r="L5" s="4" t="s">
        <v>2</v>
      </c>
      <c r="M5" s="4" t="s">
        <v>3</v>
      </c>
      <c r="N5" s="4" t="s">
        <v>4</v>
      </c>
      <c r="O5" s="4" t="s">
        <v>35</v>
      </c>
      <c r="P5" s="4" t="s">
        <v>36</v>
      </c>
      <c r="Q5" s="4" t="s">
        <v>5</v>
      </c>
    </row>
    <row r="6" spans="1:19" x14ac:dyDescent="0.3">
      <c r="A6" t="s">
        <v>8</v>
      </c>
      <c r="B6" s="12">
        <v>45569</v>
      </c>
      <c r="C6" s="12">
        <v>45569</v>
      </c>
      <c r="D6" s="12">
        <v>45569</v>
      </c>
      <c r="E6" s="12">
        <v>45569</v>
      </c>
      <c r="F6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6" s="3">
        <f>IF(Registro_proyecto[[#This Row],[Hecho]]="","",Registro_proyecto[[#This Row],[Hecho]]-Registro_proyecto[[#This Row],[Por hacer]])</f>
        <v>0</v>
      </c>
      <c r="H6" s="3">
        <f>IF(Registro_proyecto[[#This Row],[Hecho]]="","",Registro_proyecto[[#This Row],[Hecho]]-Registro_proyecto[[#This Row],[En proceso]])</f>
        <v>0</v>
      </c>
      <c r="I6" s="3"/>
      <c r="J6" s="1">
        <f>IF(ISNUMBER(J5),J5+1,Registro_proyecto[[#This Row],[Por hacer]])</f>
        <v>45569</v>
      </c>
      <c r="K6">
        <f>COUNTIF(Registro_proyecto[Por hacer],Tareas_proyecto[[#This Row],[Fecha]])-COUNTIF(Registro_proyecto[En proceso],Tareas_proyecto[[#This Row],[Fecha]])+IF(ISNUMBER(K5),K5,0)</f>
        <v>12</v>
      </c>
      <c r="L6">
        <f>COUNTIF(Registro_proyecto[En proceso],Tareas_proyecto[[#This Row],[Fecha]])-COUNTIF(Registro_proyecto[En revisión],Tareas_proyecto[[#This Row],[Fecha]])+IF(ISNUMBER(L5),L5,0)</f>
        <v>1</v>
      </c>
      <c r="M6">
        <f>COUNTIF(Registro_proyecto[En revisión],Tareas_proyecto[[#This Row],[Fecha]])-COUNTIF(Registro_proyecto[Hecho],Tareas_proyecto[[#This Row],[Fecha]])+IF(ISNUMBER(M5),M5,0)</f>
        <v>0</v>
      </c>
      <c r="N6" s="3">
        <f>COUNTIF(Registro_proyecto[Hecho],Tareas_proyecto[[#This Row],[Fecha]])+IF(ISNUMBER(N5),N5,0)</f>
        <v>2</v>
      </c>
      <c r="Q6">
        <f>SUM(Tareas_proyecto[[#This Row],[En proceso]]+Tareas_proyecto[[#This Row],[En revisión]])</f>
        <v>1</v>
      </c>
    </row>
    <row r="7" spans="1:19" x14ac:dyDescent="0.3">
      <c r="A7" t="s">
        <v>9</v>
      </c>
      <c r="B7" s="1">
        <v>45569</v>
      </c>
      <c r="C7" s="1">
        <v>45569</v>
      </c>
      <c r="D7" s="1">
        <v>45569</v>
      </c>
      <c r="E7" s="1">
        <v>45569</v>
      </c>
      <c r="F7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7" s="3">
        <f>IF(Registro_proyecto[[#This Row],[Hecho]]="","",Registro_proyecto[[#This Row],[Hecho]]-Registro_proyecto[[#This Row],[Por hacer]])</f>
        <v>0</v>
      </c>
      <c r="H7" s="3">
        <f>IF(Registro_proyecto[[#This Row],[Hecho]]="","",Registro_proyecto[[#This Row],[Hecho]]-Registro_proyecto[[#This Row],[En proceso]])</f>
        <v>0</v>
      </c>
      <c r="I7" s="3"/>
      <c r="J7" s="1">
        <f>IF(ISNUMBER(J6),J6+1,Registro_proyecto[[#This Row],[Por hacer]])</f>
        <v>45570</v>
      </c>
      <c r="K7">
        <f>COUNTIF(Registro_proyecto[Por hacer],Tareas_proyecto[[#This Row],[Fecha]])-COUNTIF(Registro_proyecto[En proceso],Tareas_proyecto[[#This Row],[Fecha]])+IF(ISNUMBER(K6),K6,0)</f>
        <v>12</v>
      </c>
      <c r="L7">
        <f>COUNTIF(Registro_proyecto[En proceso],Tareas_proyecto[[#This Row],[Fecha]])-COUNTIF(Registro_proyecto[En revisión],Tareas_proyecto[[#This Row],[Fecha]])+IF(ISNUMBER(L6),L6,0)</f>
        <v>1</v>
      </c>
      <c r="M7">
        <f>COUNTIF(Registro_proyecto[En revisión],Tareas_proyecto[[#This Row],[Fecha]])-COUNTIF(Registro_proyecto[Hecho],Tareas_proyecto[[#This Row],[Fecha]])+IF(ISNUMBER(M6),M6,0)</f>
        <v>0</v>
      </c>
      <c r="N7" s="3">
        <f>COUNTIF(Registro_proyecto[Hecho],Tareas_proyecto[[#This Row],[Fecha]])+IF(ISNUMBER(N6),N6,0)</f>
        <v>2</v>
      </c>
      <c r="Q7">
        <f>SUM(Tareas_proyecto[[#This Row],[En proceso]]+Tareas_proyecto[[#This Row],[En revisión]])</f>
        <v>1</v>
      </c>
    </row>
    <row r="8" spans="1:19" x14ac:dyDescent="0.3">
      <c r="A8" t="s">
        <v>10</v>
      </c>
      <c r="B8" s="1">
        <v>45569</v>
      </c>
      <c r="C8" s="1">
        <v>45569</v>
      </c>
      <c r="D8" s="1">
        <v>45572</v>
      </c>
      <c r="E8" s="1">
        <v>45572</v>
      </c>
      <c r="F8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8" s="3">
        <f>IF(Registro_proyecto[[#This Row],[Hecho]]="","",Registro_proyecto[[#This Row],[Hecho]]-Registro_proyecto[[#This Row],[Por hacer]])</f>
        <v>3</v>
      </c>
      <c r="H8" s="3">
        <f>IF(Registro_proyecto[[#This Row],[Hecho]]="","",Registro_proyecto[[#This Row],[Hecho]]-Registro_proyecto[[#This Row],[En proceso]])</f>
        <v>3</v>
      </c>
      <c r="I8" s="3"/>
      <c r="J8" s="1">
        <f>IF(ISNUMBER(J7),J7+1,Registro_proyecto[[#This Row],[Por hacer]])</f>
        <v>45571</v>
      </c>
      <c r="K8">
        <f>COUNTIF(Registro_proyecto[Por hacer],Tareas_proyecto[[#This Row],[Fecha]])-COUNTIF(Registro_proyecto[En proceso],Tareas_proyecto[[#This Row],[Fecha]])+IF(ISNUMBER(K7),K7,0)</f>
        <v>12</v>
      </c>
      <c r="L8">
        <f>COUNTIF(Registro_proyecto[En proceso],Tareas_proyecto[[#This Row],[Fecha]])-COUNTIF(Registro_proyecto[En revisión],Tareas_proyecto[[#This Row],[Fecha]])+IF(ISNUMBER(L7),L7,0)</f>
        <v>1</v>
      </c>
      <c r="M8">
        <f>COUNTIF(Registro_proyecto[En revisión],Tareas_proyecto[[#This Row],[Fecha]])-COUNTIF(Registro_proyecto[Hecho],Tareas_proyecto[[#This Row],[Fecha]])+IF(ISNUMBER(M7),M7,0)</f>
        <v>0</v>
      </c>
      <c r="N8" s="3">
        <f>COUNTIF(Registro_proyecto[Hecho],Tareas_proyecto[[#This Row],[Fecha]])+IF(ISNUMBER(N7),N7,0)</f>
        <v>2</v>
      </c>
      <c r="Q8">
        <f>SUM(Tareas_proyecto[[#This Row],[En proceso]]+Tareas_proyecto[[#This Row],[En revisión]])</f>
        <v>1</v>
      </c>
    </row>
    <row r="9" spans="1:19" x14ac:dyDescent="0.3">
      <c r="A9" t="s">
        <v>11</v>
      </c>
      <c r="B9" s="1">
        <v>45569</v>
      </c>
      <c r="C9" s="1">
        <v>45572</v>
      </c>
      <c r="D9" s="1">
        <v>45572</v>
      </c>
      <c r="E9" s="1">
        <v>45572</v>
      </c>
      <c r="F9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9" s="3">
        <f>IF(Registro_proyecto[[#This Row],[Hecho]]="","",Registro_proyecto[[#This Row],[Hecho]]-Registro_proyecto[[#This Row],[Por hacer]])</f>
        <v>3</v>
      </c>
      <c r="H9" s="3">
        <f>IF(Registro_proyecto[[#This Row],[Hecho]]="","",Registro_proyecto[[#This Row],[Hecho]]-Registro_proyecto[[#This Row],[En proceso]])</f>
        <v>0</v>
      </c>
      <c r="I9" s="3"/>
      <c r="J9" s="1">
        <f>IF(ISNUMBER(J8),J8+1,Registro_proyecto[[#This Row],[Por hacer]])</f>
        <v>45572</v>
      </c>
      <c r="K9">
        <f>COUNTIF(Registro_proyecto[Por hacer],Tareas_proyecto[[#This Row],[Fecha]])-COUNTIF(Registro_proyecto[En proceso],Tareas_proyecto[[#This Row],[Fecha]])+IF(ISNUMBER(K8),K8,0)</f>
        <v>11</v>
      </c>
      <c r="L9">
        <f>COUNTIF(Registro_proyecto[En proceso],Tareas_proyecto[[#This Row],[Fecha]])-COUNTIF(Registro_proyecto[En revisión],Tareas_proyecto[[#This Row],[Fecha]])+IF(ISNUMBER(L8),L8,0)</f>
        <v>0</v>
      </c>
      <c r="M9">
        <f>COUNTIF(Registro_proyecto[En revisión],Tareas_proyecto[[#This Row],[Fecha]])-COUNTIF(Registro_proyecto[Hecho],Tareas_proyecto[[#This Row],[Fecha]])+IF(ISNUMBER(M8),M8,0)</f>
        <v>0</v>
      </c>
      <c r="N9" s="3">
        <f>COUNTIF(Registro_proyecto[Hecho],Tareas_proyecto[[#This Row],[Fecha]])+IF(ISNUMBER(N8),N8,0)</f>
        <v>4</v>
      </c>
      <c r="Q9">
        <f>SUM(Tareas_proyecto[[#This Row],[En proceso]]+Tareas_proyecto[[#This Row],[En revisión]])</f>
        <v>0</v>
      </c>
    </row>
    <row r="10" spans="1:19" x14ac:dyDescent="0.3">
      <c r="A10" t="s">
        <v>12</v>
      </c>
      <c r="B10" s="1">
        <v>45569</v>
      </c>
      <c r="C10" s="12">
        <v>45575</v>
      </c>
      <c r="D10" s="12">
        <v>45576</v>
      </c>
      <c r="E10" s="12">
        <v>45579</v>
      </c>
      <c r="F1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0" s="3">
        <f>IF(Registro_proyecto[[#This Row],[Hecho]]="","",Registro_proyecto[[#This Row],[Hecho]]-Registro_proyecto[[#This Row],[Por hacer]])</f>
        <v>10</v>
      </c>
      <c r="H10" s="3">
        <f>IF(Registro_proyecto[[#This Row],[Hecho]]="","",Registro_proyecto[[#This Row],[Hecho]]-Registro_proyecto[[#This Row],[En proceso]])</f>
        <v>4</v>
      </c>
      <c r="I10" s="3"/>
      <c r="J10" s="1">
        <f>IF(ISNUMBER(J9),J9+1,Registro_proyecto[[#This Row],[Por hacer]])</f>
        <v>45573</v>
      </c>
      <c r="K10">
        <f>COUNTIF(Registro_proyecto[Por hacer],Tareas_proyecto[[#This Row],[Fecha]])-COUNTIF(Registro_proyecto[En proceso],Tareas_proyecto[[#This Row],[Fecha]])+IF(ISNUMBER(K9),K9,0)</f>
        <v>11</v>
      </c>
      <c r="L10">
        <f>COUNTIF(Registro_proyecto[En proceso],Tareas_proyecto[[#This Row],[Fecha]])-COUNTIF(Registro_proyecto[En revisión],Tareas_proyecto[[#This Row],[Fecha]])+IF(ISNUMBER(L9),L9,0)</f>
        <v>0</v>
      </c>
      <c r="M10">
        <f>COUNTIF(Registro_proyecto[En revisión],Tareas_proyecto[[#This Row],[Fecha]])-COUNTIF(Registro_proyecto[Hecho],Tareas_proyecto[[#This Row],[Fecha]])+IF(ISNUMBER(M9),M9,0)</f>
        <v>0</v>
      </c>
      <c r="N10" s="3">
        <f>COUNTIF(Registro_proyecto[Hecho],Tareas_proyecto[[#This Row],[Fecha]])+IF(ISNUMBER(N9),N9,0)</f>
        <v>4</v>
      </c>
      <c r="Q10">
        <f>SUM(Tareas_proyecto[[#This Row],[En proceso]]+Tareas_proyecto[[#This Row],[En revisión]])</f>
        <v>0</v>
      </c>
    </row>
    <row r="11" spans="1:19" x14ac:dyDescent="0.3">
      <c r="A11" t="s">
        <v>13</v>
      </c>
      <c r="B11" s="11">
        <v>45569</v>
      </c>
      <c r="C11" s="13">
        <v>45576</v>
      </c>
      <c r="D11" s="13">
        <v>45579</v>
      </c>
      <c r="E11" s="13">
        <v>45580</v>
      </c>
      <c r="F11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1" s="3">
        <f>IF(Registro_proyecto[[#This Row],[Hecho]]="","",Registro_proyecto[[#This Row],[Hecho]]-Registro_proyecto[[#This Row],[Por hacer]])</f>
        <v>11</v>
      </c>
      <c r="H11" s="3">
        <f>IF(Registro_proyecto[[#This Row],[Hecho]]="","",Registro_proyecto[[#This Row],[Hecho]]-Registro_proyecto[[#This Row],[En proceso]])</f>
        <v>4</v>
      </c>
      <c r="I11" s="3"/>
      <c r="J11" s="11">
        <f>IF(ISNUMBER(J10),J10+1,Registro_proyecto[[#This Row],[Por hacer]])</f>
        <v>45574</v>
      </c>
      <c r="K11">
        <f>COUNTIF(Registro_proyecto[Por hacer],Tareas_proyecto[[#This Row],[Fecha]])-COUNTIF(Registro_proyecto[En proceso],Tareas_proyecto[[#This Row],[Fecha]])+IF(ISNUMBER(K10),K10,0)</f>
        <v>10</v>
      </c>
      <c r="L11">
        <f>COUNTIF(Registro_proyecto[En proceso],Tareas_proyecto[[#This Row],[Fecha]])-COUNTIF(Registro_proyecto[En revisión],Tareas_proyecto[[#This Row],[Fecha]])+IF(ISNUMBER(L10),L10,0)</f>
        <v>1</v>
      </c>
      <c r="M11">
        <f>COUNTIF(Registro_proyecto[En revisión],Tareas_proyecto[[#This Row],[Fecha]])-COUNTIF(Registro_proyecto[Hecho],Tareas_proyecto[[#This Row],[Fecha]])+IF(ISNUMBER(M10),M10,0)</f>
        <v>0</v>
      </c>
      <c r="N11" s="3">
        <f>COUNTIF(Registro_proyecto[Hecho],Tareas_proyecto[[#This Row],[Fecha]])+IF(ISNUMBER(N10),N10,0)</f>
        <v>4</v>
      </c>
      <c r="Q11">
        <f>SUM(Tareas_proyecto[[#This Row],[En proceso]]+Tareas_proyecto[[#This Row],[En revisión]])</f>
        <v>1</v>
      </c>
    </row>
    <row r="12" spans="1:19" x14ac:dyDescent="0.3">
      <c r="A12" t="s">
        <v>14</v>
      </c>
      <c r="B12" s="11">
        <v>45569</v>
      </c>
      <c r="C12" s="11">
        <v>45577</v>
      </c>
      <c r="D12" s="11">
        <v>45581</v>
      </c>
      <c r="E12" s="11">
        <v>45581</v>
      </c>
      <c r="F12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2" s="3">
        <f>IF(Registro_proyecto[[#This Row],[Hecho]]="","",Registro_proyecto[[#This Row],[Hecho]]-Registro_proyecto[[#This Row],[Por hacer]])</f>
        <v>12</v>
      </c>
      <c r="H12" s="3">
        <f>IF(Registro_proyecto[[#This Row],[Hecho]]="","",Registro_proyecto[[#This Row],[Hecho]]-Registro_proyecto[[#This Row],[En proceso]])</f>
        <v>4</v>
      </c>
      <c r="I12" s="3"/>
      <c r="J12" s="11">
        <f>IF(ISNUMBER(J11),J11+1,Registro_proyecto[[#This Row],[Por hacer]])</f>
        <v>45575</v>
      </c>
      <c r="K12">
        <f>COUNTIF(Registro_proyecto[Por hacer],Tareas_proyecto[[#This Row],[Fecha]])-COUNTIF(Registro_proyecto[En proceso],Tareas_proyecto[[#This Row],[Fecha]])+IF(ISNUMBER(K11),K11,0)</f>
        <v>8</v>
      </c>
      <c r="L12">
        <f>COUNTIF(Registro_proyecto[En proceso],Tareas_proyecto[[#This Row],[Fecha]])-COUNTIF(Registro_proyecto[En revisión],Tareas_proyecto[[#This Row],[Fecha]])+IF(ISNUMBER(L11),L11,0)</f>
        <v>2</v>
      </c>
      <c r="M12">
        <f>COUNTIF(Registro_proyecto[En revisión],Tareas_proyecto[[#This Row],[Fecha]])-COUNTIF(Registro_proyecto[Hecho],Tareas_proyecto[[#This Row],[Fecha]])+IF(ISNUMBER(M11),M11,0)</f>
        <v>0</v>
      </c>
      <c r="N12" s="3">
        <f>COUNTIF(Registro_proyecto[Hecho],Tareas_proyecto[[#This Row],[Fecha]])+IF(ISNUMBER(N11),N11,0)</f>
        <v>5</v>
      </c>
      <c r="Q12">
        <f>SUM(Tareas_proyecto[[#This Row],[En proceso]]+Tareas_proyecto[[#This Row],[En revisión]])</f>
        <v>2</v>
      </c>
    </row>
    <row r="13" spans="1:19" x14ac:dyDescent="0.3">
      <c r="A13" t="s">
        <v>16</v>
      </c>
      <c r="B13" s="11">
        <v>45569</v>
      </c>
      <c r="C13" s="11">
        <v>45577</v>
      </c>
      <c r="D13" s="11">
        <v>45587</v>
      </c>
      <c r="E13" s="11">
        <v>45589</v>
      </c>
      <c r="F13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3" s="3">
        <f>IF(Registro_proyecto[[#This Row],[Hecho]]="","",Registro_proyecto[[#This Row],[Hecho]]-Registro_proyecto[[#This Row],[Por hacer]])</f>
        <v>20</v>
      </c>
      <c r="H13" s="3">
        <f>IF(Registro_proyecto[[#This Row],[Hecho]]="","",Registro_proyecto[[#This Row],[Hecho]]-Registro_proyecto[[#This Row],[En proceso]])</f>
        <v>12</v>
      </c>
      <c r="I13" s="3"/>
      <c r="J13" s="11">
        <f>IF(ISNUMBER(J12),J12+1,Registro_proyecto[[#This Row],[Por hacer]])</f>
        <v>45576</v>
      </c>
      <c r="K13">
        <f>COUNTIF(Registro_proyecto[Por hacer],Tareas_proyecto[[#This Row],[Fecha]])-COUNTIF(Registro_proyecto[En proceso],Tareas_proyecto[[#This Row],[Fecha]])+IF(ISNUMBER(K12),K12,0)</f>
        <v>4</v>
      </c>
      <c r="L13">
        <f>COUNTIF(Registro_proyecto[En proceso],Tareas_proyecto[[#This Row],[Fecha]])-COUNTIF(Registro_proyecto[En revisión],Tareas_proyecto[[#This Row],[Fecha]])+IF(ISNUMBER(L12),L12,0)</f>
        <v>5</v>
      </c>
      <c r="M13">
        <f>COUNTIF(Registro_proyecto[En revisión],Tareas_proyecto[[#This Row],[Fecha]])-COUNTIF(Registro_proyecto[Hecho],Tareas_proyecto[[#This Row],[Fecha]])+IF(ISNUMBER(M12),M12,0)</f>
        <v>1</v>
      </c>
      <c r="N13" s="3">
        <f>COUNTIF(Registro_proyecto[Hecho],Tareas_proyecto[[#This Row],[Fecha]])+IF(ISNUMBER(N12),N12,0)</f>
        <v>5</v>
      </c>
      <c r="Q13">
        <f>SUM(Tareas_proyecto[[#This Row],[En proceso]]+Tareas_proyecto[[#This Row],[En revisión]])</f>
        <v>6</v>
      </c>
    </row>
    <row r="14" spans="1:19" x14ac:dyDescent="0.3">
      <c r="A14" t="s">
        <v>17</v>
      </c>
      <c r="B14" s="11">
        <v>45569</v>
      </c>
      <c r="C14" s="11">
        <v>45579</v>
      </c>
      <c r="D14" s="11">
        <v>45580</v>
      </c>
      <c r="E14" s="11">
        <v>45581</v>
      </c>
      <c r="F14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4" s="3">
        <f>IF(Registro_proyecto[[#This Row],[Hecho]]="","",Registro_proyecto[[#This Row],[Hecho]]-Registro_proyecto[[#This Row],[Por hacer]])</f>
        <v>12</v>
      </c>
      <c r="H14" s="3">
        <f>IF(Registro_proyecto[[#This Row],[Hecho]]="","",Registro_proyecto[[#This Row],[Hecho]]-Registro_proyecto[[#This Row],[En proceso]])</f>
        <v>2</v>
      </c>
      <c r="I14" s="3"/>
      <c r="J14" s="11">
        <f>IF(ISNUMBER(J13),J13+1,Registro_proyecto[[#This Row],[Por hacer]])</f>
        <v>45577</v>
      </c>
      <c r="K14">
        <f>COUNTIF(Registro_proyecto[Por hacer],Tareas_proyecto[[#This Row],[Fecha]])-COUNTIF(Registro_proyecto[En proceso],Tareas_proyecto[[#This Row],[Fecha]])+IF(ISNUMBER(K13),K13,0)</f>
        <v>2</v>
      </c>
      <c r="L14">
        <f>COUNTIF(Registro_proyecto[En proceso],Tareas_proyecto[[#This Row],[Fecha]])-COUNTIF(Registro_proyecto[En revisión],Tareas_proyecto[[#This Row],[Fecha]])+IF(ISNUMBER(L13),L13,0)</f>
        <v>5</v>
      </c>
      <c r="M14">
        <f>COUNTIF(Registro_proyecto[En revisión],Tareas_proyecto[[#This Row],[Fecha]])-COUNTIF(Registro_proyecto[Hecho],Tareas_proyecto[[#This Row],[Fecha]])+IF(ISNUMBER(M13),M13,0)</f>
        <v>3</v>
      </c>
      <c r="N14" s="3">
        <f>COUNTIF(Registro_proyecto[Hecho],Tareas_proyecto[[#This Row],[Fecha]])+IF(ISNUMBER(N13),N13,0)</f>
        <v>5</v>
      </c>
      <c r="Q14">
        <f>SUM(Tareas_proyecto[[#This Row],[En proceso]]+Tareas_proyecto[[#This Row],[En revisión]])</f>
        <v>8</v>
      </c>
    </row>
    <row r="15" spans="1:19" x14ac:dyDescent="0.3">
      <c r="A15" t="s">
        <v>18</v>
      </c>
      <c r="B15" s="11">
        <v>45569</v>
      </c>
      <c r="C15" s="11">
        <v>45575</v>
      </c>
      <c r="D15" s="11">
        <v>45577</v>
      </c>
      <c r="E15" s="11">
        <v>45578</v>
      </c>
      <c r="F15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5" s="3">
        <f>IF(Registro_proyecto[[#This Row],[Hecho]]="","",Registro_proyecto[[#This Row],[Hecho]]-Registro_proyecto[[#This Row],[Por hacer]])</f>
        <v>9</v>
      </c>
      <c r="H15" s="3">
        <f>IF(Registro_proyecto[[#This Row],[Hecho]]="","",Registro_proyecto[[#This Row],[Hecho]]-Registro_proyecto[[#This Row],[En proceso]])</f>
        <v>3</v>
      </c>
      <c r="I15" s="3"/>
      <c r="J15" s="11">
        <f>IF(ISNUMBER(J14),J14+1,Registro_proyecto[[#This Row],[Por hacer]])</f>
        <v>45578</v>
      </c>
      <c r="K15">
        <f>COUNTIF(Registro_proyecto[Por hacer],Tareas_proyecto[[#This Row],[Fecha]])-COUNTIF(Registro_proyecto[En proceso],Tareas_proyecto[[#This Row],[Fecha]])+IF(ISNUMBER(K14),K14,0)</f>
        <v>2</v>
      </c>
      <c r="L15">
        <f>COUNTIF(Registro_proyecto[En proceso],Tareas_proyecto[[#This Row],[Fecha]])-COUNTIF(Registro_proyecto[En revisión],Tareas_proyecto[[#This Row],[Fecha]])+IF(ISNUMBER(L14),L14,0)</f>
        <v>3</v>
      </c>
      <c r="M15">
        <f>COUNTIF(Registro_proyecto[En revisión],Tareas_proyecto[[#This Row],[Fecha]])-COUNTIF(Registro_proyecto[Hecho],Tareas_proyecto[[#This Row],[Fecha]])+IF(ISNUMBER(M14),M14,0)</f>
        <v>3</v>
      </c>
      <c r="N15" s="3">
        <f>COUNTIF(Registro_proyecto[Hecho],Tareas_proyecto[[#This Row],[Fecha]])+IF(ISNUMBER(N14),N14,0)</f>
        <v>7</v>
      </c>
      <c r="Q15">
        <f>SUM(Tareas_proyecto[[#This Row],[En proceso]]+Tareas_proyecto[[#This Row],[En revisión]])</f>
        <v>6</v>
      </c>
    </row>
    <row r="16" spans="1:19" x14ac:dyDescent="0.3">
      <c r="A16" t="s">
        <v>19</v>
      </c>
      <c r="B16" s="11">
        <v>45569</v>
      </c>
      <c r="C16" s="11">
        <v>45576</v>
      </c>
      <c r="D16" s="11">
        <v>45577</v>
      </c>
      <c r="E16" s="11">
        <v>45578</v>
      </c>
      <c r="F16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6" s="3">
        <f>IF(Registro_proyecto[[#This Row],[Hecho]]="","",Registro_proyecto[[#This Row],[Hecho]]-Registro_proyecto[[#This Row],[Por hacer]])</f>
        <v>9</v>
      </c>
      <c r="H16" s="3">
        <f>IF(Registro_proyecto[[#This Row],[Hecho]]="","",Registro_proyecto[[#This Row],[Hecho]]-Registro_proyecto[[#This Row],[En proceso]])</f>
        <v>2</v>
      </c>
      <c r="I16" s="3"/>
      <c r="J16" s="11">
        <f>IF(ISNUMBER(J15),J15+1,Registro_proyecto[[#This Row],[Por hacer]])</f>
        <v>45579</v>
      </c>
      <c r="K16">
        <f>COUNTIF(Registro_proyecto[Por hacer],Tareas_proyecto[[#This Row],[Fecha]])-COUNTIF(Registro_proyecto[En proceso],Tareas_proyecto[[#This Row],[Fecha]])+IF(ISNUMBER(K15),K15,0)</f>
        <v>0</v>
      </c>
      <c r="L16">
        <f>COUNTIF(Registro_proyecto[En proceso],Tareas_proyecto[[#This Row],[Fecha]])-COUNTIF(Registro_proyecto[En revisión],Tareas_proyecto[[#This Row],[Fecha]])+IF(ISNUMBER(L15),L15,0)</f>
        <v>4</v>
      </c>
      <c r="M16">
        <f>COUNTIF(Registro_proyecto[En revisión],Tareas_proyecto[[#This Row],[Fecha]])-COUNTIF(Registro_proyecto[Hecho],Tareas_proyecto[[#This Row],[Fecha]])+IF(ISNUMBER(M15),M15,0)</f>
        <v>1</v>
      </c>
      <c r="N16" s="3">
        <f>COUNTIF(Registro_proyecto[Hecho],Tareas_proyecto[[#This Row],[Fecha]])+IF(ISNUMBER(N15),N15,0)</f>
        <v>10</v>
      </c>
      <c r="Q16">
        <f>SUM(Tareas_proyecto[[#This Row],[En proceso]]+Tareas_proyecto[[#This Row],[En revisión]])</f>
        <v>5</v>
      </c>
    </row>
    <row r="17" spans="1:29" x14ac:dyDescent="0.3">
      <c r="A17" t="s">
        <v>20</v>
      </c>
      <c r="B17" s="11">
        <v>45569</v>
      </c>
      <c r="C17" s="11">
        <v>45576</v>
      </c>
      <c r="D17" s="11">
        <v>45578</v>
      </c>
      <c r="E17" s="11">
        <v>45579</v>
      </c>
      <c r="F17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7" s="3">
        <f>IF(Registro_proyecto[[#This Row],[Hecho]]="","",Registro_proyecto[[#This Row],[Hecho]]-Registro_proyecto[[#This Row],[Por hacer]])</f>
        <v>10</v>
      </c>
      <c r="H17" s="3">
        <f>IF(Registro_proyecto[[#This Row],[Hecho]]="","",Registro_proyecto[[#This Row],[Hecho]]-Registro_proyecto[[#This Row],[En proceso]])</f>
        <v>3</v>
      </c>
      <c r="I17" s="3"/>
      <c r="J17" s="11">
        <f>IF(ISNUMBER(J16),J16+1,Registro_proyecto[[#This Row],[Por hacer]])</f>
        <v>45580</v>
      </c>
      <c r="K17">
        <f>COUNTIF(Registro_proyecto[Por hacer],Tareas_proyecto[[#This Row],[Fecha]])-COUNTIF(Registro_proyecto[En proceso],Tareas_proyecto[[#This Row],[Fecha]])+IF(ISNUMBER(K16),K16,0)</f>
        <v>0</v>
      </c>
      <c r="L17">
        <f>COUNTIF(Registro_proyecto[En proceso],Tareas_proyecto[[#This Row],[Fecha]])-COUNTIF(Registro_proyecto[En revisión],Tareas_proyecto[[#This Row],[Fecha]])+IF(ISNUMBER(L16),L16,0)</f>
        <v>2</v>
      </c>
      <c r="M17">
        <f>COUNTIF(Registro_proyecto[En revisión],Tareas_proyecto[[#This Row],[Fecha]])-COUNTIF(Registro_proyecto[Hecho],Tareas_proyecto[[#This Row],[Fecha]])+IF(ISNUMBER(M16),M16,0)</f>
        <v>2</v>
      </c>
      <c r="N17" s="3">
        <f>COUNTIF(Registro_proyecto[Hecho],Tareas_proyecto[[#This Row],[Fecha]])+IF(ISNUMBER(N16),N16,0)</f>
        <v>11</v>
      </c>
      <c r="Q17">
        <f>SUM(Tareas_proyecto[[#This Row],[En proceso]]+Tareas_proyecto[[#This Row],[En revisión]])</f>
        <v>4</v>
      </c>
    </row>
    <row r="18" spans="1:29" x14ac:dyDescent="0.3">
      <c r="A18" t="s">
        <v>21</v>
      </c>
      <c r="B18" s="11">
        <v>45569</v>
      </c>
      <c r="C18" s="11">
        <v>45574</v>
      </c>
      <c r="D18" s="11">
        <v>45575</v>
      </c>
      <c r="E18" s="11">
        <v>45575</v>
      </c>
      <c r="F18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8" s="3">
        <f>IF(Registro_proyecto[[#This Row],[Hecho]]="","",Registro_proyecto[[#This Row],[Hecho]]-Registro_proyecto[[#This Row],[Por hacer]])</f>
        <v>6</v>
      </c>
      <c r="H18" s="3">
        <f>IF(Registro_proyecto[[#This Row],[Hecho]]="","",Registro_proyecto[[#This Row],[Hecho]]-Registro_proyecto[[#This Row],[En proceso]])</f>
        <v>1</v>
      </c>
      <c r="I18" s="3"/>
      <c r="J18" s="11">
        <f>IF(ISNUMBER(J17),J17+1,Registro_proyecto[[#This Row],[Por hacer]])</f>
        <v>45581</v>
      </c>
      <c r="K18">
        <f>COUNTIF(Registro_proyecto[Por hacer],Tareas_proyecto[[#This Row],[Fecha]])-COUNTIF(Registro_proyecto[En proceso],Tareas_proyecto[[#This Row],[Fecha]])+IF(ISNUMBER(K17),K17,0)</f>
        <v>0</v>
      </c>
      <c r="L18">
        <f>COUNTIF(Registro_proyecto[En proceso],Tareas_proyecto[[#This Row],[Fecha]])-COUNTIF(Registro_proyecto[En revisión],Tareas_proyecto[[#This Row],[Fecha]])+IF(ISNUMBER(L17),L17,0)</f>
        <v>1</v>
      </c>
      <c r="M18">
        <f>COUNTIF(Registro_proyecto[En revisión],Tareas_proyecto[[#This Row],[Fecha]])-COUNTIF(Registro_proyecto[Hecho],Tareas_proyecto[[#This Row],[Fecha]])+IF(ISNUMBER(M17),M17,0)</f>
        <v>1</v>
      </c>
      <c r="N18" s="3">
        <f>COUNTIF(Registro_proyecto[Hecho],Tareas_proyecto[[#This Row],[Fecha]])+IF(ISNUMBER(N17),N17,0)</f>
        <v>13</v>
      </c>
      <c r="Q18">
        <f>SUM(Tareas_proyecto[[#This Row],[En proceso]]+Tareas_proyecto[[#This Row],[En revisión]])</f>
        <v>2</v>
      </c>
    </row>
    <row r="19" spans="1:29" x14ac:dyDescent="0.3">
      <c r="A19" t="s">
        <v>22</v>
      </c>
      <c r="B19" s="11">
        <v>45569</v>
      </c>
      <c r="C19" s="11">
        <v>45576</v>
      </c>
      <c r="D19" s="11">
        <v>45578</v>
      </c>
      <c r="E19" s="11">
        <v>45579</v>
      </c>
      <c r="F19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9" s="3">
        <f>IF(Registro_proyecto[[#This Row],[Hecho]]="","",Registro_proyecto[[#This Row],[Hecho]]-Registro_proyecto[[#This Row],[Por hacer]])</f>
        <v>10</v>
      </c>
      <c r="H19" s="3">
        <f>IF(Registro_proyecto[[#This Row],[Hecho]]="","",Registro_proyecto[[#This Row],[Hecho]]-Registro_proyecto[[#This Row],[En proceso]])</f>
        <v>3</v>
      </c>
      <c r="I19" s="3"/>
      <c r="J19" s="11">
        <f>IF(ISNUMBER(J18),J18+1,Registro_proyecto[[#This Row],[Por hacer]])</f>
        <v>45582</v>
      </c>
      <c r="K19">
        <f>COUNTIF(Registro_proyecto[Por hacer],Tareas_proyecto[[#This Row],[Fecha]])-COUNTIF(Registro_proyecto[En proceso],Tareas_proyecto[[#This Row],[Fecha]])+IF(ISNUMBER(K18),K18,0)</f>
        <v>0</v>
      </c>
      <c r="L19">
        <f>COUNTIF(Registro_proyecto[En proceso],Tareas_proyecto[[#This Row],[Fecha]])-COUNTIF(Registro_proyecto[En revisión],Tareas_proyecto[[#This Row],[Fecha]])+IF(ISNUMBER(L18),L18,0)</f>
        <v>1</v>
      </c>
      <c r="M19">
        <f>COUNTIF(Registro_proyecto[En revisión],Tareas_proyecto[[#This Row],[Fecha]])-COUNTIF(Registro_proyecto[Hecho],Tareas_proyecto[[#This Row],[Fecha]])+IF(ISNUMBER(M18),M18,0)</f>
        <v>0</v>
      </c>
      <c r="N19" s="3">
        <f>COUNTIF(Registro_proyecto[Hecho],Tareas_proyecto[[#This Row],[Fecha]])+IF(ISNUMBER(N18),N18,0)</f>
        <v>14</v>
      </c>
      <c r="Q19">
        <f>SUM(Tareas_proyecto[[#This Row],[En proceso]]+Tareas_proyecto[[#This Row],[En revisión]])</f>
        <v>1</v>
      </c>
    </row>
    <row r="20" spans="1:29" x14ac:dyDescent="0.3">
      <c r="A20" t="s">
        <v>23</v>
      </c>
      <c r="B20" s="11">
        <v>45569</v>
      </c>
      <c r="C20" s="11">
        <v>45579</v>
      </c>
      <c r="D20" s="11">
        <v>45580</v>
      </c>
      <c r="E20" s="11">
        <v>45582</v>
      </c>
      <c r="F2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0" s="3">
        <f>IF(Registro_proyecto[[#This Row],[Hecho]]="","",Registro_proyecto[[#This Row],[Hecho]]-Registro_proyecto[[#This Row],[Por hacer]])</f>
        <v>13</v>
      </c>
      <c r="H20" s="3">
        <f>IF(Registro_proyecto[[#This Row],[Hecho]]="","",Registro_proyecto[[#This Row],[Hecho]]-Registro_proyecto[[#This Row],[En proceso]])</f>
        <v>3</v>
      </c>
      <c r="I20" s="3"/>
      <c r="J20" s="11">
        <f>IF(ISNUMBER(J19),J19+1,Registro_proyecto[[#This Row],[Por hacer]])</f>
        <v>45583</v>
      </c>
      <c r="K20">
        <f>COUNTIF(Registro_proyecto[Por hacer],Tareas_proyecto[[#This Row],[Fecha]])-COUNTIF(Registro_proyecto[En proceso],Tareas_proyecto[[#This Row],[Fecha]])+IF(ISNUMBER(K19),K19,0)</f>
        <v>0</v>
      </c>
      <c r="L20">
        <f>COUNTIF(Registro_proyecto[En proceso],Tareas_proyecto[[#This Row],[Fecha]])-COUNTIF(Registro_proyecto[En revisión],Tareas_proyecto[[#This Row],[Fecha]])+IF(ISNUMBER(L19),L19,0)</f>
        <v>1</v>
      </c>
      <c r="M20">
        <f>COUNTIF(Registro_proyecto[En revisión],Tareas_proyecto[[#This Row],[Fecha]])-COUNTIF(Registro_proyecto[Hecho],Tareas_proyecto[[#This Row],[Fecha]])+IF(ISNUMBER(M19),M19,0)</f>
        <v>0</v>
      </c>
      <c r="N20" s="3">
        <f>COUNTIF(Registro_proyecto[Hecho],Tareas_proyecto[[#This Row],[Fecha]])+IF(ISNUMBER(N19),N19,0)</f>
        <v>14</v>
      </c>
      <c r="Q20">
        <f>SUM(Tareas_proyecto[[#This Row],[En proceso]]+Tareas_proyecto[[#This Row],[En revisión]])</f>
        <v>1</v>
      </c>
    </row>
    <row r="21" spans="1:29" x14ac:dyDescent="0.3">
      <c r="A21" t="s">
        <v>24</v>
      </c>
      <c r="B21" s="11">
        <v>45586</v>
      </c>
      <c r="C21" s="11">
        <v>45587</v>
      </c>
      <c r="D21" s="11">
        <v>45587</v>
      </c>
      <c r="E21" s="11">
        <v>45589</v>
      </c>
      <c r="F21" s="2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1" s="3">
        <f>IF(Registro_proyecto[[#This Row],[Hecho]]="","",Registro_proyecto[[#This Row],[Hecho]]-Registro_proyecto[[#This Row],[Por hacer]])</f>
        <v>3</v>
      </c>
      <c r="H21" s="3">
        <f>IF(Registro_proyecto[[#This Row],[Hecho]]="","",Registro_proyecto[[#This Row],[Hecho]]-Registro_proyecto[[#This Row],[En proceso]])</f>
        <v>2</v>
      </c>
      <c r="I21" s="3"/>
      <c r="J21" s="11">
        <f>IF(ISNUMBER(J20),J20+1,Registro_proyecto[[#This Row],[Por hacer]])</f>
        <v>45584</v>
      </c>
      <c r="K21" s="20">
        <f>COUNTIF(Registro_proyecto[Por hacer],Tareas_proyecto[[#This Row],[Fecha]])-COUNTIF(Registro_proyecto[En proceso],Tareas_proyecto[[#This Row],[Fecha]])+IF(ISNUMBER(K20),K20,0)</f>
        <v>0</v>
      </c>
      <c r="L21" s="20">
        <f>COUNTIF(Registro_proyecto[En proceso],Tareas_proyecto[[#This Row],[Fecha]])-COUNTIF(Registro_proyecto[En revisión],Tareas_proyecto[[#This Row],[Fecha]])+IF(ISNUMBER(L20),L20,0)</f>
        <v>1</v>
      </c>
      <c r="M21" s="20">
        <f>COUNTIF(Registro_proyecto[En revisión],Tareas_proyecto[[#This Row],[Fecha]])-COUNTIF(Registro_proyecto[Hecho],Tareas_proyecto[[#This Row],[Fecha]])+IF(ISNUMBER(M20),M20,0)</f>
        <v>0</v>
      </c>
      <c r="N21" s="3">
        <f>COUNTIF(Registro_proyecto[Hecho],Tareas_proyecto[[#This Row],[Fecha]])+IF(ISNUMBER(N20),N20,0)</f>
        <v>14</v>
      </c>
      <c r="O21" s="20"/>
      <c r="P21" s="20"/>
      <c r="Q21" s="20">
        <f>SUM(Tareas_proyecto[[#This Row],[En proceso]]+Tareas_proyecto[[#This Row],[En revisión]])</f>
        <v>1</v>
      </c>
    </row>
    <row r="22" spans="1:29" x14ac:dyDescent="0.3">
      <c r="A22" t="s">
        <v>25</v>
      </c>
      <c r="B22" s="11">
        <v>45586</v>
      </c>
      <c r="C22" s="11">
        <v>45591</v>
      </c>
      <c r="D22" s="11">
        <v>45592</v>
      </c>
      <c r="E22" s="11">
        <v>45592</v>
      </c>
      <c r="F22" s="2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2" s="3">
        <f>IF(Registro_proyecto[[#This Row],[Hecho]]="","",Registro_proyecto[[#This Row],[Hecho]]-Registro_proyecto[[#This Row],[Por hacer]])</f>
        <v>6</v>
      </c>
      <c r="H22" s="3">
        <f>IF(Registro_proyecto[[#This Row],[Hecho]]="","",Registro_proyecto[[#This Row],[Hecho]]-Registro_proyecto[[#This Row],[En proceso]])</f>
        <v>1</v>
      </c>
      <c r="I22" s="3"/>
      <c r="J22" s="11">
        <f>IF(ISNUMBER(J21),J21+1,Registro_proyecto[[#This Row],[Por hacer]])</f>
        <v>45585</v>
      </c>
      <c r="K22" s="20">
        <f>COUNTIF(Registro_proyecto[Por hacer],Tareas_proyecto[[#This Row],[Fecha]])-COUNTIF(Registro_proyecto[En proceso],Tareas_proyecto[[#This Row],[Fecha]])+IF(ISNUMBER(K21),K21,0)</f>
        <v>0</v>
      </c>
      <c r="L22" s="20">
        <f>COUNTIF(Registro_proyecto[En proceso],Tareas_proyecto[[#This Row],[Fecha]])-COUNTIF(Registro_proyecto[En revisión],Tareas_proyecto[[#This Row],[Fecha]])+IF(ISNUMBER(L21),L21,0)</f>
        <v>1</v>
      </c>
      <c r="M22" s="20">
        <f>COUNTIF(Registro_proyecto[En revisión],Tareas_proyecto[[#This Row],[Fecha]])-COUNTIF(Registro_proyecto[Hecho],Tareas_proyecto[[#This Row],[Fecha]])+IF(ISNUMBER(M21),M21,0)</f>
        <v>0</v>
      </c>
      <c r="N22" s="3">
        <f>COUNTIF(Registro_proyecto[Hecho],Tareas_proyecto[[#This Row],[Fecha]])+IF(ISNUMBER(N21),N21,0)</f>
        <v>14</v>
      </c>
      <c r="O22" s="20"/>
      <c r="P22" s="20"/>
      <c r="Q22" s="20">
        <f>SUM(Tareas_proyecto[[#This Row],[En proceso]]+Tareas_proyecto[[#This Row],[En revisión]])</f>
        <v>1</v>
      </c>
    </row>
    <row r="23" spans="1:29" x14ac:dyDescent="0.3">
      <c r="A23" t="s">
        <v>26</v>
      </c>
      <c r="B23" s="11">
        <v>45586</v>
      </c>
      <c r="C23" s="11">
        <v>45593</v>
      </c>
      <c r="D23" s="11">
        <v>45595</v>
      </c>
      <c r="E23" s="11">
        <v>45595</v>
      </c>
      <c r="F23" s="2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3" s="3">
        <f>IF(Registro_proyecto[[#This Row],[Hecho]]="","",Registro_proyecto[[#This Row],[Hecho]]-Registro_proyecto[[#This Row],[Por hacer]])</f>
        <v>9</v>
      </c>
      <c r="H23" s="3">
        <f>IF(Registro_proyecto[[#This Row],[Hecho]]="","",Registro_proyecto[[#This Row],[Hecho]]-Registro_proyecto[[#This Row],[En proceso]])</f>
        <v>2</v>
      </c>
      <c r="I23" s="3"/>
      <c r="J23" s="11">
        <f>IF(ISNUMBER(J22),J22+1,Registro_proyecto[[#This Row],[Por hacer]])</f>
        <v>45586</v>
      </c>
      <c r="K23" s="20">
        <f>COUNTIF(Registro_proyecto[Por hacer],Tareas_proyecto[[#This Row],[Fecha]])-COUNTIF(Registro_proyecto[En proceso],Tareas_proyecto[[#This Row],[Fecha]])+IF(ISNUMBER(K22),K22,0)</f>
        <v>11</v>
      </c>
      <c r="L23" s="20">
        <f>COUNTIF(Registro_proyecto[En proceso],Tareas_proyecto[[#This Row],[Fecha]])-COUNTIF(Registro_proyecto[En revisión],Tareas_proyecto[[#This Row],[Fecha]])+IF(ISNUMBER(L22),L22,0)</f>
        <v>1</v>
      </c>
      <c r="M23" s="20">
        <f>COUNTIF(Registro_proyecto[En revisión],Tareas_proyecto[[#This Row],[Fecha]])-COUNTIF(Registro_proyecto[Hecho],Tareas_proyecto[[#This Row],[Fecha]])+IF(ISNUMBER(M22),M22,0)</f>
        <v>0</v>
      </c>
      <c r="N23" s="3">
        <f>COUNTIF(Registro_proyecto[Hecho],Tareas_proyecto[[#This Row],[Fecha]])+IF(ISNUMBER(N22),N22,0)</f>
        <v>14</v>
      </c>
      <c r="O23" s="20"/>
      <c r="P23" s="20"/>
      <c r="Q23" s="20">
        <f>SUM(Tareas_proyecto[[#This Row],[En proceso]]+Tareas_proyecto[[#This Row],[En revisión]])</f>
        <v>1</v>
      </c>
    </row>
    <row r="24" spans="1:29" x14ac:dyDescent="0.3">
      <c r="A24" t="s">
        <v>27</v>
      </c>
      <c r="B24" s="11">
        <v>45586</v>
      </c>
      <c r="C24" s="11">
        <v>45595</v>
      </c>
      <c r="D24" s="11">
        <v>45596</v>
      </c>
      <c r="E24" s="11">
        <v>45597</v>
      </c>
      <c r="F24" s="2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4" s="3">
        <f>IF(Registro_proyecto[[#This Row],[Hecho]]="","",Registro_proyecto[[#This Row],[Hecho]]-Registro_proyecto[[#This Row],[Por hacer]])</f>
        <v>11</v>
      </c>
      <c r="H24" s="3">
        <f>IF(Registro_proyecto[[#This Row],[Hecho]]="","",Registro_proyecto[[#This Row],[Hecho]]-Registro_proyecto[[#This Row],[En proceso]])</f>
        <v>2</v>
      </c>
      <c r="I24" s="3"/>
      <c r="J24" s="11">
        <f>IF(ISNUMBER(J23),J23+1,Registro_proyecto[[#This Row],[Por hacer]])</f>
        <v>45587</v>
      </c>
      <c r="K24" s="20">
        <f>COUNTIF(Registro_proyecto[Por hacer],Tareas_proyecto[[#This Row],[Fecha]])-COUNTIF(Registro_proyecto[En proceso],Tareas_proyecto[[#This Row],[Fecha]])+IF(ISNUMBER(K23),K23,0)</f>
        <v>10</v>
      </c>
      <c r="L24" s="20">
        <f>COUNTIF(Registro_proyecto[En proceso],Tareas_proyecto[[#This Row],[Fecha]])-COUNTIF(Registro_proyecto[En revisión],Tareas_proyecto[[#This Row],[Fecha]])+IF(ISNUMBER(L23),L23,0)</f>
        <v>0</v>
      </c>
      <c r="M24" s="20">
        <f>COUNTIF(Registro_proyecto[En revisión],Tareas_proyecto[[#This Row],[Fecha]])-COUNTIF(Registro_proyecto[Hecho],Tareas_proyecto[[#This Row],[Fecha]])+IF(ISNUMBER(M23),M23,0)</f>
        <v>2</v>
      </c>
      <c r="N24" s="3">
        <f>COUNTIF(Registro_proyecto[Hecho],Tareas_proyecto[[#This Row],[Fecha]])+IF(ISNUMBER(N23),N23,0)</f>
        <v>14</v>
      </c>
      <c r="O24" s="20"/>
      <c r="P24" s="20"/>
      <c r="Q24" s="20">
        <f>SUM(Tareas_proyecto[[#This Row],[En proceso]]+Tareas_proyecto[[#This Row],[En revisión]])</f>
        <v>2</v>
      </c>
    </row>
    <row r="25" spans="1:29" x14ac:dyDescent="0.3">
      <c r="A25" t="s">
        <v>28</v>
      </c>
      <c r="B25" s="11">
        <v>45586</v>
      </c>
      <c r="C25" s="11">
        <v>45600</v>
      </c>
      <c r="D25" s="11"/>
      <c r="E25" s="11"/>
      <c r="F25" s="20" t="str">
        <f>IF(NOT(ISBLANK(Registro_proyecto[[#This Row],[Hecho]])),"Hecho",IF(NOT(ISBLANK(Registro_proyecto[[#This Row],[En revisión]])),"En revisión",IF(NOT(ISBLANK(Registro_proyecto[[#This Row],[En proceso]])),"En proceso","Por Hacer")))</f>
        <v>En proceso</v>
      </c>
      <c r="G25" s="3" t="str">
        <f>IF(Registro_proyecto[[#This Row],[Hecho]]="","",Registro_proyecto[[#This Row],[Hecho]]-Registro_proyecto[[#This Row],[Por hacer]])</f>
        <v/>
      </c>
      <c r="H25" s="3" t="str">
        <f>IF(Registro_proyecto[[#This Row],[Hecho]]="","",Registro_proyecto[[#This Row],[Hecho]]-Registro_proyecto[[#This Row],[En proceso]])</f>
        <v/>
      </c>
      <c r="I25" s="3"/>
      <c r="J25" s="11">
        <f>IF(ISNUMBER(J24),J24+1,Registro_proyecto[[#This Row],[Por hacer]])</f>
        <v>45588</v>
      </c>
      <c r="K25" s="20">
        <f>COUNTIF(Registro_proyecto[Por hacer],Tareas_proyecto[[#This Row],[Fecha]])-COUNTIF(Registro_proyecto[En proceso],Tareas_proyecto[[#This Row],[Fecha]])+IF(ISNUMBER(K24),K24,0)</f>
        <v>10</v>
      </c>
      <c r="L25" s="20">
        <f>COUNTIF(Registro_proyecto[En proceso],Tareas_proyecto[[#This Row],[Fecha]])-COUNTIF(Registro_proyecto[En revisión],Tareas_proyecto[[#This Row],[Fecha]])+IF(ISNUMBER(L24),L24,0)</f>
        <v>0</v>
      </c>
      <c r="M25" s="20">
        <f>COUNTIF(Registro_proyecto[En revisión],Tareas_proyecto[[#This Row],[Fecha]])-COUNTIF(Registro_proyecto[Hecho],Tareas_proyecto[[#This Row],[Fecha]])+IF(ISNUMBER(M24),M24,0)</f>
        <v>2</v>
      </c>
      <c r="N25" s="3">
        <f>COUNTIF(Registro_proyecto[Hecho],Tareas_proyecto[[#This Row],[Fecha]])+IF(ISNUMBER(N24),N24,0)</f>
        <v>14</v>
      </c>
      <c r="O25" s="20"/>
      <c r="P25" s="20"/>
      <c r="Q25" s="20">
        <f>SUM(Tareas_proyecto[[#This Row],[En proceso]]+Tareas_proyecto[[#This Row],[En revisión]])</f>
        <v>2</v>
      </c>
    </row>
    <row r="26" spans="1:29" x14ac:dyDescent="0.3">
      <c r="A26" t="s">
        <v>29</v>
      </c>
      <c r="B26" s="11">
        <v>45586</v>
      </c>
      <c r="C26" s="11">
        <v>45601</v>
      </c>
      <c r="D26" s="11">
        <v>45604</v>
      </c>
      <c r="E26" s="11">
        <v>45604</v>
      </c>
      <c r="F26" s="2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6" s="3">
        <f>IF(Registro_proyecto[[#This Row],[Hecho]]="","",Registro_proyecto[[#This Row],[Hecho]]-Registro_proyecto[[#This Row],[Por hacer]])</f>
        <v>18</v>
      </c>
      <c r="H26" s="3">
        <f>IF(Registro_proyecto[[#This Row],[Hecho]]="","",Registro_proyecto[[#This Row],[Hecho]]-Registro_proyecto[[#This Row],[En proceso]])</f>
        <v>3</v>
      </c>
      <c r="I26" s="3"/>
      <c r="J26" s="11">
        <f>IF(ISNUMBER(J25),J25+1,Registro_proyecto[[#This Row],[Por hacer]])</f>
        <v>45589</v>
      </c>
      <c r="K26" s="20">
        <f>COUNTIF(Registro_proyecto[Por hacer],Tareas_proyecto[[#This Row],[Fecha]])-COUNTIF(Registro_proyecto[En proceso],Tareas_proyecto[[#This Row],[Fecha]])+IF(ISNUMBER(K25),K25,0)</f>
        <v>10</v>
      </c>
      <c r="L26" s="20">
        <f>COUNTIF(Registro_proyecto[En proceso],Tareas_proyecto[[#This Row],[Fecha]])-COUNTIF(Registro_proyecto[En revisión],Tareas_proyecto[[#This Row],[Fecha]])+IF(ISNUMBER(L25),L25,0)</f>
        <v>0</v>
      </c>
      <c r="M26" s="20">
        <f>COUNTIF(Registro_proyecto[En revisión],Tareas_proyecto[[#This Row],[Fecha]])-COUNTIF(Registro_proyecto[Hecho],Tareas_proyecto[[#This Row],[Fecha]])+IF(ISNUMBER(M25),M25,0)</f>
        <v>0</v>
      </c>
      <c r="N26" s="3">
        <f>COUNTIF(Registro_proyecto[Hecho],Tareas_proyecto[[#This Row],[Fecha]])+IF(ISNUMBER(N25),N25,0)</f>
        <v>16</v>
      </c>
      <c r="O26" s="20"/>
      <c r="P26" s="20"/>
      <c r="Q26" s="20">
        <f>SUM(Tareas_proyecto[[#This Row],[En proceso]]+Tareas_proyecto[[#This Row],[En revisión]])</f>
        <v>0</v>
      </c>
    </row>
    <row r="27" spans="1:29" ht="18" x14ac:dyDescent="0.35">
      <c r="A27" t="s">
        <v>30</v>
      </c>
      <c r="B27" s="11">
        <v>45586</v>
      </c>
      <c r="C27" s="11">
        <v>45600</v>
      </c>
      <c r="D27" s="11">
        <v>45602</v>
      </c>
      <c r="E27" s="11">
        <v>45602</v>
      </c>
      <c r="F27" s="2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7" s="3">
        <f>IF(Registro_proyecto[[#This Row],[Hecho]]="","",Registro_proyecto[[#This Row],[Hecho]]-Registro_proyecto[[#This Row],[Por hacer]])</f>
        <v>16</v>
      </c>
      <c r="H27" s="3">
        <f>IF(Registro_proyecto[[#This Row],[Hecho]]="","",Registro_proyecto[[#This Row],[Hecho]]-Registro_proyecto[[#This Row],[En proceso]])</f>
        <v>2</v>
      </c>
      <c r="I27" s="3"/>
      <c r="J27" s="11">
        <f>IF(ISNUMBER(J26),J26+1,Registro_proyecto[[#This Row],[Por hacer]])</f>
        <v>45590</v>
      </c>
      <c r="K27" s="20">
        <f>COUNTIF(Registro_proyecto[Por hacer],Tareas_proyecto[[#This Row],[Fecha]])-COUNTIF(Registro_proyecto[En proceso],Tareas_proyecto[[#This Row],[Fecha]])+IF(ISNUMBER(K26),K26,0)</f>
        <v>10</v>
      </c>
      <c r="L27" s="20">
        <f>COUNTIF(Registro_proyecto[En proceso],Tareas_proyecto[[#This Row],[Fecha]])-COUNTIF(Registro_proyecto[En revisión],Tareas_proyecto[[#This Row],[Fecha]])+IF(ISNUMBER(L26),L26,0)</f>
        <v>0</v>
      </c>
      <c r="M27" s="20">
        <f>COUNTIF(Registro_proyecto[En revisión],Tareas_proyecto[[#This Row],[Fecha]])-COUNTIF(Registro_proyecto[Hecho],Tareas_proyecto[[#This Row],[Fecha]])+IF(ISNUMBER(M26),M26,0)</f>
        <v>0</v>
      </c>
      <c r="N27" s="3">
        <f>COUNTIF(Registro_proyecto[Hecho],Tareas_proyecto[[#This Row],[Fecha]])+IF(ISNUMBER(N26),N26,0)</f>
        <v>16</v>
      </c>
      <c r="O27" s="20"/>
      <c r="P27" s="20"/>
      <c r="Q27" s="20">
        <f>SUM(Tareas_proyecto[[#This Row],[En proceso]]+Tareas_proyecto[[#This Row],[En revisión]])</f>
        <v>0</v>
      </c>
      <c r="S27" s="9" t="s">
        <v>38</v>
      </c>
    </row>
    <row r="28" spans="1:29" x14ac:dyDescent="0.3">
      <c r="A28" t="s">
        <v>92</v>
      </c>
      <c r="B28" s="11">
        <v>45586</v>
      </c>
      <c r="C28" s="11">
        <v>45602</v>
      </c>
      <c r="D28" s="11">
        <v>45604</v>
      </c>
      <c r="E28" s="11">
        <v>45605</v>
      </c>
      <c r="F28" s="2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8" s="3">
        <f>IF(Registro_proyecto[[#This Row],[Hecho]]="","",Registro_proyecto[[#This Row],[Hecho]]-Registro_proyecto[[#This Row],[Por hacer]])</f>
        <v>19</v>
      </c>
      <c r="H28" s="3">
        <f>IF(Registro_proyecto[[#This Row],[Hecho]]="","",Registro_proyecto[[#This Row],[Hecho]]-Registro_proyecto[[#This Row],[En proceso]])</f>
        <v>3</v>
      </c>
      <c r="J28" s="11">
        <f>IF(ISNUMBER(J27),J27+1,Registro_proyecto[[#This Row],[Por hacer]])</f>
        <v>45591</v>
      </c>
      <c r="K28" s="20">
        <f>COUNTIF(Registro_proyecto[Por hacer],Tareas_proyecto[[#This Row],[Fecha]])-COUNTIF(Registro_proyecto[En proceso],Tareas_proyecto[[#This Row],[Fecha]])+IF(ISNUMBER(K27),K27,0)</f>
        <v>9</v>
      </c>
      <c r="L28" s="20">
        <f>COUNTIF(Registro_proyecto[En proceso],Tareas_proyecto[[#This Row],[Fecha]])-COUNTIF(Registro_proyecto[En revisión],Tareas_proyecto[[#This Row],[Fecha]])+IF(ISNUMBER(L27),L27,0)</f>
        <v>1</v>
      </c>
      <c r="M28" s="20">
        <f>COUNTIF(Registro_proyecto[En revisión],Tareas_proyecto[[#This Row],[Fecha]])-COUNTIF(Registro_proyecto[Hecho],Tareas_proyecto[[#This Row],[Fecha]])+IF(ISNUMBER(M27),M27,0)</f>
        <v>0</v>
      </c>
      <c r="N28" s="3">
        <f>COUNTIF(Registro_proyecto[Hecho],Tareas_proyecto[[#This Row],[Fecha]])+IF(ISNUMBER(N27),N27,0)</f>
        <v>16</v>
      </c>
      <c r="O28" s="20"/>
      <c r="P28" s="20"/>
      <c r="Q28" s="20">
        <f>SUM(Tareas_proyecto[[#This Row],[En proceso]]+Tareas_proyecto[[#This Row],[En revisión]])</f>
        <v>1</v>
      </c>
      <c r="S28" t="s">
        <v>41</v>
      </c>
      <c r="T28" s="2">
        <f>IFERROR(AVERAGE(Registro_proyecto[Tiempo de Entrega]),"-")</f>
        <v>11.04</v>
      </c>
      <c r="U28" t="s">
        <v>39</v>
      </c>
      <c r="W28" t="str">
        <f>IFERROR("Tiempo de Entrega máximo (tarea "&amp;_xlfn.XLOOKUP(X28,Registro_proyecto[Tiempo de Entrega],Registro_proyecto[Código Tarea])&amp;"):","Tiempo de Entrega máximo:")</f>
        <v>Tiempo de Entrega máximo (tarea #026):</v>
      </c>
      <c r="X28">
        <f>MAX(Registro_proyecto[Tiempo de Entrega])</f>
        <v>24</v>
      </c>
      <c r="Y28" t="s">
        <v>39</v>
      </c>
      <c r="AA28" t="str">
        <f>IFERROR("Tiempo de Entrega mínimo (tarea "&amp;_xlfn.XLOOKUP(AB28,Registro_proyecto[Tiempo de Entrega],Registro_proyecto[Código Tarea])&amp;"):","Tiempo de Entrega mínimo:")</f>
        <v>Tiempo de Entrega mínimo (tarea #001):</v>
      </c>
      <c r="AB28">
        <f>MIN(Registro_proyecto[Tiempo de Entrega])</f>
        <v>0</v>
      </c>
      <c r="AC28" t="s">
        <v>39</v>
      </c>
    </row>
    <row r="29" spans="1:29" x14ac:dyDescent="0.3">
      <c r="A29" t="s">
        <v>93</v>
      </c>
      <c r="B29" s="11">
        <v>45586</v>
      </c>
      <c r="C29" s="11">
        <v>45605</v>
      </c>
      <c r="D29" s="11">
        <v>45606</v>
      </c>
      <c r="E29" s="11">
        <v>45607</v>
      </c>
      <c r="F29" s="2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9" s="3">
        <f>IF(Registro_proyecto[[#This Row],[Hecho]]="","",Registro_proyecto[[#This Row],[Hecho]]-Registro_proyecto[[#This Row],[Por hacer]])</f>
        <v>21</v>
      </c>
      <c r="H29" s="3">
        <f>IF(Registro_proyecto[[#This Row],[Hecho]]="","",Registro_proyecto[[#This Row],[Hecho]]-Registro_proyecto[[#This Row],[En proceso]])</f>
        <v>2</v>
      </c>
      <c r="J29" s="11">
        <f>IF(ISNUMBER(J28),J28+1,Registro_proyecto[[#This Row],[Por hacer]])</f>
        <v>45592</v>
      </c>
      <c r="K29" s="20">
        <f>COUNTIF(Registro_proyecto[Por hacer],Tareas_proyecto[[#This Row],[Fecha]])-COUNTIF(Registro_proyecto[En proceso],Tareas_proyecto[[#This Row],[Fecha]])+IF(ISNUMBER(K28),K28,0)</f>
        <v>9</v>
      </c>
      <c r="L29" s="20">
        <f>COUNTIF(Registro_proyecto[En proceso],Tareas_proyecto[[#This Row],[Fecha]])-COUNTIF(Registro_proyecto[En revisión],Tareas_proyecto[[#This Row],[Fecha]])+IF(ISNUMBER(L28),L28,0)</f>
        <v>0</v>
      </c>
      <c r="M29" s="20">
        <f>COUNTIF(Registro_proyecto[En revisión],Tareas_proyecto[[#This Row],[Fecha]])-COUNTIF(Registro_proyecto[Hecho],Tareas_proyecto[[#This Row],[Fecha]])+IF(ISNUMBER(M28),M28,0)</f>
        <v>0</v>
      </c>
      <c r="N29" s="3">
        <f>COUNTIF(Registro_proyecto[Hecho],Tareas_proyecto[[#This Row],[Fecha]])+IF(ISNUMBER(N28),N28,0)</f>
        <v>17</v>
      </c>
      <c r="O29" s="20"/>
      <c r="P29" s="20"/>
      <c r="Q29" s="20">
        <f>SUM(Tareas_proyecto[[#This Row],[En proceso]]+Tareas_proyecto[[#This Row],[En revisión]])</f>
        <v>0</v>
      </c>
      <c r="S29" t="s">
        <v>42</v>
      </c>
      <c r="T29" s="2">
        <f>IFERROR(AVERAGE(Registro_proyecto[Tiempo de Ciclo]),"-")</f>
        <v>2.72</v>
      </c>
      <c r="U29" t="s">
        <v>39</v>
      </c>
      <c r="W29" t="str">
        <f>IFERROR("Tiempo de Ciclo máximo (tarea "&amp;_xlfn.XLOOKUP(X29,Registro_proyecto[Tiempo de Ciclo],Registro_proyecto[Código Tarea])&amp;"):","Tiempo de Ciclo máximo:")</f>
        <v>Tiempo de Ciclo máximo (tarea #008):</v>
      </c>
      <c r="X29">
        <f>MAX(Registro_proyecto[Tiempo de Ciclo])</f>
        <v>12</v>
      </c>
      <c r="Y29" t="s">
        <v>39</v>
      </c>
      <c r="AA29" t="str">
        <f>IFERROR("Tiempo de Ciclo mínimo (tarea "&amp;_xlfn.XLOOKUP(AB29,Registro_proyecto[Tiempo de Ciclo],Registro_proyecto[Código Tarea])&amp;"):","Tiempo de Ciclo mínimo:")</f>
        <v>Tiempo de Ciclo mínimo (tarea #001):</v>
      </c>
      <c r="AB29">
        <f>MIN(Registro_proyecto[Tiempo de Ciclo])</f>
        <v>0</v>
      </c>
      <c r="AC29" t="s">
        <v>39</v>
      </c>
    </row>
    <row r="30" spans="1:29" x14ac:dyDescent="0.3">
      <c r="A30" t="s">
        <v>94</v>
      </c>
      <c r="B30" s="11">
        <v>45586</v>
      </c>
      <c r="C30" s="11">
        <v>45604</v>
      </c>
      <c r="D30" s="11">
        <v>45607</v>
      </c>
      <c r="E30" s="11">
        <v>45607</v>
      </c>
      <c r="F30" s="2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30" s="3">
        <f>IF(Registro_proyecto[[#This Row],[Hecho]]="","",Registro_proyecto[[#This Row],[Hecho]]-Registro_proyecto[[#This Row],[Por hacer]])</f>
        <v>21</v>
      </c>
      <c r="H30" s="3">
        <f>IF(Registro_proyecto[[#This Row],[Hecho]]="","",Registro_proyecto[[#This Row],[Hecho]]-Registro_proyecto[[#This Row],[En proceso]])</f>
        <v>3</v>
      </c>
      <c r="J30" s="11">
        <f>IF(ISNUMBER(J29),J29+1,Registro_proyecto[[#This Row],[Por hacer]])</f>
        <v>45593</v>
      </c>
      <c r="K30" s="20">
        <f>COUNTIF(Registro_proyecto[Por hacer],Tareas_proyecto[[#This Row],[Fecha]])-COUNTIF(Registro_proyecto[En proceso],Tareas_proyecto[[#This Row],[Fecha]])+IF(ISNUMBER(K29),K29,0)</f>
        <v>8</v>
      </c>
      <c r="L30" s="20">
        <f>COUNTIF(Registro_proyecto[En proceso],Tareas_proyecto[[#This Row],[Fecha]])-COUNTIF(Registro_proyecto[En revisión],Tareas_proyecto[[#This Row],[Fecha]])+IF(ISNUMBER(L29),L29,0)</f>
        <v>1</v>
      </c>
      <c r="M30" s="20">
        <f>COUNTIF(Registro_proyecto[En revisión],Tareas_proyecto[[#This Row],[Fecha]])-COUNTIF(Registro_proyecto[Hecho],Tareas_proyecto[[#This Row],[Fecha]])+IF(ISNUMBER(M29),M29,0)</f>
        <v>0</v>
      </c>
      <c r="N30" s="3">
        <f>COUNTIF(Registro_proyecto[Hecho],Tareas_proyecto[[#This Row],[Fecha]])+IF(ISNUMBER(N29),N29,0)</f>
        <v>17</v>
      </c>
      <c r="O30" s="20"/>
      <c r="P30" s="20"/>
      <c r="Q30" s="20">
        <f>SUM(Tareas_proyecto[[#This Row],[En proceso]]+Tareas_proyecto[[#This Row],[En revisión]])</f>
        <v>1</v>
      </c>
      <c r="S30" t="s">
        <v>43</v>
      </c>
      <c r="T30" s="2">
        <f>AVERAGE(Tareas_proyecto[WIP])</f>
        <v>1.8846153846153846</v>
      </c>
      <c r="U30" t="s">
        <v>40</v>
      </c>
      <c r="W30" s="1" t="str">
        <f>"WIP máximo ("&amp;TEXT(_xlfn.XLOOKUP(X30,Tareas_proyecto[WIP],Tareas_proyecto[Fecha]),"dd/mm/aa")&amp;"):"</f>
        <v>WIP máximo (12/10/24):</v>
      </c>
      <c r="X30">
        <f>MAX(Tareas_proyecto[WIP])</f>
        <v>8</v>
      </c>
      <c r="Y30" t="s">
        <v>40</v>
      </c>
      <c r="AA30" t="str">
        <f>"WIP mínimo ("&amp;TEXT(_xlfn.XLOOKUP(AB30,Tareas_proyecto[WIP],Tareas_proyecto[Fecha]),"dd/mm/aa")&amp;"):"</f>
        <v>WIP mínimo (07/10/24):</v>
      </c>
      <c r="AB30">
        <f>MIN(Tareas_proyecto[WIP])</f>
        <v>0</v>
      </c>
      <c r="AC30" t="s">
        <v>40</v>
      </c>
    </row>
    <row r="31" spans="1:29" x14ac:dyDescent="0.3">
      <c r="A31" t="s">
        <v>95</v>
      </c>
      <c r="B31" s="11">
        <v>45586</v>
      </c>
      <c r="C31" s="11">
        <v>45606</v>
      </c>
      <c r="D31" s="11">
        <v>45608</v>
      </c>
      <c r="E31" s="11">
        <v>45610</v>
      </c>
      <c r="F31" s="2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31" s="3">
        <f>IF(Registro_proyecto[[#This Row],[Hecho]]="","",Registro_proyecto[[#This Row],[Hecho]]-Registro_proyecto[[#This Row],[Por hacer]])</f>
        <v>24</v>
      </c>
      <c r="H31" s="3">
        <f>IF(Registro_proyecto[[#This Row],[Hecho]]="","",Registro_proyecto[[#This Row],[Hecho]]-Registro_proyecto[[#This Row],[En proceso]])</f>
        <v>4</v>
      </c>
      <c r="J31" s="11">
        <f>IF(ISNUMBER(J30),J30+1,Registro_proyecto[[#This Row],[Por hacer]])</f>
        <v>45594</v>
      </c>
      <c r="K31" s="20">
        <f>COUNTIF(Registro_proyecto[Por hacer],Tareas_proyecto[[#This Row],[Fecha]])-COUNTIF(Registro_proyecto[En proceso],Tareas_proyecto[[#This Row],[Fecha]])+IF(ISNUMBER(K30),K30,0)</f>
        <v>8</v>
      </c>
      <c r="L31" s="20">
        <f>COUNTIF(Registro_proyecto[En proceso],Tareas_proyecto[[#This Row],[Fecha]])-COUNTIF(Registro_proyecto[En revisión],Tareas_proyecto[[#This Row],[Fecha]])+IF(ISNUMBER(L30),L30,0)</f>
        <v>1</v>
      </c>
      <c r="M31" s="20">
        <f>COUNTIF(Registro_proyecto[En revisión],Tareas_proyecto[[#This Row],[Fecha]])-COUNTIF(Registro_proyecto[Hecho],Tareas_proyecto[[#This Row],[Fecha]])+IF(ISNUMBER(M30),M30,0)</f>
        <v>0</v>
      </c>
      <c r="N31" s="3">
        <f>COUNTIF(Registro_proyecto[Hecho],Tareas_proyecto[[#This Row],[Fecha]])+IF(ISNUMBER(N30),N30,0)</f>
        <v>17</v>
      </c>
      <c r="O31" s="20"/>
      <c r="P31" s="20"/>
      <c r="Q31" s="20">
        <f>SUM(Tareas_proyecto[[#This Row],[En proceso]]+Tareas_proyecto[[#This Row],[En revisión]])</f>
        <v>1</v>
      </c>
    </row>
    <row r="32" spans="1:29" x14ac:dyDescent="0.3">
      <c r="J32" s="1"/>
      <c r="N32" s="3"/>
    </row>
  </sheetData>
  <phoneticPr fontId="1" type="noConversion"/>
  <conditionalFormatting sqref="L6:L31">
    <cfRule type="cellIs" dxfId="2" priority="2" operator="greaterThan">
      <formula>$O6</formula>
    </cfRule>
  </conditionalFormatting>
  <conditionalFormatting sqref="M6:M31">
    <cfRule type="cellIs" dxfId="1" priority="1" operator="greaterThan">
      <formula>$P6</formula>
    </cfRule>
  </conditionalFormatting>
  <conditionalFormatting sqref="Q6:Q31">
    <cfRule type="cellIs" dxfId="0" priority="4" operator="greaterThan">
      <formula>$O6+$P6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FACC-6B75-BF4B-A0FB-8D2C6C92945F}">
  <dimension ref="A1:AC32"/>
  <sheetViews>
    <sheetView topLeftCell="A13" workbookViewId="0">
      <selection activeCell="B6" sqref="B6"/>
    </sheetView>
  </sheetViews>
  <sheetFormatPr defaultColWidth="11.19921875" defaultRowHeight="15.6" x14ac:dyDescent="0.3"/>
  <cols>
    <col min="1" max="1" width="14.5" bestFit="1" customWidth="1"/>
    <col min="2" max="2" width="11.296875" bestFit="1" customWidth="1"/>
    <col min="3" max="3" width="12.296875" customWidth="1"/>
    <col min="4" max="4" width="12.5" customWidth="1"/>
    <col min="11" max="11" width="11.19921875" customWidth="1"/>
    <col min="12" max="12" width="12.296875" customWidth="1"/>
    <col min="13" max="13" width="12.5" customWidth="1"/>
    <col min="19" max="19" width="26.19921875" customWidth="1"/>
    <col min="20" max="20" width="5.19921875" customWidth="1"/>
    <col min="21" max="21" width="6.296875" bestFit="1" customWidth="1"/>
    <col min="22" max="22" width="6.296875" customWidth="1"/>
    <col min="23" max="23" width="34.69921875" bestFit="1" customWidth="1"/>
    <col min="24" max="24" width="3.69921875" customWidth="1"/>
    <col min="25" max="25" width="6.296875" bestFit="1" customWidth="1"/>
    <col min="26" max="26" width="6.5" customWidth="1"/>
    <col min="27" max="27" width="34.796875" bestFit="1" customWidth="1"/>
    <col min="28" max="28" width="3.796875" customWidth="1"/>
  </cols>
  <sheetData>
    <row r="1" spans="1:19" ht="28.8" x14ac:dyDescent="0.55000000000000004">
      <c r="A1" s="6" t="s">
        <v>32</v>
      </c>
    </row>
    <row r="2" spans="1:19" x14ac:dyDescent="0.3">
      <c r="A2" t="s">
        <v>44</v>
      </c>
    </row>
    <row r="4" spans="1:19" ht="18" x14ac:dyDescent="0.35">
      <c r="A4" s="7" t="s">
        <v>31</v>
      </c>
      <c r="C4" s="5"/>
      <c r="D4" s="5"/>
      <c r="J4" s="7" t="s">
        <v>0</v>
      </c>
      <c r="L4" s="5"/>
      <c r="M4" s="5"/>
      <c r="S4" s="7" t="s">
        <v>37</v>
      </c>
    </row>
    <row r="5" spans="1:19" ht="31.2" x14ac:dyDescent="0.3">
      <c r="A5" s="4" t="s">
        <v>6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15</v>
      </c>
      <c r="G5" s="4" t="s">
        <v>33</v>
      </c>
      <c r="H5" s="4" t="s">
        <v>34</v>
      </c>
      <c r="I5" s="4"/>
      <c r="J5" s="4" t="s">
        <v>7</v>
      </c>
      <c r="K5" s="4" t="s">
        <v>1</v>
      </c>
      <c r="L5" s="4" t="s">
        <v>2</v>
      </c>
      <c r="M5" s="4" t="s">
        <v>3</v>
      </c>
      <c r="N5" s="4" t="s">
        <v>4</v>
      </c>
      <c r="O5" s="4" t="s">
        <v>35</v>
      </c>
      <c r="P5" s="4" t="s">
        <v>36</v>
      </c>
      <c r="Q5" s="4" t="s">
        <v>5</v>
      </c>
    </row>
    <row r="6" spans="1:19" x14ac:dyDescent="0.3">
      <c r="A6" t="s">
        <v>8</v>
      </c>
      <c r="B6" s="1">
        <v>45187</v>
      </c>
      <c r="C6" s="1">
        <v>45187</v>
      </c>
      <c r="D6" s="1">
        <v>45188</v>
      </c>
      <c r="E6" s="1">
        <v>45189</v>
      </c>
      <c r="F6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6" s="3">
        <f>IF(Registro_ejemplo[[#This Row],[Hecho]]="","",Registro_ejemplo[[#This Row],[Hecho]]-Registro_ejemplo[[#This Row],[Por hacer]])</f>
        <v>2</v>
      </c>
      <c r="H6" s="3">
        <f>IF(Registro_ejemplo[[#This Row],[Hecho]]="","",Registro_ejemplo[[#This Row],[Hecho]]-Registro_ejemplo[[#This Row],[En proceso]])</f>
        <v>2</v>
      </c>
      <c r="I6" s="3"/>
      <c r="J6" s="1">
        <f>IF(ISNUMBER(J5),J5+1,Registro_ejemplo[[#This Row],[Por hacer]])</f>
        <v>45187</v>
      </c>
      <c r="K6">
        <f>COUNTIF(Registro_ejemplo[Por hacer],Tareas_ejemplo[[#This Row],[Fecha]])-COUNTIF(Registro_ejemplo[En proceso],Tareas_ejemplo[[#This Row],[Fecha]])+IF(ISNUMBER(K5),K5,0)</f>
        <v>6</v>
      </c>
      <c r="L6">
        <f>COUNTIF(Registro_ejemplo[En proceso],Tareas_ejemplo[[#This Row],[Fecha]])-COUNTIF(Registro_ejemplo[En revisión],Tareas_ejemplo[[#This Row],[Fecha]])+IF(ISNUMBER(L5),L5,0)</f>
        <v>3</v>
      </c>
      <c r="M6">
        <f>COUNTIF(Registro_ejemplo[En revisión],Tareas_ejemplo[[#This Row],[Fecha]])-COUNTIF(Registro_ejemplo[Hecho],Tareas_ejemplo[[#This Row],[Fecha]])+IF(ISNUMBER(M5),M5,0)</f>
        <v>0</v>
      </c>
      <c r="N6" s="3">
        <f>COUNTIF(Registro_ejemplo[Hecho],Tareas_ejemplo[[#This Row],[Fecha]])+IF(ISNUMBER(N5),N5,0)</f>
        <v>0</v>
      </c>
      <c r="O6">
        <v>5</v>
      </c>
      <c r="P6">
        <v>3</v>
      </c>
      <c r="Q6">
        <f>SUM(Tareas_ejemplo[[#This Row],[En proceso]]+Tareas_ejemplo[[#This Row],[En revisión]])</f>
        <v>3</v>
      </c>
    </row>
    <row r="7" spans="1:19" x14ac:dyDescent="0.3">
      <c r="A7" t="s">
        <v>9</v>
      </c>
      <c r="B7" s="1">
        <v>45187</v>
      </c>
      <c r="C7" s="1">
        <v>45187</v>
      </c>
      <c r="D7" s="1">
        <v>45189</v>
      </c>
      <c r="E7" s="1">
        <v>45191</v>
      </c>
      <c r="F7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7" s="3">
        <f>IF(Registro_ejemplo[[#This Row],[Hecho]]="","",Registro_ejemplo[[#This Row],[Hecho]]-Registro_ejemplo[[#This Row],[Por hacer]])</f>
        <v>4</v>
      </c>
      <c r="H7" s="3">
        <f>IF(Registro_ejemplo[[#This Row],[Hecho]]="","",Registro_ejemplo[[#This Row],[Hecho]]-Registro_ejemplo[[#This Row],[En proceso]])</f>
        <v>4</v>
      </c>
      <c r="I7" s="3"/>
      <c r="J7" s="1">
        <f>IF(ISNUMBER(J6),J6+1,Registro_ejemplo[[#This Row],[Por hacer]])</f>
        <v>45188</v>
      </c>
      <c r="K7">
        <f>COUNTIF(Registro_ejemplo[Por hacer],Tareas_ejemplo[[#This Row],[Fecha]])-COUNTIF(Registro_ejemplo[En proceso],Tareas_ejemplo[[#This Row],[Fecha]])+IF(ISNUMBER(K6),K6,0)</f>
        <v>4</v>
      </c>
      <c r="L7">
        <f>COUNTIF(Registro_ejemplo[En proceso],Tareas_ejemplo[[#This Row],[Fecha]])-COUNTIF(Registro_ejemplo[En revisión],Tareas_ejemplo[[#This Row],[Fecha]])+IF(ISNUMBER(L6),L6,0)</f>
        <v>3</v>
      </c>
      <c r="M7">
        <f>COUNTIF(Registro_ejemplo[En revisión],Tareas_ejemplo[[#This Row],[Fecha]])-COUNTIF(Registro_ejemplo[Hecho],Tareas_ejemplo[[#This Row],[Fecha]])+IF(ISNUMBER(M6),M6,0)</f>
        <v>2</v>
      </c>
      <c r="N7" s="3">
        <f>COUNTIF(Registro_ejemplo[Hecho],Tareas_ejemplo[[#This Row],[Fecha]])+IF(ISNUMBER(N6),N6,0)</f>
        <v>0</v>
      </c>
      <c r="O7">
        <v>5</v>
      </c>
      <c r="P7">
        <v>3</v>
      </c>
      <c r="Q7">
        <f>SUM(Tareas_ejemplo[[#This Row],[En proceso]]+Tareas_ejemplo[[#This Row],[En revisión]])</f>
        <v>5</v>
      </c>
    </row>
    <row r="8" spans="1:19" x14ac:dyDescent="0.3">
      <c r="A8" t="s">
        <v>10</v>
      </c>
      <c r="B8" s="1">
        <v>45187</v>
      </c>
      <c r="C8" s="1">
        <v>45187</v>
      </c>
      <c r="D8" s="1">
        <v>45188</v>
      </c>
      <c r="E8" s="1">
        <v>45193</v>
      </c>
      <c r="F8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8" s="3">
        <f>IF(Registro_ejemplo[[#This Row],[Hecho]]="","",Registro_ejemplo[[#This Row],[Hecho]]-Registro_ejemplo[[#This Row],[Por hacer]])</f>
        <v>6</v>
      </c>
      <c r="H8" s="3">
        <f>IF(Registro_ejemplo[[#This Row],[Hecho]]="","",Registro_ejemplo[[#This Row],[Hecho]]-Registro_ejemplo[[#This Row],[En proceso]])</f>
        <v>6</v>
      </c>
      <c r="I8" s="3"/>
      <c r="J8" s="1">
        <f>IF(ISNUMBER(J7),J7+1,Registro_ejemplo[[#This Row],[Por hacer]])</f>
        <v>45189</v>
      </c>
      <c r="K8">
        <f>COUNTIF(Registro_ejemplo[Por hacer],Tareas_ejemplo[[#This Row],[Fecha]])-COUNTIF(Registro_ejemplo[En proceso],Tareas_ejemplo[[#This Row],[Fecha]])+IF(ISNUMBER(K7),K7,0)</f>
        <v>5</v>
      </c>
      <c r="L8">
        <f>COUNTIF(Registro_ejemplo[En proceso],Tareas_ejemplo[[#This Row],[Fecha]])-COUNTIF(Registro_ejemplo[En revisión],Tareas_ejemplo[[#This Row],[Fecha]])+IF(ISNUMBER(L7),L7,0)</f>
        <v>4</v>
      </c>
      <c r="M8">
        <f>COUNTIF(Registro_ejemplo[En revisión],Tareas_ejemplo[[#This Row],[Fecha]])-COUNTIF(Registro_ejemplo[Hecho],Tareas_ejemplo[[#This Row],[Fecha]])+IF(ISNUMBER(M7),M7,0)</f>
        <v>3</v>
      </c>
      <c r="N8" s="3">
        <f>COUNTIF(Registro_ejemplo[Hecho],Tareas_ejemplo[[#This Row],[Fecha]])+IF(ISNUMBER(N7),N7,0)</f>
        <v>1</v>
      </c>
      <c r="O8">
        <v>5</v>
      </c>
      <c r="P8">
        <v>3</v>
      </c>
      <c r="Q8">
        <f>SUM(Tareas_ejemplo[[#This Row],[En proceso]]+Tareas_ejemplo[[#This Row],[En revisión]])</f>
        <v>7</v>
      </c>
    </row>
    <row r="9" spans="1:19" x14ac:dyDescent="0.3">
      <c r="A9" t="s">
        <v>11</v>
      </c>
      <c r="B9" s="1">
        <v>45187</v>
      </c>
      <c r="C9" s="1">
        <v>45188</v>
      </c>
      <c r="D9" s="1">
        <v>45193</v>
      </c>
      <c r="E9" s="1">
        <v>45197</v>
      </c>
      <c r="F9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9" s="3">
        <f>IF(Registro_ejemplo[[#This Row],[Hecho]]="","",Registro_ejemplo[[#This Row],[Hecho]]-Registro_ejemplo[[#This Row],[Por hacer]])</f>
        <v>10</v>
      </c>
      <c r="H9" s="3">
        <f>IF(Registro_ejemplo[[#This Row],[Hecho]]="","",Registro_ejemplo[[#This Row],[Hecho]]-Registro_ejemplo[[#This Row],[En proceso]])</f>
        <v>9</v>
      </c>
      <c r="I9" s="3"/>
      <c r="J9" s="1">
        <f>IF(ISNUMBER(J8),J8+1,Registro_ejemplo[[#This Row],[Por hacer]])</f>
        <v>45190</v>
      </c>
      <c r="K9">
        <f>COUNTIF(Registro_ejemplo[Por hacer],Tareas_ejemplo[[#This Row],[Fecha]])-COUNTIF(Registro_ejemplo[En proceso],Tareas_ejemplo[[#This Row],[Fecha]])+IF(ISNUMBER(K8),K8,0)</f>
        <v>5</v>
      </c>
      <c r="L9">
        <f>COUNTIF(Registro_ejemplo[En proceso],Tareas_ejemplo[[#This Row],[Fecha]])-COUNTIF(Registro_ejemplo[En revisión],Tareas_ejemplo[[#This Row],[Fecha]])+IF(ISNUMBER(L8),L8,0)</f>
        <v>4</v>
      </c>
      <c r="M9">
        <f>COUNTIF(Registro_ejemplo[En revisión],Tareas_ejemplo[[#This Row],[Fecha]])-COUNTIF(Registro_ejemplo[Hecho],Tareas_ejemplo[[#This Row],[Fecha]])+IF(ISNUMBER(M8),M8,0)</f>
        <v>3</v>
      </c>
      <c r="N9" s="3">
        <f>COUNTIF(Registro_ejemplo[Hecho],Tareas_ejemplo[[#This Row],[Fecha]])+IF(ISNUMBER(N8),N8,0)</f>
        <v>1</v>
      </c>
      <c r="O9">
        <v>5</v>
      </c>
      <c r="P9">
        <v>3</v>
      </c>
      <c r="Q9">
        <f>SUM(Tareas_ejemplo[[#This Row],[En proceso]]+Tareas_ejemplo[[#This Row],[En revisión]])</f>
        <v>7</v>
      </c>
    </row>
    <row r="10" spans="1:19" x14ac:dyDescent="0.3">
      <c r="A10" t="s">
        <v>12</v>
      </c>
      <c r="B10" s="1">
        <v>45187</v>
      </c>
      <c r="C10" s="1">
        <v>45188</v>
      </c>
      <c r="D10" s="1">
        <v>45189</v>
      </c>
      <c r="E10" s="1">
        <v>45194</v>
      </c>
      <c r="F10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0" s="3">
        <f>IF(Registro_ejemplo[[#This Row],[Hecho]]="","",Registro_ejemplo[[#This Row],[Hecho]]-Registro_ejemplo[[#This Row],[Por hacer]])</f>
        <v>7</v>
      </c>
      <c r="H10" s="3">
        <f>IF(Registro_ejemplo[[#This Row],[Hecho]]="","",Registro_ejemplo[[#This Row],[Hecho]]-Registro_ejemplo[[#This Row],[En proceso]])</f>
        <v>6</v>
      </c>
      <c r="I10" s="3"/>
      <c r="J10" s="1">
        <f>IF(ISNUMBER(J9),J9+1,Registro_ejemplo[[#This Row],[Por hacer]])</f>
        <v>45191</v>
      </c>
      <c r="K10">
        <f>COUNTIF(Registro_ejemplo[Por hacer],Tareas_ejemplo[[#This Row],[Fecha]])-COUNTIF(Registro_ejemplo[En proceso],Tareas_ejemplo[[#This Row],[Fecha]])+IF(ISNUMBER(K9),K9,0)</f>
        <v>4</v>
      </c>
      <c r="L10">
        <f>COUNTIF(Registro_ejemplo[En proceso],Tareas_ejemplo[[#This Row],[Fecha]])-COUNTIF(Registro_ejemplo[En revisión],Tareas_ejemplo[[#This Row],[Fecha]])+IF(ISNUMBER(L9),L9,0)</f>
        <v>5</v>
      </c>
      <c r="M10">
        <f>COUNTIF(Registro_ejemplo[En revisión],Tareas_ejemplo[[#This Row],[Fecha]])-COUNTIF(Registro_ejemplo[Hecho],Tareas_ejemplo[[#This Row],[Fecha]])+IF(ISNUMBER(M9),M9,0)</f>
        <v>2</v>
      </c>
      <c r="N10" s="3">
        <f>COUNTIF(Registro_ejemplo[Hecho],Tareas_ejemplo[[#This Row],[Fecha]])+IF(ISNUMBER(N9),N9,0)</f>
        <v>2</v>
      </c>
      <c r="O10">
        <v>5</v>
      </c>
      <c r="P10">
        <v>3</v>
      </c>
      <c r="Q10">
        <f>SUM(Tareas_ejemplo[[#This Row],[En proceso]]+Tareas_ejemplo[[#This Row],[En revisión]])</f>
        <v>7</v>
      </c>
    </row>
    <row r="11" spans="1:19" x14ac:dyDescent="0.3">
      <c r="A11" t="s">
        <v>13</v>
      </c>
      <c r="B11" s="1">
        <v>45187</v>
      </c>
      <c r="C11" s="1">
        <v>45189</v>
      </c>
      <c r="D11" s="1">
        <v>45196</v>
      </c>
      <c r="E11" s="1">
        <v>45201</v>
      </c>
      <c r="F11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1" s="3">
        <f>IF(Registro_ejemplo[[#This Row],[Hecho]]="","",Registro_ejemplo[[#This Row],[Hecho]]-Registro_ejemplo[[#This Row],[Por hacer]])</f>
        <v>14</v>
      </c>
      <c r="H11" s="3">
        <f>IF(Registro_ejemplo[[#This Row],[Hecho]]="","",Registro_ejemplo[[#This Row],[Hecho]]-Registro_ejemplo[[#This Row],[En proceso]])</f>
        <v>12</v>
      </c>
      <c r="I11" s="3"/>
      <c r="J11" s="1">
        <f>IF(ISNUMBER(J10),J10+1,Registro_ejemplo[[#This Row],[Por hacer]])</f>
        <v>45192</v>
      </c>
      <c r="K11">
        <f>COUNTIF(Registro_ejemplo[Por hacer],Tareas_ejemplo[[#This Row],[Fecha]])-COUNTIF(Registro_ejemplo[En proceso],Tareas_ejemplo[[#This Row],[Fecha]])+IF(ISNUMBER(K10),K10,0)</f>
        <v>3</v>
      </c>
      <c r="L11">
        <f>COUNTIF(Registro_ejemplo[En proceso],Tareas_ejemplo[[#This Row],[Fecha]])-COUNTIF(Registro_ejemplo[En revisión],Tareas_ejemplo[[#This Row],[Fecha]])+IF(ISNUMBER(L10),L10,0)</f>
        <v>6</v>
      </c>
      <c r="M11">
        <f>COUNTIF(Registro_ejemplo[En revisión],Tareas_ejemplo[[#This Row],[Fecha]])-COUNTIF(Registro_ejemplo[Hecho],Tareas_ejemplo[[#This Row],[Fecha]])+IF(ISNUMBER(M10),M10,0)</f>
        <v>2</v>
      </c>
      <c r="N11" s="3">
        <f>COUNTIF(Registro_ejemplo[Hecho],Tareas_ejemplo[[#This Row],[Fecha]])+IF(ISNUMBER(N10),N10,0)</f>
        <v>2</v>
      </c>
      <c r="O11">
        <v>5</v>
      </c>
      <c r="P11">
        <v>3</v>
      </c>
      <c r="Q11">
        <f>SUM(Tareas_ejemplo[[#This Row],[En proceso]]+Tareas_ejemplo[[#This Row],[En revisión]])</f>
        <v>8</v>
      </c>
    </row>
    <row r="12" spans="1:19" x14ac:dyDescent="0.3">
      <c r="A12" t="s">
        <v>14</v>
      </c>
      <c r="B12" s="1">
        <v>45187</v>
      </c>
      <c r="C12" s="1">
        <v>45189</v>
      </c>
      <c r="D12" s="1">
        <v>45193</v>
      </c>
      <c r="E12" s="1">
        <v>45195</v>
      </c>
      <c r="F12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2" s="3">
        <f>IF(Registro_ejemplo[[#This Row],[Hecho]]="","",Registro_ejemplo[[#This Row],[Hecho]]-Registro_ejemplo[[#This Row],[Por hacer]])</f>
        <v>8</v>
      </c>
      <c r="H12" s="3">
        <f>IF(Registro_ejemplo[[#This Row],[Hecho]]="","",Registro_ejemplo[[#This Row],[Hecho]]-Registro_ejemplo[[#This Row],[En proceso]])</f>
        <v>6</v>
      </c>
      <c r="I12" s="3"/>
      <c r="J12" s="1">
        <f>IF(ISNUMBER(J11),J11+1,Registro_ejemplo[[#This Row],[Por hacer]])</f>
        <v>45193</v>
      </c>
      <c r="K12">
        <f>COUNTIF(Registro_ejemplo[Por hacer],Tareas_ejemplo[[#This Row],[Fecha]])-COUNTIF(Registro_ejemplo[En proceso],Tareas_ejemplo[[#This Row],[Fecha]])+IF(ISNUMBER(K11),K11,0)</f>
        <v>3</v>
      </c>
      <c r="L12">
        <f>COUNTIF(Registro_ejemplo[En proceso],Tareas_ejemplo[[#This Row],[Fecha]])-COUNTIF(Registro_ejemplo[En revisión],Tareas_ejemplo[[#This Row],[Fecha]])+IF(ISNUMBER(L11),L11,0)</f>
        <v>4</v>
      </c>
      <c r="M12">
        <f>COUNTIF(Registro_ejemplo[En revisión],Tareas_ejemplo[[#This Row],[Fecha]])-COUNTIF(Registro_ejemplo[Hecho],Tareas_ejemplo[[#This Row],[Fecha]])+IF(ISNUMBER(M11),M11,0)</f>
        <v>3</v>
      </c>
      <c r="N12" s="3">
        <f>COUNTIF(Registro_ejemplo[Hecho],Tareas_ejemplo[[#This Row],[Fecha]])+IF(ISNUMBER(N11),N11,0)</f>
        <v>3</v>
      </c>
      <c r="O12">
        <v>5</v>
      </c>
      <c r="P12">
        <v>3</v>
      </c>
      <c r="Q12">
        <f>SUM(Tareas_ejemplo[[#This Row],[En proceso]]+Tareas_ejemplo[[#This Row],[En revisión]])</f>
        <v>7</v>
      </c>
    </row>
    <row r="13" spans="1:19" x14ac:dyDescent="0.3">
      <c r="A13" t="s">
        <v>16</v>
      </c>
      <c r="B13" s="1">
        <v>45187</v>
      </c>
      <c r="C13" s="1">
        <v>45189</v>
      </c>
      <c r="D13" s="1">
        <v>45194</v>
      </c>
      <c r="E13" s="1">
        <v>45198</v>
      </c>
      <c r="F13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3" s="3">
        <f>IF(Registro_ejemplo[[#This Row],[Hecho]]="","",Registro_ejemplo[[#This Row],[Hecho]]-Registro_ejemplo[[#This Row],[Por hacer]])</f>
        <v>11</v>
      </c>
      <c r="H13" s="3">
        <f>IF(Registro_ejemplo[[#This Row],[Hecho]]="","",Registro_ejemplo[[#This Row],[Hecho]]-Registro_ejemplo[[#This Row],[En proceso]])</f>
        <v>9</v>
      </c>
      <c r="I13" s="3"/>
      <c r="J13" s="1">
        <f>IF(ISNUMBER(J12),J12+1,Registro_ejemplo[[#This Row],[Por hacer]])</f>
        <v>45194</v>
      </c>
      <c r="K13">
        <f>COUNTIF(Registro_ejemplo[Por hacer],Tareas_ejemplo[[#This Row],[Fecha]])-COUNTIF(Registro_ejemplo[En proceso],Tareas_ejemplo[[#This Row],[Fecha]])+IF(ISNUMBER(K12),K12,0)</f>
        <v>3</v>
      </c>
      <c r="L13">
        <f>COUNTIF(Registro_ejemplo[En proceso],Tareas_ejemplo[[#This Row],[Fecha]])-COUNTIF(Registro_ejemplo[En revisión],Tareas_ejemplo[[#This Row],[Fecha]])+IF(ISNUMBER(L12),L12,0)</f>
        <v>3</v>
      </c>
      <c r="M13">
        <f>COUNTIF(Registro_ejemplo[En revisión],Tareas_ejemplo[[#This Row],[Fecha]])-COUNTIF(Registro_ejemplo[Hecho],Tareas_ejemplo[[#This Row],[Fecha]])+IF(ISNUMBER(M12),M12,0)</f>
        <v>3</v>
      </c>
      <c r="N13" s="3">
        <f>COUNTIF(Registro_ejemplo[Hecho],Tareas_ejemplo[[#This Row],[Fecha]])+IF(ISNUMBER(N12),N12,0)</f>
        <v>4</v>
      </c>
      <c r="O13">
        <v>5</v>
      </c>
      <c r="P13">
        <v>3</v>
      </c>
      <c r="Q13">
        <f>SUM(Tareas_ejemplo[[#This Row],[En proceso]]+Tareas_ejemplo[[#This Row],[En revisión]])</f>
        <v>6</v>
      </c>
    </row>
    <row r="14" spans="1:19" x14ac:dyDescent="0.3">
      <c r="A14" t="s">
        <v>17</v>
      </c>
      <c r="B14" s="1">
        <v>45187</v>
      </c>
      <c r="C14" s="1">
        <v>45191</v>
      </c>
      <c r="D14" s="1">
        <v>45197</v>
      </c>
      <c r="E14" s="1">
        <v>45201</v>
      </c>
      <c r="F14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4" s="3">
        <f>IF(Registro_ejemplo[[#This Row],[Hecho]]="","",Registro_ejemplo[[#This Row],[Hecho]]-Registro_ejemplo[[#This Row],[Por hacer]])</f>
        <v>14</v>
      </c>
      <c r="H14" s="3">
        <f>IF(Registro_ejemplo[[#This Row],[Hecho]]="","",Registro_ejemplo[[#This Row],[Hecho]]-Registro_ejemplo[[#This Row],[En proceso]])</f>
        <v>10</v>
      </c>
      <c r="I14" s="3"/>
      <c r="J14" s="1">
        <f>IF(ISNUMBER(J13),J13+1,Registro_ejemplo[[#This Row],[Por hacer]])</f>
        <v>45195</v>
      </c>
      <c r="K14">
        <f>COUNTIF(Registro_ejemplo[Por hacer],Tareas_ejemplo[[#This Row],[Fecha]])-COUNTIF(Registro_ejemplo[En proceso],Tareas_ejemplo[[#This Row],[Fecha]])+IF(ISNUMBER(K13),K13,0)</f>
        <v>7</v>
      </c>
      <c r="L14">
        <f>COUNTIF(Registro_ejemplo[En proceso],Tareas_ejemplo[[#This Row],[Fecha]])-COUNTIF(Registro_ejemplo[En revisión],Tareas_ejemplo[[#This Row],[Fecha]])+IF(ISNUMBER(L13),L13,0)</f>
        <v>3</v>
      </c>
      <c r="M14">
        <f>COUNTIF(Registro_ejemplo[En revisión],Tareas_ejemplo[[#This Row],[Fecha]])-COUNTIF(Registro_ejemplo[Hecho],Tareas_ejemplo[[#This Row],[Fecha]])+IF(ISNUMBER(M13),M13,0)</f>
        <v>2</v>
      </c>
      <c r="N14" s="3">
        <f>COUNTIF(Registro_ejemplo[Hecho],Tareas_ejemplo[[#This Row],[Fecha]])+IF(ISNUMBER(N13),N13,0)</f>
        <v>5</v>
      </c>
      <c r="O14">
        <v>5</v>
      </c>
      <c r="P14">
        <v>3</v>
      </c>
      <c r="Q14">
        <f>SUM(Tareas_ejemplo[[#This Row],[En proceso]]+Tareas_ejemplo[[#This Row],[En revisión]])</f>
        <v>5</v>
      </c>
    </row>
    <row r="15" spans="1:19" x14ac:dyDescent="0.3">
      <c r="A15" t="s">
        <v>18</v>
      </c>
      <c r="B15" s="1">
        <v>45189</v>
      </c>
      <c r="C15" s="1">
        <v>45192</v>
      </c>
      <c r="D15" s="1">
        <v>45200</v>
      </c>
      <c r="E15" s="1">
        <v>45203</v>
      </c>
      <c r="F15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5" s="3">
        <f>IF(Registro_ejemplo[[#This Row],[Hecho]]="","",Registro_ejemplo[[#This Row],[Hecho]]-Registro_ejemplo[[#This Row],[Por hacer]])</f>
        <v>14</v>
      </c>
      <c r="H15" s="3">
        <f>IF(Registro_ejemplo[[#This Row],[Hecho]]="","",Registro_ejemplo[[#This Row],[Hecho]]-Registro_ejemplo[[#This Row],[En proceso]])</f>
        <v>11</v>
      </c>
      <c r="I15" s="3"/>
      <c r="J15" s="1">
        <f>IF(ISNUMBER(J14),J14+1,Registro_ejemplo[[#This Row],[Por hacer]])</f>
        <v>45196</v>
      </c>
      <c r="K15">
        <f>COUNTIF(Registro_ejemplo[Por hacer],Tareas_ejemplo[[#This Row],[Fecha]])-COUNTIF(Registro_ejemplo[En proceso],Tareas_ejemplo[[#This Row],[Fecha]])+IF(ISNUMBER(K14),K14,0)</f>
        <v>8</v>
      </c>
      <c r="L15">
        <f>COUNTIF(Registro_ejemplo[En proceso],Tareas_ejemplo[[#This Row],[Fecha]])-COUNTIF(Registro_ejemplo[En revisión],Tareas_ejemplo[[#This Row],[Fecha]])+IF(ISNUMBER(L14),L14,0)</f>
        <v>6</v>
      </c>
      <c r="M15">
        <f>COUNTIF(Registro_ejemplo[En revisión],Tareas_ejemplo[[#This Row],[Fecha]])-COUNTIF(Registro_ejemplo[Hecho],Tareas_ejemplo[[#This Row],[Fecha]])+IF(ISNUMBER(M14),M14,0)</f>
        <v>3</v>
      </c>
      <c r="N15" s="3">
        <f>COUNTIF(Registro_ejemplo[Hecho],Tareas_ejemplo[[#This Row],[Fecha]])+IF(ISNUMBER(N14),N14,0)</f>
        <v>5</v>
      </c>
      <c r="O15">
        <v>5</v>
      </c>
      <c r="P15">
        <v>3</v>
      </c>
      <c r="Q15">
        <f>SUM(Tareas_ejemplo[[#This Row],[En proceso]]+Tareas_ejemplo[[#This Row],[En revisión]])</f>
        <v>9</v>
      </c>
    </row>
    <row r="16" spans="1:19" x14ac:dyDescent="0.3">
      <c r="A16" t="s">
        <v>19</v>
      </c>
      <c r="B16" s="1">
        <v>45189</v>
      </c>
      <c r="C16" s="1">
        <v>45196</v>
      </c>
      <c r="D16" s="1">
        <v>45202</v>
      </c>
      <c r="E16" s="1">
        <v>45204</v>
      </c>
      <c r="F16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6" s="3">
        <f>IF(Registro_ejemplo[[#This Row],[Hecho]]="","",Registro_ejemplo[[#This Row],[Hecho]]-Registro_ejemplo[[#This Row],[Por hacer]])</f>
        <v>15</v>
      </c>
      <c r="H16" s="3">
        <f>IF(Registro_ejemplo[[#This Row],[Hecho]]="","",Registro_ejemplo[[#This Row],[Hecho]]-Registro_ejemplo[[#This Row],[En proceso]])</f>
        <v>8</v>
      </c>
      <c r="I16" s="3"/>
      <c r="J16" s="1">
        <f>IF(ISNUMBER(J15),J15+1,Registro_ejemplo[[#This Row],[Por hacer]])</f>
        <v>45197</v>
      </c>
      <c r="K16">
        <f>COUNTIF(Registro_ejemplo[Por hacer],Tareas_ejemplo[[#This Row],[Fecha]])-COUNTIF(Registro_ejemplo[En proceso],Tareas_ejemplo[[#This Row],[Fecha]])+IF(ISNUMBER(K15),K15,0)</f>
        <v>8</v>
      </c>
      <c r="L16">
        <f>COUNTIF(Registro_ejemplo[En proceso],Tareas_ejemplo[[#This Row],[Fecha]])-COUNTIF(Registro_ejemplo[En revisión],Tareas_ejemplo[[#This Row],[Fecha]])+IF(ISNUMBER(L15),L15,0)</f>
        <v>5</v>
      </c>
      <c r="M16">
        <f>COUNTIF(Registro_ejemplo[En revisión],Tareas_ejemplo[[#This Row],[Fecha]])-COUNTIF(Registro_ejemplo[Hecho],Tareas_ejemplo[[#This Row],[Fecha]])+IF(ISNUMBER(M15),M15,0)</f>
        <v>3</v>
      </c>
      <c r="N16" s="3">
        <f>COUNTIF(Registro_ejemplo[Hecho],Tareas_ejemplo[[#This Row],[Fecha]])+IF(ISNUMBER(N15),N15,0)</f>
        <v>6</v>
      </c>
      <c r="O16">
        <v>6</v>
      </c>
      <c r="P16">
        <v>3</v>
      </c>
      <c r="Q16">
        <f>SUM(Tareas_ejemplo[[#This Row],[En proceso]]+Tareas_ejemplo[[#This Row],[En revisión]])</f>
        <v>8</v>
      </c>
    </row>
    <row r="17" spans="1:29" x14ac:dyDescent="0.3">
      <c r="A17" t="s">
        <v>20</v>
      </c>
      <c r="B17" s="1">
        <v>45189</v>
      </c>
      <c r="C17" s="1">
        <v>45196</v>
      </c>
      <c r="D17" s="1">
        <v>45204</v>
      </c>
      <c r="E17" s="1">
        <v>45207</v>
      </c>
      <c r="F17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7" s="3">
        <f>IF(Registro_ejemplo[[#This Row],[Hecho]]="","",Registro_ejemplo[[#This Row],[Hecho]]-Registro_ejemplo[[#This Row],[Por hacer]])</f>
        <v>18</v>
      </c>
      <c r="H17" s="3">
        <f>IF(Registro_ejemplo[[#This Row],[Hecho]]="","",Registro_ejemplo[[#This Row],[Hecho]]-Registro_ejemplo[[#This Row],[En proceso]])</f>
        <v>11</v>
      </c>
      <c r="I17" s="3"/>
      <c r="J17" s="1">
        <f>IF(ISNUMBER(J16),J16+1,Registro_ejemplo[[#This Row],[Por hacer]])</f>
        <v>45198</v>
      </c>
      <c r="K17">
        <f>COUNTIF(Registro_ejemplo[Por hacer],Tareas_ejemplo[[#This Row],[Fecha]])-COUNTIF(Registro_ejemplo[En proceso],Tareas_ejemplo[[#This Row],[Fecha]])+IF(ISNUMBER(K16),K16,0)</f>
        <v>8</v>
      </c>
      <c r="L17">
        <f>COUNTIF(Registro_ejemplo[En proceso],Tareas_ejemplo[[#This Row],[Fecha]])-COUNTIF(Registro_ejemplo[En revisión],Tareas_ejemplo[[#This Row],[Fecha]])+IF(ISNUMBER(L16),L16,0)</f>
        <v>5</v>
      </c>
      <c r="M17">
        <f>COUNTIF(Registro_ejemplo[En revisión],Tareas_ejemplo[[#This Row],[Fecha]])-COUNTIF(Registro_ejemplo[Hecho],Tareas_ejemplo[[#This Row],[Fecha]])+IF(ISNUMBER(M16),M16,0)</f>
        <v>2</v>
      </c>
      <c r="N17" s="3">
        <f>COUNTIF(Registro_ejemplo[Hecho],Tareas_ejemplo[[#This Row],[Fecha]])+IF(ISNUMBER(N16),N16,0)</f>
        <v>7</v>
      </c>
      <c r="O17">
        <v>6</v>
      </c>
      <c r="P17">
        <v>3</v>
      </c>
      <c r="Q17">
        <f>SUM(Tareas_ejemplo[[#This Row],[En proceso]]+Tareas_ejemplo[[#This Row],[En revisión]])</f>
        <v>7</v>
      </c>
    </row>
    <row r="18" spans="1:29" x14ac:dyDescent="0.3">
      <c r="A18" t="s">
        <v>21</v>
      </c>
      <c r="B18" s="1">
        <v>45189</v>
      </c>
      <c r="C18" s="1">
        <v>45202</v>
      </c>
      <c r="D18" s="1">
        <v>45207</v>
      </c>
      <c r="E18" s="1">
        <v>45209</v>
      </c>
      <c r="F18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8" s="3">
        <f>IF(Registro_ejemplo[[#This Row],[Hecho]]="","",Registro_ejemplo[[#This Row],[Hecho]]-Registro_ejemplo[[#This Row],[Por hacer]])</f>
        <v>20</v>
      </c>
      <c r="H18" s="3">
        <f>IF(Registro_ejemplo[[#This Row],[Hecho]]="","",Registro_ejemplo[[#This Row],[Hecho]]-Registro_ejemplo[[#This Row],[En proceso]])</f>
        <v>7</v>
      </c>
      <c r="I18" s="3"/>
      <c r="J18" s="1">
        <f>IF(ISNUMBER(J17),J17+1,Registro_ejemplo[[#This Row],[Por hacer]])</f>
        <v>45199</v>
      </c>
      <c r="K18">
        <f>COUNTIF(Registro_ejemplo[Por hacer],Tareas_ejemplo[[#This Row],[Fecha]])-COUNTIF(Registro_ejemplo[En proceso],Tareas_ejemplo[[#This Row],[Fecha]])+IF(ISNUMBER(K17),K17,0)</f>
        <v>7</v>
      </c>
      <c r="L18">
        <f>COUNTIF(Registro_ejemplo[En proceso],Tareas_ejemplo[[#This Row],[Fecha]])-COUNTIF(Registro_ejemplo[En revisión],Tareas_ejemplo[[#This Row],[Fecha]])+IF(ISNUMBER(L17),L17,0)</f>
        <v>6</v>
      </c>
      <c r="M18">
        <f>COUNTIF(Registro_ejemplo[En revisión],Tareas_ejemplo[[#This Row],[Fecha]])-COUNTIF(Registro_ejemplo[Hecho],Tareas_ejemplo[[#This Row],[Fecha]])+IF(ISNUMBER(M17),M17,0)</f>
        <v>2</v>
      </c>
      <c r="N18" s="3">
        <f>COUNTIF(Registro_ejemplo[Hecho],Tareas_ejemplo[[#This Row],[Fecha]])+IF(ISNUMBER(N17),N17,0)</f>
        <v>7</v>
      </c>
      <c r="O18">
        <v>6</v>
      </c>
      <c r="P18">
        <v>3</v>
      </c>
      <c r="Q18">
        <f>SUM(Tareas_ejemplo[[#This Row],[En proceso]]+Tareas_ejemplo[[#This Row],[En revisión]])</f>
        <v>8</v>
      </c>
    </row>
    <row r="19" spans="1:29" x14ac:dyDescent="0.3">
      <c r="A19" t="s">
        <v>22</v>
      </c>
      <c r="B19" s="1">
        <v>45195</v>
      </c>
      <c r="C19" s="1">
        <v>45196</v>
      </c>
      <c r="D19" s="1">
        <v>45203</v>
      </c>
      <c r="E19" s="1">
        <v>45205</v>
      </c>
      <c r="F19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9" s="3">
        <f>IF(Registro_ejemplo[[#This Row],[Hecho]]="","",Registro_ejemplo[[#This Row],[Hecho]]-Registro_ejemplo[[#This Row],[Por hacer]])</f>
        <v>10</v>
      </c>
      <c r="H19" s="3">
        <f>IF(Registro_ejemplo[[#This Row],[Hecho]]="","",Registro_ejemplo[[#This Row],[Hecho]]-Registro_ejemplo[[#This Row],[En proceso]])</f>
        <v>9</v>
      </c>
      <c r="I19" s="3"/>
      <c r="J19" s="1">
        <f>IF(ISNUMBER(J18),J18+1,Registro_ejemplo[[#This Row],[Por hacer]])</f>
        <v>45200</v>
      </c>
      <c r="K19">
        <f>COUNTIF(Registro_ejemplo[Por hacer],Tareas_ejemplo[[#This Row],[Fecha]])-COUNTIF(Registro_ejemplo[En proceso],Tareas_ejemplo[[#This Row],[Fecha]])+IF(ISNUMBER(K18),K18,0)</f>
        <v>7</v>
      </c>
      <c r="L19">
        <f>COUNTIF(Registro_ejemplo[En proceso],Tareas_ejemplo[[#This Row],[Fecha]])-COUNTIF(Registro_ejemplo[En revisión],Tareas_ejemplo[[#This Row],[Fecha]])+IF(ISNUMBER(L18),L18,0)</f>
        <v>5</v>
      </c>
      <c r="M19">
        <f>COUNTIF(Registro_ejemplo[En revisión],Tareas_ejemplo[[#This Row],[Fecha]])-COUNTIF(Registro_ejemplo[Hecho],Tareas_ejemplo[[#This Row],[Fecha]])+IF(ISNUMBER(M18),M18,0)</f>
        <v>3</v>
      </c>
      <c r="N19" s="3">
        <f>COUNTIF(Registro_ejemplo[Hecho],Tareas_ejemplo[[#This Row],[Fecha]])+IF(ISNUMBER(N18),N18,0)</f>
        <v>7</v>
      </c>
      <c r="O19">
        <v>6</v>
      </c>
      <c r="P19">
        <v>3</v>
      </c>
      <c r="Q19">
        <f>SUM(Tareas_ejemplo[[#This Row],[En proceso]]+Tareas_ejemplo[[#This Row],[En revisión]])</f>
        <v>8</v>
      </c>
    </row>
    <row r="20" spans="1:29" x14ac:dyDescent="0.3">
      <c r="A20" t="s">
        <v>23</v>
      </c>
      <c r="B20" s="1">
        <v>45195</v>
      </c>
      <c r="C20" s="1">
        <v>45196</v>
      </c>
      <c r="D20" s="1">
        <v>45204</v>
      </c>
      <c r="E20" s="1">
        <v>45207</v>
      </c>
      <c r="F20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0" s="3">
        <f>IF(Registro_ejemplo[[#This Row],[Hecho]]="","",Registro_ejemplo[[#This Row],[Hecho]]-Registro_ejemplo[[#This Row],[Por hacer]])</f>
        <v>12</v>
      </c>
      <c r="H20" s="3">
        <f>IF(Registro_ejemplo[[#This Row],[Hecho]]="","",Registro_ejemplo[[#This Row],[Hecho]]-Registro_ejemplo[[#This Row],[En proceso]])</f>
        <v>11</v>
      </c>
      <c r="I20" s="3"/>
      <c r="J20" s="1">
        <f>IF(ISNUMBER(J19),J19+1,Registro_ejemplo[[#This Row],[Por hacer]])</f>
        <v>45201</v>
      </c>
      <c r="K20">
        <f>COUNTIF(Registro_ejemplo[Por hacer],Tareas_ejemplo[[#This Row],[Fecha]])-COUNTIF(Registro_ejemplo[En proceso],Tareas_ejemplo[[#This Row],[Fecha]])+IF(ISNUMBER(K19),K19,0)</f>
        <v>7</v>
      </c>
      <c r="L20">
        <f>COUNTIF(Registro_ejemplo[En proceso],Tareas_ejemplo[[#This Row],[Fecha]])-COUNTIF(Registro_ejemplo[En revisión],Tareas_ejemplo[[#This Row],[Fecha]])+IF(ISNUMBER(L19),L19,0)</f>
        <v>5</v>
      </c>
      <c r="M20">
        <f>COUNTIF(Registro_ejemplo[En revisión],Tareas_ejemplo[[#This Row],[Fecha]])-COUNTIF(Registro_ejemplo[Hecho],Tareas_ejemplo[[#This Row],[Fecha]])+IF(ISNUMBER(M19),M19,0)</f>
        <v>1</v>
      </c>
      <c r="N20" s="3">
        <f>COUNTIF(Registro_ejemplo[Hecho],Tareas_ejemplo[[#This Row],[Fecha]])+IF(ISNUMBER(N19),N19,0)</f>
        <v>9</v>
      </c>
      <c r="O20">
        <v>6</v>
      </c>
      <c r="P20">
        <v>3</v>
      </c>
      <c r="Q20">
        <f>SUM(Tareas_ejemplo[[#This Row],[En proceso]]+Tareas_ejemplo[[#This Row],[En revisión]])</f>
        <v>6</v>
      </c>
    </row>
    <row r="21" spans="1:29" x14ac:dyDescent="0.3">
      <c r="A21" t="s">
        <v>24</v>
      </c>
      <c r="B21" s="1">
        <v>45195</v>
      </c>
      <c r="C21" s="1">
        <v>45199</v>
      </c>
      <c r="D21" s="1">
        <v>45205</v>
      </c>
      <c r="E21" s="1">
        <v>45207</v>
      </c>
      <c r="F21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1" s="3">
        <f>IF(Registro_ejemplo[[#This Row],[Hecho]]="","",Registro_ejemplo[[#This Row],[Hecho]]-Registro_ejemplo[[#This Row],[Por hacer]])</f>
        <v>12</v>
      </c>
      <c r="H21" s="3">
        <f>IF(Registro_ejemplo[[#This Row],[Hecho]]="","",Registro_ejemplo[[#This Row],[Hecho]]-Registro_ejemplo[[#This Row],[En proceso]])</f>
        <v>8</v>
      </c>
      <c r="I21" s="3"/>
      <c r="J21" s="1">
        <f>IF(ISNUMBER(J20),J20+1,Registro_ejemplo[[#This Row],[Por hacer]])</f>
        <v>45202</v>
      </c>
      <c r="K21">
        <f>COUNTIF(Registro_ejemplo[Por hacer],Tareas_ejemplo[[#This Row],[Fecha]])-COUNTIF(Registro_ejemplo[En proceso],Tareas_ejemplo[[#This Row],[Fecha]])+IF(ISNUMBER(K20),K20,0)</f>
        <v>6</v>
      </c>
      <c r="L21">
        <f>COUNTIF(Registro_ejemplo[En proceso],Tareas_ejemplo[[#This Row],[Fecha]])-COUNTIF(Registro_ejemplo[En revisión],Tareas_ejemplo[[#This Row],[Fecha]])+IF(ISNUMBER(L20),L20,0)</f>
        <v>5</v>
      </c>
      <c r="M21">
        <f>COUNTIF(Registro_ejemplo[En revisión],Tareas_ejemplo[[#This Row],[Fecha]])-COUNTIF(Registro_ejemplo[Hecho],Tareas_ejemplo[[#This Row],[Fecha]])+IF(ISNUMBER(M20),M20,0)</f>
        <v>2</v>
      </c>
      <c r="N21" s="3">
        <f>COUNTIF(Registro_ejemplo[Hecho],Tareas_ejemplo[[#This Row],[Fecha]])+IF(ISNUMBER(N20),N20,0)</f>
        <v>9</v>
      </c>
      <c r="O21">
        <v>6</v>
      </c>
      <c r="P21">
        <v>3</v>
      </c>
      <c r="Q21">
        <f>SUM(Tareas_ejemplo[[#This Row],[En proceso]]+Tareas_ejemplo[[#This Row],[En revisión]])</f>
        <v>7</v>
      </c>
    </row>
    <row r="22" spans="1:29" x14ac:dyDescent="0.3">
      <c r="A22" t="s">
        <v>25</v>
      </c>
      <c r="B22" s="1">
        <v>45195</v>
      </c>
      <c r="C22" s="1">
        <v>45203</v>
      </c>
      <c r="D22" s="1">
        <v>45207</v>
      </c>
      <c r="E22" s="1">
        <v>45208</v>
      </c>
      <c r="F22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2" s="3">
        <f>IF(Registro_ejemplo[[#This Row],[Hecho]]="","",Registro_ejemplo[[#This Row],[Hecho]]-Registro_ejemplo[[#This Row],[Por hacer]])</f>
        <v>13</v>
      </c>
      <c r="H22" s="3">
        <f>IF(Registro_ejemplo[[#This Row],[Hecho]]="","",Registro_ejemplo[[#This Row],[Hecho]]-Registro_ejemplo[[#This Row],[En proceso]])</f>
        <v>5</v>
      </c>
      <c r="I22" s="3"/>
      <c r="J22" s="1">
        <f>IF(ISNUMBER(J21),J21+1,Registro_ejemplo[[#This Row],[Por hacer]])</f>
        <v>45203</v>
      </c>
      <c r="K22">
        <f>COUNTIF(Registro_ejemplo[Por hacer],Tareas_ejemplo[[#This Row],[Fecha]])-COUNTIF(Registro_ejemplo[En proceso],Tareas_ejemplo[[#This Row],[Fecha]])+IF(ISNUMBER(K21),K21,0)</f>
        <v>5</v>
      </c>
      <c r="L22">
        <f>COUNTIF(Registro_ejemplo[En proceso],Tareas_ejemplo[[#This Row],[Fecha]])-COUNTIF(Registro_ejemplo[En revisión],Tareas_ejemplo[[#This Row],[Fecha]])+IF(ISNUMBER(L21),L21,0)</f>
        <v>5</v>
      </c>
      <c r="M22">
        <f>COUNTIF(Registro_ejemplo[En revisión],Tareas_ejemplo[[#This Row],[Fecha]])-COUNTIF(Registro_ejemplo[Hecho],Tareas_ejemplo[[#This Row],[Fecha]])+IF(ISNUMBER(M21),M21,0)</f>
        <v>2</v>
      </c>
      <c r="N22" s="3">
        <f>COUNTIF(Registro_ejemplo[Hecho],Tareas_ejemplo[[#This Row],[Fecha]])+IF(ISNUMBER(N21),N21,0)</f>
        <v>10</v>
      </c>
      <c r="O22">
        <v>6</v>
      </c>
      <c r="P22">
        <v>3</v>
      </c>
      <c r="Q22">
        <f>SUM(Tareas_ejemplo[[#This Row],[En proceso]]+Tareas_ejemplo[[#This Row],[En revisión]])</f>
        <v>7</v>
      </c>
    </row>
    <row r="23" spans="1:29" x14ac:dyDescent="0.3">
      <c r="A23" t="s">
        <v>26</v>
      </c>
      <c r="B23" s="1">
        <v>45196</v>
      </c>
      <c r="C23" s="1">
        <v>45205</v>
      </c>
      <c r="D23" s="1">
        <v>45208</v>
      </c>
      <c r="E23" s="1">
        <v>45210</v>
      </c>
      <c r="F23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3" s="3">
        <f>IF(Registro_ejemplo[[#This Row],[Hecho]]="","",Registro_ejemplo[[#This Row],[Hecho]]-Registro_ejemplo[[#This Row],[Por hacer]])</f>
        <v>14</v>
      </c>
      <c r="H23" s="3">
        <f>IF(Registro_ejemplo[[#This Row],[Hecho]]="","",Registro_ejemplo[[#This Row],[Hecho]]-Registro_ejemplo[[#This Row],[En proceso]])</f>
        <v>5</v>
      </c>
      <c r="I23" s="3"/>
      <c r="J23" s="1">
        <f>IF(ISNUMBER(J22),J22+1,Registro_ejemplo[[#This Row],[Por hacer]])</f>
        <v>45204</v>
      </c>
      <c r="K23">
        <f>COUNTIF(Registro_ejemplo[Por hacer],Tareas_ejemplo[[#This Row],[Fecha]])-COUNTIF(Registro_ejemplo[En proceso],Tareas_ejemplo[[#This Row],[Fecha]])+IF(ISNUMBER(K22),K22,0)</f>
        <v>5</v>
      </c>
      <c r="L23">
        <f>COUNTIF(Registro_ejemplo[En proceso],Tareas_ejemplo[[#This Row],[Fecha]])-COUNTIF(Registro_ejemplo[En revisión],Tareas_ejemplo[[#This Row],[Fecha]])+IF(ISNUMBER(L22),L22,0)</f>
        <v>3</v>
      </c>
      <c r="M23">
        <f>COUNTIF(Registro_ejemplo[En revisión],Tareas_ejemplo[[#This Row],[Fecha]])-COUNTIF(Registro_ejemplo[Hecho],Tareas_ejemplo[[#This Row],[Fecha]])+IF(ISNUMBER(M22),M22,0)</f>
        <v>3</v>
      </c>
      <c r="N23" s="3">
        <f>COUNTIF(Registro_ejemplo[Hecho],Tareas_ejemplo[[#This Row],[Fecha]])+IF(ISNUMBER(N22),N22,0)</f>
        <v>11</v>
      </c>
      <c r="O23">
        <v>6</v>
      </c>
      <c r="P23">
        <v>3</v>
      </c>
      <c r="Q23">
        <f>SUM(Tareas_ejemplo[[#This Row],[En proceso]]+Tareas_ejemplo[[#This Row],[En revisión]])</f>
        <v>6</v>
      </c>
    </row>
    <row r="24" spans="1:29" x14ac:dyDescent="0.3">
      <c r="A24" t="s">
        <v>27</v>
      </c>
      <c r="B24" s="1">
        <v>45196</v>
      </c>
      <c r="C24" s="1">
        <v>45205</v>
      </c>
      <c r="D24" s="1">
        <v>45208</v>
      </c>
      <c r="E24" s="1">
        <v>45210</v>
      </c>
      <c r="F24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4" s="3">
        <f>IF(Registro_ejemplo[[#This Row],[Hecho]]="","",Registro_ejemplo[[#This Row],[Hecho]]-Registro_ejemplo[[#This Row],[Por hacer]])</f>
        <v>14</v>
      </c>
      <c r="H24" s="3">
        <f>IF(Registro_ejemplo[[#This Row],[Hecho]]="","",Registro_ejemplo[[#This Row],[Hecho]]-Registro_ejemplo[[#This Row],[En proceso]])</f>
        <v>5</v>
      </c>
      <c r="I24" s="3"/>
      <c r="J24" s="1">
        <f>IF(ISNUMBER(J23),J23+1,Registro_ejemplo[[#This Row],[Por hacer]])</f>
        <v>45205</v>
      </c>
      <c r="K24">
        <f>COUNTIF(Registro_ejemplo[Por hacer],Tareas_ejemplo[[#This Row],[Fecha]])-COUNTIF(Registro_ejemplo[En proceso],Tareas_ejemplo[[#This Row],[Fecha]])+IF(ISNUMBER(K23),K23,0)</f>
        <v>3</v>
      </c>
      <c r="L24">
        <f>COUNTIF(Registro_ejemplo[En proceso],Tareas_ejemplo[[#This Row],[Fecha]])-COUNTIF(Registro_ejemplo[En revisión],Tareas_ejemplo[[#This Row],[Fecha]])+IF(ISNUMBER(L23),L23,0)</f>
        <v>4</v>
      </c>
      <c r="M24">
        <f>COUNTIF(Registro_ejemplo[En revisión],Tareas_ejemplo[[#This Row],[Fecha]])-COUNTIF(Registro_ejemplo[Hecho],Tareas_ejemplo[[#This Row],[Fecha]])+IF(ISNUMBER(M23),M23,0)</f>
        <v>3</v>
      </c>
      <c r="N24" s="3">
        <f>COUNTIF(Registro_ejemplo[Hecho],Tareas_ejemplo[[#This Row],[Fecha]])+IF(ISNUMBER(N23),N23,0)</f>
        <v>12</v>
      </c>
      <c r="O24">
        <v>6</v>
      </c>
      <c r="P24">
        <v>3</v>
      </c>
      <c r="Q24">
        <f>SUM(Tareas_ejemplo[[#This Row],[En proceso]]+Tareas_ejemplo[[#This Row],[En revisión]])</f>
        <v>7</v>
      </c>
    </row>
    <row r="25" spans="1:29" x14ac:dyDescent="0.3">
      <c r="A25" t="s">
        <v>28</v>
      </c>
      <c r="B25" s="1">
        <v>45196</v>
      </c>
      <c r="C25" s="1">
        <v>45206</v>
      </c>
      <c r="D25" s="1">
        <v>45210</v>
      </c>
      <c r="E25" s="1">
        <v>45212</v>
      </c>
      <c r="F25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5" s="3">
        <f>IF(Registro_ejemplo[[#This Row],[Hecho]]="","",Registro_ejemplo[[#This Row],[Hecho]]-Registro_ejemplo[[#This Row],[Por hacer]])</f>
        <v>16</v>
      </c>
      <c r="H25" s="3">
        <f>IF(Registro_ejemplo[[#This Row],[Hecho]]="","",Registro_ejemplo[[#This Row],[Hecho]]-Registro_ejemplo[[#This Row],[En proceso]])</f>
        <v>6</v>
      </c>
      <c r="I25" s="3"/>
      <c r="J25" s="1">
        <f>IF(ISNUMBER(J24),J24+1,Registro_ejemplo[[#This Row],[Por hacer]])</f>
        <v>45206</v>
      </c>
      <c r="K25">
        <f>COUNTIF(Registro_ejemplo[Por hacer],Tareas_ejemplo[[#This Row],[Fecha]])-COUNTIF(Registro_ejemplo[En proceso],Tareas_ejemplo[[#This Row],[Fecha]])+IF(ISNUMBER(K24),K24,0)</f>
        <v>2</v>
      </c>
      <c r="L25">
        <f>COUNTIF(Registro_ejemplo[En proceso],Tareas_ejemplo[[#This Row],[Fecha]])-COUNTIF(Registro_ejemplo[En revisión],Tareas_ejemplo[[#This Row],[Fecha]])+IF(ISNUMBER(L24),L24,0)</f>
        <v>5</v>
      </c>
      <c r="M25">
        <f>COUNTIF(Registro_ejemplo[En revisión],Tareas_ejemplo[[#This Row],[Fecha]])-COUNTIF(Registro_ejemplo[Hecho],Tareas_ejemplo[[#This Row],[Fecha]])+IF(ISNUMBER(M24),M24,0)</f>
        <v>3</v>
      </c>
      <c r="N25" s="3">
        <f>COUNTIF(Registro_ejemplo[Hecho],Tareas_ejemplo[[#This Row],[Fecha]])+IF(ISNUMBER(N24),N24,0)</f>
        <v>12</v>
      </c>
      <c r="O25">
        <v>6</v>
      </c>
      <c r="P25">
        <v>3</v>
      </c>
      <c r="Q25">
        <f>SUM(Tareas_ejemplo[[#This Row],[En proceso]]+Tareas_ejemplo[[#This Row],[En revisión]])</f>
        <v>8</v>
      </c>
    </row>
    <row r="26" spans="1:29" x14ac:dyDescent="0.3">
      <c r="A26" t="s">
        <v>29</v>
      </c>
      <c r="B26" s="1">
        <v>45196</v>
      </c>
      <c r="C26" s="1">
        <v>45207</v>
      </c>
      <c r="D26" s="1">
        <v>45209</v>
      </c>
      <c r="E26" s="1">
        <v>45213</v>
      </c>
      <c r="F26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6" s="3">
        <f>IF(Registro_ejemplo[[#This Row],[Hecho]]="","",Registro_ejemplo[[#This Row],[Hecho]]-Registro_ejemplo[[#This Row],[Por hacer]])</f>
        <v>17</v>
      </c>
      <c r="H26" s="3">
        <f>IF(Registro_ejemplo[[#This Row],[Hecho]]="","",Registro_ejemplo[[#This Row],[Hecho]]-Registro_ejemplo[[#This Row],[En proceso]])</f>
        <v>6</v>
      </c>
      <c r="I26" s="3"/>
      <c r="J26" s="1">
        <f>IF(ISNUMBER(J25),J25+1,Registro_ejemplo[[#This Row],[Por hacer]])</f>
        <v>45207</v>
      </c>
      <c r="K26">
        <f>COUNTIF(Registro_ejemplo[Por hacer],Tareas_ejemplo[[#This Row],[Fecha]])-COUNTIF(Registro_ejemplo[En proceso],Tareas_ejemplo[[#This Row],[Fecha]])+IF(ISNUMBER(K25),K25,0)</f>
        <v>1</v>
      </c>
      <c r="L26">
        <f>COUNTIF(Registro_ejemplo[En proceso],Tareas_ejemplo[[#This Row],[Fecha]])-COUNTIF(Registro_ejemplo[En revisión],Tareas_ejemplo[[#This Row],[Fecha]])+IF(ISNUMBER(L25),L25,0)</f>
        <v>4</v>
      </c>
      <c r="M26">
        <f>COUNTIF(Registro_ejemplo[En revisión],Tareas_ejemplo[[#This Row],[Fecha]])-COUNTIF(Registro_ejemplo[Hecho],Tareas_ejemplo[[#This Row],[Fecha]])+IF(ISNUMBER(M25),M25,0)</f>
        <v>2</v>
      </c>
      <c r="N26" s="3">
        <f>COUNTIF(Registro_ejemplo[Hecho],Tareas_ejemplo[[#This Row],[Fecha]])+IF(ISNUMBER(N25),N25,0)</f>
        <v>15</v>
      </c>
      <c r="O26">
        <v>6</v>
      </c>
      <c r="P26">
        <v>3</v>
      </c>
      <c r="Q26">
        <f>SUM(Tareas_ejemplo[[#This Row],[En proceso]]+Tareas_ejemplo[[#This Row],[En revisión]])</f>
        <v>6</v>
      </c>
    </row>
    <row r="27" spans="1:29" ht="18" x14ac:dyDescent="0.35">
      <c r="A27" t="s">
        <v>30</v>
      </c>
      <c r="B27" s="1">
        <v>45196</v>
      </c>
      <c r="C27" s="1">
        <v>45208</v>
      </c>
      <c r="D27" s="1">
        <v>45211</v>
      </c>
      <c r="E27" s="1">
        <v>45213</v>
      </c>
      <c r="F27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7" s="3">
        <f>IF(Registro_ejemplo[[#This Row],[Hecho]]="","",Registro_ejemplo[[#This Row],[Hecho]]-Registro_ejemplo[[#This Row],[Por hacer]])</f>
        <v>17</v>
      </c>
      <c r="H27" s="3">
        <f>IF(Registro_ejemplo[[#This Row],[Hecho]]="","",Registro_ejemplo[[#This Row],[Hecho]]-Registro_ejemplo[[#This Row],[En proceso]])</f>
        <v>5</v>
      </c>
      <c r="I27" s="3"/>
      <c r="J27" s="1">
        <f>IF(ISNUMBER(J26),J26+1,Registro_ejemplo[[#This Row],[Por hacer]])</f>
        <v>45208</v>
      </c>
      <c r="K27">
        <f>COUNTIF(Registro_ejemplo[Por hacer],Tareas_ejemplo[[#This Row],[Fecha]])-COUNTIF(Registro_ejemplo[En proceso],Tareas_ejemplo[[#This Row],[Fecha]])+IF(ISNUMBER(K26),K26,0)</f>
        <v>0</v>
      </c>
      <c r="L27">
        <f>COUNTIF(Registro_ejemplo[En proceso],Tareas_ejemplo[[#This Row],[Fecha]])-COUNTIF(Registro_ejemplo[En revisión],Tareas_ejemplo[[#This Row],[Fecha]])+IF(ISNUMBER(L26),L26,0)</f>
        <v>3</v>
      </c>
      <c r="M27">
        <f>COUNTIF(Registro_ejemplo[En revisión],Tareas_ejemplo[[#This Row],[Fecha]])-COUNTIF(Registro_ejemplo[Hecho],Tareas_ejemplo[[#This Row],[Fecha]])+IF(ISNUMBER(M26),M26,0)</f>
        <v>3</v>
      </c>
      <c r="N27" s="3">
        <f>COUNTIF(Registro_ejemplo[Hecho],Tareas_ejemplo[[#This Row],[Fecha]])+IF(ISNUMBER(N26),N26,0)</f>
        <v>16</v>
      </c>
      <c r="O27">
        <v>6</v>
      </c>
      <c r="P27">
        <v>3</v>
      </c>
      <c r="Q27">
        <f>SUM(Tareas_ejemplo[[#This Row],[En proceso]]+Tareas_ejemplo[[#This Row],[En revisión]])</f>
        <v>6</v>
      </c>
      <c r="S27" s="7" t="s">
        <v>38</v>
      </c>
    </row>
    <row r="28" spans="1:29" x14ac:dyDescent="0.3">
      <c r="J28" s="1">
        <f>IF(ISNUMBER(J27),J27+1,Registro_ejemplo[[#This Row],[Por hacer]])</f>
        <v>45209</v>
      </c>
      <c r="K28">
        <f>COUNTIF(Registro_ejemplo[Por hacer],Tareas_ejemplo[[#This Row],[Fecha]])-COUNTIF(Registro_ejemplo[En proceso],Tareas_ejemplo[[#This Row],[Fecha]])+IF(ISNUMBER(K27),K27,0)</f>
        <v>0</v>
      </c>
      <c r="L28">
        <f>COUNTIF(Registro_ejemplo[En proceso],Tareas_ejemplo[[#This Row],[Fecha]])-COUNTIF(Registro_ejemplo[En revisión],Tareas_ejemplo[[#This Row],[Fecha]])+IF(ISNUMBER(L27),L27,0)</f>
        <v>2</v>
      </c>
      <c r="M28">
        <f>COUNTIF(Registro_ejemplo[En revisión],Tareas_ejemplo[[#This Row],[Fecha]])-COUNTIF(Registro_ejemplo[Hecho],Tareas_ejemplo[[#This Row],[Fecha]])+IF(ISNUMBER(M27),M27,0)</f>
        <v>3</v>
      </c>
      <c r="N28" s="3">
        <f>COUNTIF(Registro_ejemplo[Hecho],Tareas_ejemplo[[#This Row],[Fecha]])+IF(ISNUMBER(N27),N27,0)</f>
        <v>17</v>
      </c>
      <c r="O28">
        <v>6</v>
      </c>
      <c r="P28">
        <v>3</v>
      </c>
      <c r="Q28">
        <f>SUM(Tareas_ejemplo[[#This Row],[En proceso]]+Tareas_ejemplo[[#This Row],[En revisión]])</f>
        <v>5</v>
      </c>
      <c r="S28" t="s">
        <v>41</v>
      </c>
      <c r="T28" s="2">
        <f>IFERROR(AVERAGE(Registro_ejemplo[Tiempo de Entrega]),"-")</f>
        <v>12.181818181818182</v>
      </c>
      <c r="U28" t="s">
        <v>39</v>
      </c>
      <c r="W28" t="str">
        <f>IFERROR("Tiempo de Entrega máximo (tarea "&amp;_xlfn.XLOOKUP(X28,Registro_ejemplo[Tiempo de Entrega],Registro_ejemplo[Código Tarea])&amp;"):","Tiempo de Entrega máximo:")</f>
        <v>Tiempo de Entrega máximo (tarea #013):</v>
      </c>
      <c r="X28">
        <f>MAX(Registro_ejemplo[Tiempo de Entrega])</f>
        <v>20</v>
      </c>
      <c r="Y28" t="s">
        <v>39</v>
      </c>
      <c r="AA28" t="str">
        <f>IFERROR("Tiempo de Entrega mínimo (tarea "&amp;_xlfn.XLOOKUP(AB28,Registro_ejemplo[Tiempo de Entrega],Registro_ejemplo[Código Tarea])&amp;"):","Tiempo de Entrega mínimo:")</f>
        <v>Tiempo de Entrega mínimo (tarea #001):</v>
      </c>
      <c r="AB28">
        <f>MIN(Registro_ejemplo[Tiempo de Entrega])</f>
        <v>2</v>
      </c>
      <c r="AC28" t="s">
        <v>39</v>
      </c>
    </row>
    <row r="29" spans="1:29" x14ac:dyDescent="0.3">
      <c r="J29" s="1">
        <f>IF(ISNUMBER(J28),J28+1,Registro_ejemplo[[#This Row],[Por hacer]])</f>
        <v>45210</v>
      </c>
      <c r="K29">
        <f>COUNTIF(Registro_ejemplo[Por hacer],Tareas_ejemplo[[#This Row],[Fecha]])-COUNTIF(Registro_ejemplo[En proceso],Tareas_ejemplo[[#This Row],[Fecha]])+IF(ISNUMBER(K28),K28,0)</f>
        <v>0</v>
      </c>
      <c r="L29">
        <f>COUNTIF(Registro_ejemplo[En proceso],Tareas_ejemplo[[#This Row],[Fecha]])-COUNTIF(Registro_ejemplo[En revisión],Tareas_ejemplo[[#This Row],[Fecha]])+IF(ISNUMBER(L28),L28,0)</f>
        <v>1</v>
      </c>
      <c r="M29">
        <f>COUNTIF(Registro_ejemplo[En revisión],Tareas_ejemplo[[#This Row],[Fecha]])-COUNTIF(Registro_ejemplo[Hecho],Tareas_ejemplo[[#This Row],[Fecha]])+IF(ISNUMBER(M28),M28,0)</f>
        <v>2</v>
      </c>
      <c r="N29" s="3">
        <f>COUNTIF(Registro_ejemplo[Hecho],Tareas_ejemplo[[#This Row],[Fecha]])+IF(ISNUMBER(N28),N28,0)</f>
        <v>19</v>
      </c>
      <c r="O29">
        <v>6</v>
      </c>
      <c r="P29">
        <v>3</v>
      </c>
      <c r="Q29">
        <f>SUM(Tareas_ejemplo[[#This Row],[En proceso]]+Tareas_ejemplo[[#This Row],[En revisión]])</f>
        <v>3</v>
      </c>
      <c r="S29" t="s">
        <v>42</v>
      </c>
      <c r="T29" s="2">
        <f>IFERROR(AVERAGE(Registro_ejemplo[Tiempo de Ciclo]),"-")</f>
        <v>7.3181818181818183</v>
      </c>
      <c r="U29" t="s">
        <v>39</v>
      </c>
      <c r="W29" t="str">
        <f>IFERROR("Tiempo de Ciclo máximo (tarea "&amp;_xlfn.XLOOKUP(X29,Registro_ejemplo[Tiempo de Ciclo],Registro_ejemplo[Código Tarea])&amp;"):","Tiempo de Ciclo máximo")</f>
        <v>Tiempo de Ciclo máximo (tarea #006):</v>
      </c>
      <c r="X29">
        <f>MAX(Registro_ejemplo[Tiempo de Ciclo])</f>
        <v>12</v>
      </c>
      <c r="Y29" t="s">
        <v>39</v>
      </c>
      <c r="AA29" t="str">
        <f>IFERROR("Tiempo de Ciclo mínimo (tarea "&amp;_xlfn.XLOOKUP(AB29,Registro_ejemplo[Tiempo de Ciclo],Registro_ejemplo[Código Tarea])&amp;"):","Tiempo de Ciclo mínimo:")</f>
        <v>Tiempo de Ciclo mínimo (tarea #001):</v>
      </c>
      <c r="AB29">
        <f>MIN(Registro_ejemplo[Tiempo de Ciclo])</f>
        <v>2</v>
      </c>
      <c r="AC29" t="s">
        <v>39</v>
      </c>
    </row>
    <row r="30" spans="1:29" x14ac:dyDescent="0.3">
      <c r="J30" s="1">
        <f>IF(ISNUMBER(J29),J29+1,Registro_ejemplo[[#This Row],[Por hacer]])</f>
        <v>45211</v>
      </c>
      <c r="K30">
        <f>COUNTIF(Registro_ejemplo[Por hacer],Tareas_ejemplo[[#This Row],[Fecha]])-COUNTIF(Registro_ejemplo[En proceso],Tareas_ejemplo[[#This Row],[Fecha]])+IF(ISNUMBER(K29),K29,0)</f>
        <v>0</v>
      </c>
      <c r="L30">
        <f>COUNTIF(Registro_ejemplo[En proceso],Tareas_ejemplo[[#This Row],[Fecha]])-COUNTIF(Registro_ejemplo[En revisión],Tareas_ejemplo[[#This Row],[Fecha]])+IF(ISNUMBER(L29),L29,0)</f>
        <v>0</v>
      </c>
      <c r="M30">
        <f>COUNTIF(Registro_ejemplo[En revisión],Tareas_ejemplo[[#This Row],[Fecha]])-COUNTIF(Registro_ejemplo[Hecho],Tareas_ejemplo[[#This Row],[Fecha]])+IF(ISNUMBER(M29),M29,0)</f>
        <v>3</v>
      </c>
      <c r="N30" s="3">
        <f>COUNTIF(Registro_ejemplo[Hecho],Tareas_ejemplo[[#This Row],[Fecha]])+IF(ISNUMBER(N29),N29,0)</f>
        <v>19</v>
      </c>
      <c r="O30">
        <v>6</v>
      </c>
      <c r="P30">
        <v>3</v>
      </c>
      <c r="Q30">
        <f>SUM(Tareas_ejemplo[[#This Row],[En proceso]]+Tareas_ejemplo[[#This Row],[En revisión]])</f>
        <v>3</v>
      </c>
      <c r="S30" t="s">
        <v>43</v>
      </c>
      <c r="T30" s="2">
        <f>AVERAGE(Tareas_ejemplo[WIP])</f>
        <v>5.9629629629629628</v>
      </c>
      <c r="U30" t="s">
        <v>40</v>
      </c>
      <c r="W30" s="1" t="str">
        <f>"WIP máximo ("&amp;TEXT(_xlfn.XLOOKUP(X30,Tareas_ejemplo[WIP],Tareas_ejemplo[Fecha]),"dd/mm/aa")&amp;"):"</f>
        <v>WIP máximo (27/09/23):</v>
      </c>
      <c r="X30">
        <f>MAX(Tareas_ejemplo[WIP])</f>
        <v>9</v>
      </c>
      <c r="Y30" t="s">
        <v>40</v>
      </c>
      <c r="AA30" t="str">
        <f>"WIP mínimo ("&amp;TEXT(_xlfn.XLOOKUP(AB30,Tareas_ejemplo[WIP],Tareas_ejemplo[Fecha]),"dd/mm/aa")&amp;"):"</f>
        <v>WIP mínimo (14/10/23):</v>
      </c>
      <c r="AB30">
        <f>MIN(Tareas_ejemplo[WIP])</f>
        <v>0</v>
      </c>
      <c r="AC30" t="s">
        <v>40</v>
      </c>
    </row>
    <row r="31" spans="1:29" x14ac:dyDescent="0.3">
      <c r="J31" s="1">
        <f>IF(ISNUMBER(J30),J30+1,Registro_ejemplo[[#This Row],[Por hacer]])</f>
        <v>45212</v>
      </c>
      <c r="K31">
        <f>COUNTIF(Registro_ejemplo[Por hacer],Tareas_ejemplo[[#This Row],[Fecha]])-COUNTIF(Registro_ejemplo[En proceso],Tareas_ejemplo[[#This Row],[Fecha]])+IF(ISNUMBER(K30),K30,0)</f>
        <v>0</v>
      </c>
      <c r="L31">
        <f>COUNTIF(Registro_ejemplo[En proceso],Tareas_ejemplo[[#This Row],[Fecha]])-COUNTIF(Registro_ejemplo[En revisión],Tareas_ejemplo[[#This Row],[Fecha]])+IF(ISNUMBER(L30),L30,0)</f>
        <v>0</v>
      </c>
      <c r="M31">
        <f>COUNTIF(Registro_ejemplo[En revisión],Tareas_ejemplo[[#This Row],[Fecha]])-COUNTIF(Registro_ejemplo[Hecho],Tareas_ejemplo[[#This Row],[Fecha]])+IF(ISNUMBER(M30),M30,0)</f>
        <v>2</v>
      </c>
      <c r="N31" s="3">
        <f>COUNTIF(Registro_ejemplo[Hecho],Tareas_ejemplo[[#This Row],[Fecha]])+IF(ISNUMBER(N30),N30,0)</f>
        <v>20</v>
      </c>
      <c r="O31">
        <v>6</v>
      </c>
      <c r="P31">
        <v>3</v>
      </c>
      <c r="Q31">
        <f>SUM(Tareas_ejemplo[[#This Row],[En proceso]]+Tareas_ejemplo[[#This Row],[En revisión]])</f>
        <v>2</v>
      </c>
    </row>
    <row r="32" spans="1:29" x14ac:dyDescent="0.3">
      <c r="J32" s="1">
        <f>IF(ISNUMBER(J31),J31+1,Registro_ejemplo[[#This Row],[Por hacer]])</f>
        <v>45213</v>
      </c>
      <c r="K32">
        <f>COUNTIF(Registro_ejemplo[Por hacer],Tareas_ejemplo[[#This Row],[Fecha]])-COUNTIF(Registro_ejemplo[En proceso],Tareas_ejemplo[[#This Row],[Fecha]])+IF(ISNUMBER(K31),K31,0)</f>
        <v>0</v>
      </c>
      <c r="L32">
        <f>COUNTIF(Registro_ejemplo[En proceso],Tareas_ejemplo[[#This Row],[Fecha]])-COUNTIF(Registro_ejemplo[En revisión],Tareas_ejemplo[[#This Row],[Fecha]])+IF(ISNUMBER(L31),L31,0)</f>
        <v>0</v>
      </c>
      <c r="M32">
        <f>COUNTIF(Registro_ejemplo[En revisión],Tareas_ejemplo[[#This Row],[Fecha]])-COUNTIF(Registro_ejemplo[Hecho],Tareas_ejemplo[[#This Row],[Fecha]])+IF(ISNUMBER(M31),M31,0)</f>
        <v>0</v>
      </c>
      <c r="N32" s="3">
        <f>COUNTIF(Registro_ejemplo[Hecho],Tareas_ejemplo[[#This Row],[Fecha]])+IF(ISNUMBER(N31),N31,0)</f>
        <v>22</v>
      </c>
      <c r="O32">
        <v>6</v>
      </c>
      <c r="P32">
        <v>3</v>
      </c>
      <c r="Q32">
        <f>SUM(Tareas_ejemplo[[#This Row],[En proceso]]+Tareas_ejemplo[[#This Row],[En revisión]])</f>
        <v>0</v>
      </c>
    </row>
  </sheetData>
  <phoneticPr fontId="1" type="noConversion"/>
  <conditionalFormatting sqref="L6:L32">
    <cfRule type="cellIs" dxfId="17" priority="2" operator="greaterThan">
      <formula>$O6</formula>
    </cfRule>
  </conditionalFormatting>
  <conditionalFormatting sqref="M6:M32">
    <cfRule type="cellIs" dxfId="16" priority="1" operator="greaterThan">
      <formula>$P6</formula>
    </cfRule>
  </conditionalFormatting>
  <conditionalFormatting sqref="Q6:Q32">
    <cfRule type="cellIs" dxfId="15" priority="4" operator="greaterThan">
      <formula>$O6+$P6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Equipo</vt:lpstr>
      <vt:lpstr>Tareas</vt:lpstr>
      <vt:lpstr>Flujo Acumulado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IMBERT PAREDES</dc:creator>
  <cp:lastModifiedBy>DANIEL BERDASCO GONZALEZ</cp:lastModifiedBy>
  <dcterms:created xsi:type="dcterms:W3CDTF">2023-09-15T07:41:34Z</dcterms:created>
  <dcterms:modified xsi:type="dcterms:W3CDTF">2024-11-14T14:54:18Z</dcterms:modified>
</cp:coreProperties>
</file>