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JOB\"/>
    </mc:Choice>
  </mc:AlternateContent>
  <xr:revisionPtr revIDLastSave="0" documentId="13_ncr:1_{012AF0CE-7E26-4D31-9C51-AD2F0693CB1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KHAI QUAT DA" sheetId="2" r:id="rId1"/>
    <sheet name="dien tich san" sheetId="1" r:id="rId2"/>
    <sheet name="Bảng tính DT đỗ xe" sheetId="3" r:id="rId3"/>
  </sheets>
  <externalReferences>
    <externalReference r:id="rId4"/>
  </externalReference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9" i="1" l="1"/>
  <c r="P39" i="1" s="1"/>
  <c r="P40" i="1"/>
  <c r="P41" i="1"/>
  <c r="P42" i="1"/>
  <c r="P43" i="1"/>
  <c r="P38" i="1"/>
  <c r="Q38" i="1" s="1"/>
  <c r="O38" i="1"/>
  <c r="M50" i="1"/>
  <c r="M49" i="1"/>
  <c r="G10" i="3"/>
  <c r="E45" i="1"/>
  <c r="F6" i="3" l="1"/>
  <c r="F7" i="3" s="1"/>
  <c r="F8" i="3" s="1"/>
  <c r="C6" i="3"/>
  <c r="C7" i="3" s="1"/>
  <c r="F9" i="3" l="1"/>
  <c r="F10" i="3"/>
  <c r="C8" i="3"/>
  <c r="A7" i="3"/>
  <c r="A8" i="3" s="1"/>
  <c r="A9" i="3" s="1"/>
  <c r="A10" i="3" s="1"/>
  <c r="C10" i="3" l="1"/>
  <c r="C9" i="3"/>
  <c r="L5" i="2"/>
  <c r="L4" i="2"/>
  <c r="L10" i="2"/>
  <c r="L9" i="2"/>
  <c r="L7" i="2"/>
  <c r="L8" i="2" s="1"/>
  <c r="L14" i="2"/>
  <c r="L13" i="2"/>
  <c r="D15" i="2"/>
  <c r="E7" i="2"/>
  <c r="D5" i="2"/>
  <c r="E5" i="2" s="1"/>
  <c r="D4" i="2"/>
  <c r="D13" i="2" s="1"/>
  <c r="D10" i="2" s="1"/>
  <c r="E10" i="2" s="1"/>
  <c r="K35" i="1"/>
  <c r="D16" i="2" s="1"/>
  <c r="K34" i="1" l="1"/>
  <c r="K33" i="1" s="1"/>
  <c r="K32" i="1" s="1"/>
  <c r="K31" i="1" s="1"/>
  <c r="K30" i="1" s="1"/>
  <c r="K29" i="1" s="1"/>
  <c r="K28" i="1" s="1"/>
  <c r="K27" i="1" s="1"/>
  <c r="K26" i="1" s="1"/>
  <c r="K25" i="1" s="1"/>
  <c r="K24" i="1" s="1"/>
  <c r="K22" i="1" s="1"/>
  <c r="K20" i="1" s="1"/>
  <c r="K18" i="1" s="1"/>
  <c r="K16" i="1" s="1"/>
  <c r="K14" i="1" s="1"/>
  <c r="K12" i="1" s="1"/>
  <c r="K10" i="1" s="1"/>
  <c r="K8" i="1" s="1"/>
  <c r="K7" i="1" s="1"/>
  <c r="L11" i="2"/>
  <c r="L16" i="2"/>
  <c r="L17" i="2"/>
  <c r="D14" i="2"/>
  <c r="E14" i="2" s="1"/>
  <c r="D6" i="2"/>
  <c r="E6" i="2" s="1"/>
  <c r="J44" i="1"/>
  <c r="E6" i="3" s="1"/>
  <c r="E7" i="3" s="1"/>
  <c r="E8" i="3" s="1"/>
  <c r="E44" i="1"/>
  <c r="K23" i="1" l="1"/>
  <c r="K21" i="1"/>
  <c r="K19" i="1" s="1"/>
  <c r="K17" i="1" s="1"/>
  <c r="K15" i="1" s="1"/>
  <c r="K13" i="1" s="1"/>
  <c r="K11" i="1" s="1"/>
  <c r="K9" i="1" s="1"/>
  <c r="K44" i="1" s="1"/>
  <c r="F44" i="1"/>
  <c r="I44" i="1"/>
  <c r="D44" i="1"/>
  <c r="C44" i="1"/>
  <c r="D6" i="3" s="1"/>
  <c r="D7" i="3" s="1"/>
  <c r="D8" i="3" l="1"/>
  <c r="G7" i="3"/>
  <c r="M44" i="1"/>
  <c r="D22" i="2"/>
  <c r="D21" i="2"/>
  <c r="M51" i="1"/>
  <c r="M48" i="1"/>
  <c r="D17" i="2" s="1"/>
  <c r="G24" i="1"/>
  <c r="D20" i="2" l="1"/>
  <c r="D25" i="2" s="1"/>
  <c r="L15" i="2" s="1"/>
  <c r="D9" i="3"/>
  <c r="D10" i="3"/>
  <c r="E10" i="3" s="1"/>
  <c r="E9" i="3" s="1"/>
  <c r="G8" i="3"/>
  <c r="M52" i="1"/>
  <c r="L23" i="1"/>
  <c r="D23" i="2" l="1"/>
  <c r="N44" i="1"/>
  <c r="D24" i="2" s="1"/>
  <c r="G9" i="3"/>
  <c r="N46" i="1"/>
</calcChain>
</file>

<file path=xl/sharedStrings.xml><?xml version="1.0" encoding="utf-8"?>
<sst xmlns="http://schemas.openxmlformats.org/spreadsheetml/2006/main" count="192" uniqueCount="96">
  <si>
    <t>TẦNG</t>
  </si>
  <si>
    <t>DIỆN TÍCH</t>
  </si>
  <si>
    <t xml:space="preserve">CHỨC NĂNG </t>
  </si>
  <si>
    <t>KHỐI THÁP BẮC</t>
  </si>
  <si>
    <t>KHỐI THÁP NAM</t>
  </si>
  <si>
    <t>TỔNG</t>
  </si>
  <si>
    <t>TẦNG GIAN LÁNH NẠN</t>
  </si>
  <si>
    <t>TẦNG KỸ THUẬT MÁI</t>
  </si>
  <si>
    <t>TẦNG CĂN HỘ DU LỊCH</t>
  </si>
  <si>
    <t>TẦNG HẦM</t>
  </si>
  <si>
    <t>HẦM 1</t>
  </si>
  <si>
    <t>HẦM 2 
COS -10,7M</t>
  </si>
  <si>
    <t>HẦM 2 
COS -15,2M</t>
  </si>
  <si>
    <t>TỔNG DIỆN TÍCH SÀN HẦM</t>
  </si>
  <si>
    <t>TỔNG
(M2)</t>
  </si>
  <si>
    <t>STT</t>
  </si>
  <si>
    <t>KHÁCH SẠN-CĂN HỘ DU LỊCH</t>
  </si>
  <si>
    <t>TẦNG TIỆN ÍCH CĂN HỘ</t>
  </si>
  <si>
    <t>TM-DV-VP, KHÁCH SẠN</t>
  </si>
  <si>
    <t>TM-DV-VP</t>
  </si>
  <si>
    <t>VP</t>
  </si>
  <si>
    <t>ĐỂ XE MÁY, Ô TÔ VÀ KỸ THUẬT, PHỤ TRỢ</t>
  </si>
  <si>
    <t>DIỆN TÍCH SỬ DỤNG (M2)</t>
  </si>
  <si>
    <t>DIỆN TÍCH SÀN XÂY DỰNG (M2)</t>
  </si>
  <si>
    <t>NHÀ HÀNG, BỂ BƠI, KỸ THUẬT</t>
  </si>
  <si>
    <t xml:space="preserve"> KHÁCH SẠN
(PHÒNG)</t>
  </si>
  <si>
    <t>CĂN HỘ DU LỊCH (CĂN)</t>
  </si>
  <si>
    <t>DIỆN TÍCH LÁNH NẠN (M2)</t>
  </si>
  <si>
    <t>CĂN HỘ DU LỊCH (CĂN</t>
  </si>
  <si>
    <t>TẦNG TIỆN ÍCH CĂN HỘ,KHÁCH SẠN</t>
  </si>
  <si>
    <t>KHÔNG BAO GỒM GIAN LÁNH NẠN, KỸ THUẬT</t>
  </si>
  <si>
    <t>HẠ TẦNG PHỤ TRỢ</t>
  </si>
  <si>
    <t>TỔNG HỢP THÔNG SỐ DIỆN TÍCH DIỆN TÍCH</t>
  </si>
  <si>
    <t>KỸ THUẬT MÁI</t>
  </si>
  <si>
    <t>BẢNG CÂN BẰNG SỬ DỤNG ĐẤT</t>
  </si>
  <si>
    <t>LOẠI ĐẤT</t>
  </si>
  <si>
    <t>DIỆN TÍCH (M2)</t>
  </si>
  <si>
    <t>TỈ LỆ (%)</t>
  </si>
  <si>
    <t>ĐẤT XÂY DỰNG CÔNG TRÌNH</t>
  </si>
  <si>
    <t>ĐẤT CÂY XANH</t>
  </si>
  <si>
    <t>ĐẤT SÂN ĐƯỜNG NỘI BỘ</t>
  </si>
  <si>
    <t>BẢNG DIỆN TÍCH XÂY DỰNG CÁC KHỐI NHÀ</t>
  </si>
  <si>
    <t>CÔNG TRÌNH</t>
  </si>
  <si>
    <t>DIỆN TÍCH XD (M2)</t>
  </si>
  <si>
    <t>MẬT ĐỘ (%)</t>
  </si>
  <si>
    <t>A</t>
  </si>
  <si>
    <t>DIỆN TÍCH XÂY DỰNG KHỐI ĐẾ</t>
  </si>
  <si>
    <t>KHỐI BẮC</t>
  </si>
  <si>
    <t>KHỐI NAM</t>
  </si>
  <si>
    <t>B</t>
  </si>
  <si>
    <t>DIỆN TÍCH XÂY DỰNG KHỐI THÁP</t>
  </si>
  <si>
    <t>C</t>
  </si>
  <si>
    <t>DIỆN TÍCH XÂY DỰNG HẦM</t>
  </si>
  <si>
    <t>BẢNG DIỆN TÍCH SÀN XÂY DỰNG</t>
  </si>
  <si>
    <t>CHỨC NĂNG</t>
  </si>
  <si>
    <t>SỐ TẦNG</t>
  </si>
  <si>
    <t>TỔNG DIỆN TÍCH SÀN XÂY DỰNG (KHÔNG BAO GỒM DIỆN TÍCH HẦM ĐỖ XE, GIAN LÁNH NẠN, DIỆN TÍCH KỸ THUẬT)</t>
  </si>
  <si>
    <t>TỔNG DIỆN TÍCH SÀN XÂY DỰNG ĐÃ BAO GỒM DIỆN TÍCH HẦM ĐỖ XE, GIAN LÁNH NẠN, DIỆN TÍCH KỸ THUẬT</t>
  </si>
  <si>
    <t>D</t>
  </si>
  <si>
    <t>HỆ SỐ SỬ DỤNG ĐẤT (LẦN)</t>
  </si>
  <si>
    <t>CÁC THÔNG SỐ CHÍNH CỦA DỰ ÁN</t>
  </si>
  <si>
    <t>KHÁI QUÁT DỰ ÁN</t>
  </si>
  <si>
    <t>GHI CHÚ</t>
  </si>
  <si>
    <t>QUY MÔ TẦNG CAO (Tầng)</t>
  </si>
  <si>
    <t xml:space="preserve">KHỐI PHÍA BẮC </t>
  </si>
  <si>
    <t>KHỐI PHÍA NAM</t>
  </si>
  <si>
    <t>CHIỀU CAO TỐI ĐA (m)</t>
  </si>
  <si>
    <t>DIỆN TÍCH LÔ ĐẤT (m2)</t>
  </si>
  <si>
    <t>DIỆN TÍCH XÂY DỰNG (m2)</t>
  </si>
  <si>
    <t>MẬT ĐỘ XÂY DỰNG (%)</t>
  </si>
  <si>
    <t>TỔNG DIỆN TÍCH SÀN (M2)(KHÔNG BAO GỒM TẦNG KỸ THUẬT MÁI, TẦNG GIAN LÁNH NẠN VÀ TẦNG HẦM( m2)</t>
  </si>
  <si>
    <t>HỆ SỐ SỬ DỤNG ĐẤT (Lần)</t>
  </si>
  <si>
    <t>DIỆN TÍCH ĐẤT CÂY XANH(m2)</t>
  </si>
  <si>
    <t>DIỆN TÍCH ĐƯỜNG GIAO THÔNG NỘI BỘ(m2)</t>
  </si>
  <si>
    <t>BẢNG TÍNH TOÁN DIỆN TÍCH ĐỖ XE THEO QUY CHUẨN QCVN 01:2021/BXD VÀ QCVN 04:2021/BXD</t>
  </si>
  <si>
    <t>DIỆN TÍCH SỬ DỤNG CHO KHỐI THƯƠNG MẠI DỊCH VỤ, VĂN PHÒNG</t>
  </si>
  <si>
    <t>KHÁCH SẠN</t>
  </si>
  <si>
    <t>VĂN PHÒNG</t>
  </si>
  <si>
    <t>TOTAL PARKING 
AREA(M2)</t>
  </si>
  <si>
    <t>QUY CHUẨN ÁP DỤNG</t>
  </si>
  <si>
    <t>THÔNG SỐ DIỆN TÍCH ĐỖ XE THEO QUY CHUẨN</t>
  </si>
  <si>
    <t xml:space="preserve">
QCVN 01:2021/BXD
QCVN 04:2021/BXD</t>
  </si>
  <si>
    <t>TỔNG DIỆN TÍCH SỬ DỤNG HOẶC SỐ PHÒNG</t>
  </si>
  <si>
    <t>DIỆN TÍCH ĐỖ XE THEO QUY CHUẨN
(m2)</t>
  </si>
  <si>
    <t>SỐ LƯỢNG XE THEO QUY CHUẨN (XE)</t>
  </si>
  <si>
    <t>DIỆN TÍCH ĐỖ XE TRONG DỰ ÁN
(m2)</t>
  </si>
  <si>
    <t>ĐẢM BẢO DIỆN TÍCH ĐỖ XE THEO QUY CHUẨN</t>
  </si>
  <si>
    <t>ĐẢM BẢO SỐ CHỖ ĐỖ XE THEO QUY CHUẨN</t>
  </si>
  <si>
    <t>CĂN HỘ DU LỊCH</t>
  </si>
  <si>
    <t>20M2 DIỆN TÍCH SỬ DỤNG CĂN HỘ LƯU TRÚ CẦN 160M2 DIỆN TÍCH ĐỖ XE (14 M2 CHỖ ĐỖ XE CƠ KHÍ 3TẦNG)</t>
  </si>
  <si>
    <t>01 XE Ô TÔ TRÊN 100 M2 DIỆN TÍCH SỬ DỤNG (12 M2 CHỖ ĐỖ XE CƠ KHÍ 4 TẦNG)</t>
  </si>
  <si>
    <t>TỐI THIỂU 01 Ô TÔ TRÊN 04 PHÒNG KHÁCH SẠN (12 M2 CHỖ ĐỖ XE CƠ KHÍ 4 TẦNG)</t>
  </si>
  <si>
    <t>01 XE Ô TÔ TRÊN 
100 M2 DIỆN TÍCH SỬ DỤNG (12 M2 CHỖ ĐỖ XE CƠ KHÍ 4 TẦNG)</t>
  </si>
  <si>
    <t>SỐ LƯỢNG XE Ô TÔ TRONG DỰ ÁN (XE)</t>
  </si>
  <si>
    <t>HẦM 1
COS -3,8M</t>
  </si>
  <si>
    <t>GIAO THÔNG, MÁY PHÁT ĐIỆN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</si>
</sst>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#,##0.0"/>
    <numFmt numFmtId="166" formatCode="_(* #,##0.0_);_(* \(#,##0.0\);_(* &quot;-&quot;?_);_(@_)"/>
    <numFmt numFmtId="167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C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0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5" xfId="0" applyFont="1" applyBorder="1"/>
    <xf numFmtId="0" fontId="1" fillId="0" borderId="1" xfId="0" applyFont="1" applyBorder="1" applyAlignment="1">
      <alignment horizontal="left" indent="1"/>
    </xf>
    <xf numFmtId="0" fontId="1" fillId="0" borderId="1" xfId="0" applyFont="1" applyBorder="1" applyAlignment="1">
      <alignment vertical="center" wrapText="1"/>
    </xf>
    <xf numFmtId="164" fontId="1" fillId="0" borderId="1" xfId="1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164" fontId="1" fillId="0" borderId="1" xfId="0" applyNumberFormat="1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horizontal="left" indent="1"/>
    </xf>
    <xf numFmtId="165" fontId="1" fillId="4" borderId="1" xfId="0" applyNumberFormat="1" applyFont="1" applyFill="1" applyBorder="1"/>
    <xf numFmtId="165" fontId="1" fillId="7" borderId="1" xfId="0" applyNumberFormat="1" applyFont="1" applyFill="1" applyBorder="1"/>
    <xf numFmtId="165" fontId="1" fillId="5" borderId="1" xfId="0" applyNumberFormat="1" applyFont="1" applyFill="1" applyBorder="1"/>
    <xf numFmtId="165" fontId="1" fillId="6" borderId="1" xfId="0" applyNumberFormat="1" applyFont="1" applyFill="1" applyBorder="1"/>
    <xf numFmtId="165" fontId="1" fillId="9" borderId="1" xfId="0" applyNumberFormat="1" applyFont="1" applyFill="1" applyBorder="1"/>
    <xf numFmtId="165" fontId="1" fillId="3" borderId="1" xfId="0" applyNumberFormat="1" applyFont="1" applyFill="1" applyBorder="1"/>
    <xf numFmtId="165" fontId="1" fillId="2" borderId="1" xfId="0" applyNumberFormat="1" applyFont="1" applyFill="1" applyBorder="1"/>
    <xf numFmtId="165" fontId="1" fillId="8" borderId="1" xfId="0" applyNumberFormat="1" applyFont="1" applyFill="1" applyBorder="1"/>
    <xf numFmtId="165" fontId="1" fillId="8" borderId="1" xfId="0" applyNumberFormat="1" applyFont="1" applyFill="1" applyBorder="1" applyAlignment="1">
      <alignment horizontal="left" indent="1"/>
    </xf>
    <xf numFmtId="165" fontId="2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3" fontId="1" fillId="8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Border="1"/>
    <xf numFmtId="0" fontId="2" fillId="0" borderId="1" xfId="0" applyFont="1" applyBorder="1" applyAlignment="1">
      <alignment horizontal="center" vertical="center" wrapText="1"/>
    </xf>
    <xf numFmtId="3" fontId="1" fillId="8" borderId="1" xfId="0" applyNumberFormat="1" applyFont="1" applyFill="1" applyBorder="1"/>
    <xf numFmtId="166" fontId="1" fillId="0" borderId="0" xfId="0" applyNumberFormat="1" applyFont="1"/>
    <xf numFmtId="165" fontId="1" fillId="0" borderId="0" xfId="0" applyNumberFormat="1" applyFont="1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0" applyNumberFormat="1" applyBorder="1"/>
    <xf numFmtId="10" fontId="0" fillId="0" borderId="1" xfId="2" applyNumberFormat="1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9" xfId="0" applyBorder="1" applyAlignment="1">
      <alignment horizontal="center"/>
    </xf>
    <xf numFmtId="165" fontId="0" fillId="0" borderId="1" xfId="0" applyNumberFormat="1" applyBorder="1" applyAlignment="1">
      <alignment vertical="top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4" fontId="0" fillId="0" borderId="1" xfId="0" applyNumberFormat="1" applyBorder="1" applyAlignment="1">
      <alignment vertical="top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167" fontId="1" fillId="11" borderId="1" xfId="0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 wrapText="1"/>
    </xf>
    <xf numFmtId="164" fontId="1" fillId="0" borderId="1" xfId="1" applyNumberFormat="1" applyFont="1" applyBorder="1" applyAlignment="1">
      <alignment horizontal="left" vertical="top"/>
    </xf>
    <xf numFmtId="3" fontId="1" fillId="0" borderId="1" xfId="0" applyNumberFormat="1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164" fontId="1" fillId="0" borderId="6" xfId="1" applyNumberFormat="1" applyFont="1" applyBorder="1" applyAlignment="1">
      <alignment horizontal="left" vertical="top"/>
    </xf>
    <xf numFmtId="165" fontId="1" fillId="0" borderId="1" xfId="0" applyNumberFormat="1" applyFont="1" applyBorder="1" applyAlignment="1">
      <alignment horizontal="center" vertical="top"/>
    </xf>
    <xf numFmtId="10" fontId="1" fillId="0" borderId="1" xfId="2" applyNumberFormat="1" applyFont="1" applyBorder="1" applyAlignment="1">
      <alignment horizontal="center" vertical="top"/>
    </xf>
    <xf numFmtId="4" fontId="1" fillId="0" borderId="1" xfId="0" applyNumberFormat="1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0" fontId="8" fillId="0" borderId="0" xfId="0" applyFont="1"/>
    <xf numFmtId="0" fontId="9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/>
    </xf>
    <xf numFmtId="4" fontId="10" fillId="0" borderId="1" xfId="0" applyNumberFormat="1" applyFont="1" applyBorder="1" applyAlignment="1">
      <alignment horizontal="center" vertical="top"/>
    </xf>
    <xf numFmtId="4" fontId="9" fillId="0" borderId="1" xfId="0" applyNumberFormat="1" applyFont="1" applyBorder="1" applyAlignment="1">
      <alignment horizontal="center" vertical="top"/>
    </xf>
    <xf numFmtId="1" fontId="10" fillId="0" borderId="1" xfId="0" applyNumberFormat="1" applyFont="1" applyBorder="1" applyAlignment="1">
      <alignment horizontal="center" vertical="top"/>
    </xf>
    <xf numFmtId="3" fontId="9" fillId="0" borderId="1" xfId="0" applyNumberFormat="1" applyFont="1" applyBorder="1" applyAlignment="1">
      <alignment horizontal="center" vertical="top"/>
    </xf>
    <xf numFmtId="0" fontId="10" fillId="0" borderId="1" xfId="0" applyFont="1" applyBorder="1" applyAlignment="1">
      <alignment horizontal="left" vertical="top" wrapText="1"/>
    </xf>
    <xf numFmtId="165" fontId="11" fillId="0" borderId="1" xfId="0" applyNumberFormat="1" applyFont="1" applyFill="1" applyBorder="1"/>
    <xf numFmtId="165" fontId="2" fillId="0" borderId="0" xfId="0" applyNumberFormat="1" applyFont="1"/>
    <xf numFmtId="10" fontId="0" fillId="0" borderId="6" xfId="2" applyNumberFormat="1" applyFont="1" applyBorder="1" applyAlignment="1">
      <alignment horizontal="center" vertical="center"/>
    </xf>
    <xf numFmtId="10" fontId="0" fillId="0" borderId="8" xfId="2" applyNumberFormat="1" applyFont="1" applyBorder="1" applyAlignment="1">
      <alignment horizontal="center" vertical="center"/>
    </xf>
    <xf numFmtId="10" fontId="0" fillId="0" borderId="7" xfId="2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164" fontId="1" fillId="0" borderId="6" xfId="1" applyNumberFormat="1" applyFont="1" applyBorder="1" applyAlignment="1">
      <alignment horizontal="left" vertical="top" wrapText="1"/>
    </xf>
    <xf numFmtId="164" fontId="1" fillId="0" borderId="7" xfId="1" applyNumberFormat="1" applyFont="1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1" fillId="0" borderId="6" xfId="1" applyNumberFormat="1" applyFont="1" applyBorder="1" applyAlignment="1">
      <alignment horizontal="left" vertical="top"/>
    </xf>
    <xf numFmtId="164" fontId="1" fillId="0" borderId="7" xfId="1" applyNumberFormat="1" applyFont="1" applyBorder="1" applyAlignment="1">
      <alignment horizontal="left" vertical="top"/>
    </xf>
    <xf numFmtId="0" fontId="5" fillId="0" borderId="8" xfId="0" applyFont="1" applyBorder="1" applyAlignment="1">
      <alignment horizontal="center" vertical="top" wrapText="1"/>
    </xf>
    <xf numFmtId="164" fontId="1" fillId="0" borderId="8" xfId="1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00.COVER%20PROFILE.dw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AI QUAT DA"/>
      <sheetName val="dien tich san"/>
      <sheetName val="Bảng tính DT đỗ xe"/>
    </sheetNames>
    <sheetDataSet>
      <sheetData sheetId="0" refreshError="1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5"/>
  <sheetViews>
    <sheetView topLeftCell="B1" zoomScale="85" zoomScaleNormal="85" workbookViewId="0">
      <selection activeCell="H20" sqref="H20"/>
    </sheetView>
  </sheetViews>
  <sheetFormatPr defaultColWidth="9.140625" defaultRowHeight="14.25" x14ac:dyDescent="0.2"/>
  <cols>
    <col min="1" max="1" width="5.42578125" style="1" customWidth="1"/>
    <col min="2" max="2" width="4.5703125" style="48" customWidth="1"/>
    <col min="3" max="3" width="60.5703125" style="1" customWidth="1"/>
    <col min="4" max="5" width="16.5703125" style="1" customWidth="1"/>
    <col min="6" max="9" width="9.140625" style="1"/>
    <col min="10" max="10" width="62.42578125" style="1" customWidth="1"/>
    <col min="11" max="11" width="19.5703125" style="1" bestFit="1" customWidth="1"/>
    <col min="12" max="12" width="12.42578125" style="1" customWidth="1"/>
    <col min="13" max="16384" width="9.140625" style="1"/>
  </cols>
  <sheetData>
    <row r="1" spans="2:12" ht="28.9" customHeight="1" x14ac:dyDescent="0.2"/>
    <row r="2" spans="2:12" ht="22.5" customHeight="1" x14ac:dyDescent="0.25">
      <c r="B2" s="78" t="s">
        <v>34</v>
      </c>
      <c r="C2" s="79"/>
      <c r="D2" s="79"/>
      <c r="E2" s="80"/>
      <c r="I2" s="85" t="s">
        <v>60</v>
      </c>
      <c r="J2" s="85"/>
      <c r="K2" s="85"/>
      <c r="L2" s="85"/>
    </row>
    <row r="3" spans="2:12" ht="15" customHeight="1" x14ac:dyDescent="0.25">
      <c r="B3" s="38" t="s">
        <v>15</v>
      </c>
      <c r="C3" s="38" t="s">
        <v>35</v>
      </c>
      <c r="D3" s="37" t="s">
        <v>36</v>
      </c>
      <c r="E3" s="38" t="s">
        <v>37</v>
      </c>
      <c r="I3" s="52" t="s">
        <v>15</v>
      </c>
      <c r="J3" s="52" t="s">
        <v>61</v>
      </c>
      <c r="K3" s="86" t="s">
        <v>62</v>
      </c>
      <c r="L3" s="87"/>
    </row>
    <row r="4" spans="2:12" ht="15" x14ac:dyDescent="0.25">
      <c r="B4" s="38">
        <v>1</v>
      </c>
      <c r="C4" s="37" t="s">
        <v>38</v>
      </c>
      <c r="D4" s="39">
        <f>D7*E4</f>
        <v>6993.7056000000002</v>
      </c>
      <c r="E4" s="40">
        <v>0.46050000000000002</v>
      </c>
      <c r="I4" s="81">
        <v>1</v>
      </c>
      <c r="J4" s="88" t="s">
        <v>63</v>
      </c>
      <c r="K4" s="53" t="s">
        <v>64</v>
      </c>
      <c r="L4" s="53">
        <f>E21</f>
        <v>38</v>
      </c>
    </row>
    <row r="5" spans="2:12" ht="15" x14ac:dyDescent="0.25">
      <c r="B5" s="38">
        <v>2</v>
      </c>
      <c r="C5" s="37" t="s">
        <v>39</v>
      </c>
      <c r="D5" s="39">
        <f>D7*20%</f>
        <v>3037.4400000000005</v>
      </c>
      <c r="E5" s="40">
        <f>D5/D7</f>
        <v>0.2</v>
      </c>
      <c r="I5" s="82"/>
      <c r="J5" s="89"/>
      <c r="K5" s="53" t="s">
        <v>65</v>
      </c>
      <c r="L5" s="53">
        <f>E22</f>
        <v>39</v>
      </c>
    </row>
    <row r="6" spans="2:12" ht="15" x14ac:dyDescent="0.25">
      <c r="B6" s="38">
        <v>3</v>
      </c>
      <c r="C6" s="37" t="s">
        <v>40</v>
      </c>
      <c r="D6" s="39">
        <f>D7-D4-D5</f>
        <v>5156.0543999999991</v>
      </c>
      <c r="E6" s="40">
        <f>D6/D7</f>
        <v>0.33949999999999991</v>
      </c>
      <c r="I6" s="54">
        <v>2</v>
      </c>
      <c r="J6" s="55" t="s">
        <v>66</v>
      </c>
      <c r="K6" s="53"/>
      <c r="L6" s="53">
        <v>146</v>
      </c>
    </row>
    <row r="7" spans="2:12" ht="15" customHeight="1" x14ac:dyDescent="0.25">
      <c r="B7" s="38"/>
      <c r="C7" s="37" t="s">
        <v>5</v>
      </c>
      <c r="D7" s="39">
        <v>15187.2</v>
      </c>
      <c r="E7" s="40">
        <f>D7/D7</f>
        <v>1</v>
      </c>
      <c r="I7" s="54">
        <v>3</v>
      </c>
      <c r="J7" s="55" t="s">
        <v>67</v>
      </c>
      <c r="K7" s="53"/>
      <c r="L7" s="56">
        <f>D7</f>
        <v>15187.2</v>
      </c>
    </row>
    <row r="8" spans="2:12" ht="15" x14ac:dyDescent="0.25">
      <c r="B8" s="78" t="s">
        <v>41</v>
      </c>
      <c r="C8" s="79"/>
      <c r="D8" s="79"/>
      <c r="E8" s="80"/>
      <c r="I8" s="57">
        <v>4</v>
      </c>
      <c r="J8" s="58" t="s">
        <v>68</v>
      </c>
      <c r="K8" s="53"/>
      <c r="L8" s="59">
        <f>L7*L12</f>
        <v>6993.7056000000002</v>
      </c>
    </row>
    <row r="9" spans="2:12" ht="15" x14ac:dyDescent="0.25">
      <c r="B9" s="38" t="s">
        <v>15</v>
      </c>
      <c r="C9" s="38" t="s">
        <v>42</v>
      </c>
      <c r="D9" s="37" t="s">
        <v>43</v>
      </c>
      <c r="E9" s="38" t="s">
        <v>44</v>
      </c>
      <c r="I9" s="81"/>
      <c r="J9" s="88"/>
      <c r="K9" s="53" t="s">
        <v>64</v>
      </c>
      <c r="L9" s="59">
        <f>D11</f>
        <v>4124.3999999999996</v>
      </c>
    </row>
    <row r="10" spans="2:12" ht="15" x14ac:dyDescent="0.25">
      <c r="B10" s="41" t="s">
        <v>45</v>
      </c>
      <c r="C10" s="42" t="s">
        <v>46</v>
      </c>
      <c r="D10" s="39">
        <f>D11+D12+D13</f>
        <v>6993.7056000000002</v>
      </c>
      <c r="E10" s="75">
        <f>D10/D7</f>
        <v>0.46050000000000002</v>
      </c>
      <c r="I10" s="90"/>
      <c r="J10" s="91"/>
      <c r="K10" s="53" t="s">
        <v>65</v>
      </c>
      <c r="L10" s="59">
        <f>D12</f>
        <v>2773.7</v>
      </c>
    </row>
    <row r="11" spans="2:12" ht="15" x14ac:dyDescent="0.25">
      <c r="B11" s="41">
        <v>1</v>
      </c>
      <c r="C11" s="37" t="s">
        <v>47</v>
      </c>
      <c r="D11" s="39">
        <v>4124.3999999999996</v>
      </c>
      <c r="E11" s="76"/>
      <c r="I11" s="82"/>
      <c r="J11" s="89"/>
      <c r="K11" s="53" t="s">
        <v>31</v>
      </c>
      <c r="L11" s="59">
        <f>D13</f>
        <v>95.605600000000777</v>
      </c>
    </row>
    <row r="12" spans="2:12" ht="15" x14ac:dyDescent="0.25">
      <c r="B12" s="41">
        <v>2</v>
      </c>
      <c r="C12" s="37" t="s">
        <v>48</v>
      </c>
      <c r="D12" s="39">
        <v>2773.7</v>
      </c>
      <c r="E12" s="76"/>
      <c r="I12" s="54">
        <v>5</v>
      </c>
      <c r="J12" s="55" t="s">
        <v>69</v>
      </c>
      <c r="K12" s="53"/>
      <c r="L12" s="60">
        <v>0.46050000000000002</v>
      </c>
    </row>
    <row r="13" spans="2:12" ht="15" x14ac:dyDescent="0.25">
      <c r="B13" s="41">
        <v>3</v>
      </c>
      <c r="C13" s="37" t="s">
        <v>31</v>
      </c>
      <c r="D13" s="39">
        <f>D4-D11-D12</f>
        <v>95.605600000000777</v>
      </c>
      <c r="E13" s="77"/>
      <c r="I13" s="81">
        <v>6</v>
      </c>
      <c r="J13" s="83" t="s">
        <v>70</v>
      </c>
      <c r="K13" s="53" t="s">
        <v>64</v>
      </c>
      <c r="L13" s="61">
        <f>'[1]dien tich san'!N45</f>
        <v>0</v>
      </c>
    </row>
    <row r="14" spans="2:12" ht="15" x14ac:dyDescent="0.25">
      <c r="B14" s="41" t="s">
        <v>49</v>
      </c>
      <c r="C14" s="42" t="s">
        <v>50</v>
      </c>
      <c r="D14" s="39">
        <f>D15+D16</f>
        <v>5837.22</v>
      </c>
      <c r="E14" s="75">
        <f>D14/D7</f>
        <v>0.38435129582806576</v>
      </c>
      <c r="I14" s="82"/>
      <c r="J14" s="84"/>
      <c r="K14" s="53" t="s">
        <v>65</v>
      </c>
      <c r="L14" s="61">
        <f>'[1]dien tich san'!S45</f>
        <v>0</v>
      </c>
    </row>
    <row r="15" spans="2:12" ht="15" x14ac:dyDescent="0.25">
      <c r="B15" s="41">
        <v>1</v>
      </c>
      <c r="C15" s="37" t="s">
        <v>47</v>
      </c>
      <c r="D15" s="39">
        <f>'dien tich san'!F32</f>
        <v>3221.42</v>
      </c>
      <c r="E15" s="76"/>
      <c r="I15" s="54">
        <v>7</v>
      </c>
      <c r="J15" s="55" t="s">
        <v>71</v>
      </c>
      <c r="K15" s="53"/>
      <c r="L15" s="62">
        <f>D25</f>
        <v>14.366238674673408</v>
      </c>
    </row>
    <row r="16" spans="2:12" ht="15" x14ac:dyDescent="0.25">
      <c r="B16" s="41">
        <v>2</v>
      </c>
      <c r="C16" s="37" t="s">
        <v>48</v>
      </c>
      <c r="D16" s="39">
        <f>'dien tich san'!K35</f>
        <v>2615.8000000000002</v>
      </c>
      <c r="E16" s="77"/>
      <c r="I16" s="54">
        <v>8</v>
      </c>
      <c r="J16" s="55" t="s">
        <v>72</v>
      </c>
      <c r="K16" s="53"/>
      <c r="L16" s="59">
        <f>D5</f>
        <v>3037.4400000000005</v>
      </c>
    </row>
    <row r="17" spans="2:12" ht="15" x14ac:dyDescent="0.25">
      <c r="B17" s="41" t="s">
        <v>51</v>
      </c>
      <c r="C17" s="42" t="s">
        <v>52</v>
      </c>
      <c r="D17" s="39">
        <f>'dien tich san'!M48</f>
        <v>14850</v>
      </c>
      <c r="E17" s="43"/>
      <c r="I17" s="54">
        <v>9</v>
      </c>
      <c r="J17" s="55" t="s">
        <v>73</v>
      </c>
      <c r="K17" s="53"/>
      <c r="L17" s="59">
        <f>L7-L8-L16</f>
        <v>5156.0543999999991</v>
      </c>
    </row>
    <row r="18" spans="2:12" ht="15" x14ac:dyDescent="0.25">
      <c r="B18" s="78" t="s">
        <v>53</v>
      </c>
      <c r="C18" s="79"/>
      <c r="D18" s="79"/>
      <c r="E18" s="80"/>
    </row>
    <row r="19" spans="2:12" ht="15" x14ac:dyDescent="0.25">
      <c r="B19" s="38" t="s">
        <v>15</v>
      </c>
      <c r="C19" s="38" t="s">
        <v>54</v>
      </c>
      <c r="D19" s="37" t="s">
        <v>43</v>
      </c>
      <c r="E19" s="38" t="s">
        <v>55</v>
      </c>
    </row>
    <row r="20" spans="2:12" ht="30" x14ac:dyDescent="0.2">
      <c r="B20" s="49" t="s">
        <v>45</v>
      </c>
      <c r="C20" s="46" t="s">
        <v>56</v>
      </c>
      <c r="D20" s="44">
        <f>D21+D22</f>
        <v>218182.94</v>
      </c>
      <c r="E20" s="50"/>
    </row>
    <row r="21" spans="2:12" ht="15" x14ac:dyDescent="0.25">
      <c r="B21" s="41">
        <v>1</v>
      </c>
      <c r="C21" s="37" t="s">
        <v>47</v>
      </c>
      <c r="D21" s="39">
        <f>'dien tich san'!F44</f>
        <v>121068.96999999996</v>
      </c>
      <c r="E21" s="38">
        <v>38</v>
      </c>
    </row>
    <row r="22" spans="2:12" ht="15" x14ac:dyDescent="0.25">
      <c r="B22" s="41">
        <v>2</v>
      </c>
      <c r="C22" s="37" t="s">
        <v>48</v>
      </c>
      <c r="D22" s="39">
        <f>'dien tich san'!K44</f>
        <v>97113.970000000045</v>
      </c>
      <c r="E22" s="38">
        <v>39</v>
      </c>
    </row>
    <row r="23" spans="2:12" ht="15" x14ac:dyDescent="0.25">
      <c r="B23" s="41" t="s">
        <v>49</v>
      </c>
      <c r="C23" s="37" t="s">
        <v>9</v>
      </c>
      <c r="D23" s="39">
        <f>'dien tich san'!M52</f>
        <v>31934.9</v>
      </c>
      <c r="E23" s="45">
        <v>2</v>
      </c>
    </row>
    <row r="24" spans="2:12" ht="30" x14ac:dyDescent="0.2">
      <c r="B24" s="49" t="s">
        <v>51</v>
      </c>
      <c r="C24" s="46" t="s">
        <v>57</v>
      </c>
      <c r="D24" s="44">
        <f>'dien tich san'!N44</f>
        <v>257377.96</v>
      </c>
      <c r="E24" s="50"/>
    </row>
    <row r="25" spans="2:12" ht="15" x14ac:dyDescent="0.25">
      <c r="B25" s="41" t="s">
        <v>58</v>
      </c>
      <c r="C25" s="46" t="s">
        <v>59</v>
      </c>
      <c r="D25" s="47">
        <f>D20/D7</f>
        <v>14.366238674673408</v>
      </c>
      <c r="E25" s="43"/>
    </row>
  </sheetData>
  <mergeCells count="13">
    <mergeCell ref="I13:I14"/>
    <mergeCell ref="J13:J14"/>
    <mergeCell ref="I2:L2"/>
    <mergeCell ref="K3:L3"/>
    <mergeCell ref="I4:I5"/>
    <mergeCell ref="J4:J5"/>
    <mergeCell ref="I9:I11"/>
    <mergeCell ref="J9:J11"/>
    <mergeCell ref="E14:E16"/>
    <mergeCell ref="B18:E18"/>
    <mergeCell ref="B2:E2"/>
    <mergeCell ref="B8:E8"/>
    <mergeCell ref="E10:E13"/>
  </mergeCells>
  <pageMargins left="0.7" right="0.7" top="0.75" bottom="0.75" header="0.3" footer="0.3"/>
  <pageSetup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52"/>
  <sheetViews>
    <sheetView tabSelected="1" topLeftCell="A10" zoomScale="70" zoomScaleNormal="70" workbookViewId="0">
      <selection activeCell="A46" sqref="A46:L46"/>
    </sheetView>
  </sheetViews>
  <sheetFormatPr defaultColWidth="9.140625" defaultRowHeight="14.25" x14ac:dyDescent="0.2"/>
  <cols>
    <col min="1" max="1" width="11.42578125" style="1" customWidth="1"/>
    <col min="2" max="2" width="49.42578125" style="1" bestFit="1" customWidth="1"/>
    <col min="3" max="5" width="14.5703125" style="1" customWidth="1"/>
    <col min="6" max="6" width="16.42578125" style="1" customWidth="1"/>
    <col min="7" max="7" width="14.5703125" style="1" customWidth="1"/>
    <col min="8" max="8" width="32.42578125" style="1" customWidth="1"/>
    <col min="9" max="10" width="14.5703125" style="1" customWidth="1"/>
    <col min="11" max="11" width="17.5703125" style="1" customWidth="1"/>
    <col min="12" max="12" width="14.85546875" style="1" customWidth="1"/>
    <col min="13" max="13" width="10.5703125" style="1" bestFit="1" customWidth="1"/>
    <col min="14" max="14" width="14.140625" style="1" customWidth="1"/>
    <col min="15" max="15" width="11.42578125" style="1" customWidth="1"/>
    <col min="16" max="16" width="9.140625" style="1"/>
    <col min="17" max="17" width="9.85546875" style="1" bestFit="1" customWidth="1"/>
    <col min="18" max="16384" width="9.140625" style="1"/>
  </cols>
  <sheetData>
    <row r="2" spans="1:13" ht="33" customHeight="1" x14ac:dyDescent="0.2">
      <c r="A2" s="95" t="s">
        <v>32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3" ht="15" x14ac:dyDescent="0.25">
      <c r="A3" s="99" t="s">
        <v>3</v>
      </c>
      <c r="B3" s="100"/>
      <c r="C3" s="100"/>
      <c r="D3" s="100"/>
      <c r="E3" s="100"/>
      <c r="F3" s="100"/>
      <c r="G3" s="101"/>
      <c r="H3" s="93" t="s">
        <v>4</v>
      </c>
      <c r="I3" s="93"/>
      <c r="J3" s="93"/>
      <c r="K3" s="93"/>
      <c r="L3" s="93"/>
      <c r="M3" s="94" t="s">
        <v>14</v>
      </c>
    </row>
    <row r="4" spans="1:13" ht="42.6" customHeight="1" x14ac:dyDescent="0.2">
      <c r="A4" s="3" t="s">
        <v>0</v>
      </c>
      <c r="B4" s="3" t="s">
        <v>2</v>
      </c>
      <c r="C4" s="30" t="s">
        <v>25</v>
      </c>
      <c r="D4" s="30" t="s">
        <v>26</v>
      </c>
      <c r="E4" s="30" t="s">
        <v>22</v>
      </c>
      <c r="F4" s="30" t="s">
        <v>23</v>
      </c>
      <c r="G4" s="30" t="s">
        <v>27</v>
      </c>
      <c r="H4" s="3" t="s">
        <v>2</v>
      </c>
      <c r="I4" s="30" t="s">
        <v>28</v>
      </c>
      <c r="J4" s="30" t="s">
        <v>22</v>
      </c>
      <c r="K4" s="33" t="s">
        <v>23</v>
      </c>
      <c r="L4" s="33" t="s">
        <v>27</v>
      </c>
      <c r="M4" s="92"/>
    </row>
    <row r="5" spans="1:13" ht="15.95" customHeight="1" x14ac:dyDescent="0.2">
      <c r="A5" s="27">
        <v>39</v>
      </c>
      <c r="B5" s="16" t="s">
        <v>33</v>
      </c>
      <c r="C5" s="2"/>
      <c r="D5" s="2"/>
      <c r="E5" s="2"/>
      <c r="F5" s="51">
        <v>399.3</v>
      </c>
      <c r="G5" s="2"/>
      <c r="H5" s="7" t="s">
        <v>7</v>
      </c>
      <c r="I5" s="2"/>
      <c r="J5" s="2"/>
      <c r="K5" s="51">
        <v>923.6</v>
      </c>
      <c r="L5" s="2"/>
      <c r="M5" s="2"/>
    </row>
    <row r="6" spans="1:13" ht="15.95" customHeight="1" x14ac:dyDescent="0.2">
      <c r="A6" s="28">
        <v>38</v>
      </c>
      <c r="B6" s="16" t="s">
        <v>24</v>
      </c>
      <c r="C6" s="15"/>
      <c r="D6" s="15"/>
      <c r="E6" s="15"/>
      <c r="F6" s="15">
        <v>1835.3</v>
      </c>
      <c r="G6" s="15"/>
      <c r="H6" s="16" t="s">
        <v>8</v>
      </c>
      <c r="I6" s="32">
        <v>5</v>
      </c>
      <c r="J6" s="15">
        <v>1718.2</v>
      </c>
      <c r="K6" s="15">
        <v>2450.1799999999998</v>
      </c>
      <c r="L6" s="15"/>
      <c r="M6" s="15"/>
    </row>
    <row r="7" spans="1:13" ht="15.95" customHeight="1" x14ac:dyDescent="0.2">
      <c r="A7" s="28">
        <v>37</v>
      </c>
      <c r="B7" s="16" t="s">
        <v>16</v>
      </c>
      <c r="C7" s="32">
        <v>5</v>
      </c>
      <c r="D7" s="32">
        <v>4</v>
      </c>
      <c r="E7" s="15">
        <v>1626.2</v>
      </c>
      <c r="F7" s="15">
        <v>3214.3</v>
      </c>
      <c r="G7" s="15"/>
      <c r="H7" s="16" t="s">
        <v>8</v>
      </c>
      <c r="I7" s="32">
        <v>10</v>
      </c>
      <c r="J7" s="15">
        <v>1762.3</v>
      </c>
      <c r="K7" s="17">
        <f>K8</f>
        <v>2615.8000000000002</v>
      </c>
      <c r="L7" s="15"/>
      <c r="M7" s="15"/>
    </row>
    <row r="8" spans="1:13" ht="15.95" customHeight="1" x14ac:dyDescent="0.2">
      <c r="A8" s="28">
        <v>36</v>
      </c>
      <c r="B8" s="16" t="s">
        <v>8</v>
      </c>
      <c r="C8" s="6"/>
      <c r="D8" s="32">
        <v>29</v>
      </c>
      <c r="E8" s="15">
        <v>2096.3000000000002</v>
      </c>
      <c r="F8" s="18">
        <v>3215.3</v>
      </c>
      <c r="G8" s="15"/>
      <c r="H8" s="16" t="s">
        <v>8</v>
      </c>
      <c r="I8" s="32">
        <v>32</v>
      </c>
      <c r="J8" s="15">
        <v>1807.6</v>
      </c>
      <c r="K8" s="19">
        <f t="shared" ref="K8:K21" si="0">K10</f>
        <v>2615.8000000000002</v>
      </c>
      <c r="L8" s="15"/>
      <c r="M8" s="15"/>
    </row>
    <row r="9" spans="1:13" ht="15.95" customHeight="1" x14ac:dyDescent="0.2">
      <c r="A9" s="28">
        <v>35</v>
      </c>
      <c r="B9" s="16" t="s">
        <v>8</v>
      </c>
      <c r="C9" s="6"/>
      <c r="D9" s="32">
        <v>40</v>
      </c>
      <c r="E9" s="15">
        <v>2134.9</v>
      </c>
      <c r="F9" s="20">
        <v>3215.3</v>
      </c>
      <c r="G9" s="15"/>
      <c r="H9" s="16" t="s">
        <v>8</v>
      </c>
      <c r="I9" s="32">
        <v>32</v>
      </c>
      <c r="J9" s="15">
        <v>1807.6</v>
      </c>
      <c r="K9" s="19">
        <f t="shared" si="0"/>
        <v>2615.8000000000002</v>
      </c>
      <c r="L9" s="15"/>
      <c r="M9" s="15"/>
    </row>
    <row r="10" spans="1:13" ht="15.95" customHeight="1" x14ac:dyDescent="0.2">
      <c r="A10" s="28">
        <v>34</v>
      </c>
      <c r="B10" s="16" t="s">
        <v>8</v>
      </c>
      <c r="C10" s="6"/>
      <c r="D10" s="32">
        <v>40</v>
      </c>
      <c r="E10" s="15">
        <v>2134.9</v>
      </c>
      <c r="F10" s="20">
        <v>3215.3</v>
      </c>
      <c r="G10" s="15"/>
      <c r="H10" s="16" t="s">
        <v>8</v>
      </c>
      <c r="I10" s="32">
        <v>32</v>
      </c>
      <c r="J10" s="15">
        <v>1807.6</v>
      </c>
      <c r="K10" s="19">
        <f t="shared" si="0"/>
        <v>2615.8000000000002</v>
      </c>
      <c r="L10" s="15"/>
      <c r="M10" s="15"/>
    </row>
    <row r="11" spans="1:13" ht="15.95" customHeight="1" x14ac:dyDescent="0.2">
      <c r="A11" s="28">
        <v>33</v>
      </c>
      <c r="B11" s="16" t="s">
        <v>8</v>
      </c>
      <c r="C11" s="6"/>
      <c r="D11" s="32">
        <v>40</v>
      </c>
      <c r="E11" s="15">
        <v>2134.9</v>
      </c>
      <c r="F11" s="20">
        <v>3215.3</v>
      </c>
      <c r="G11" s="15"/>
      <c r="H11" s="16" t="s">
        <v>8</v>
      </c>
      <c r="I11" s="32">
        <v>32</v>
      </c>
      <c r="J11" s="15">
        <v>1807.6</v>
      </c>
      <c r="K11" s="19">
        <f t="shared" si="0"/>
        <v>2615.8000000000002</v>
      </c>
      <c r="L11" s="15"/>
      <c r="M11" s="15"/>
    </row>
    <row r="12" spans="1:13" ht="15.95" customHeight="1" x14ac:dyDescent="0.2">
      <c r="A12" s="28">
        <v>32</v>
      </c>
      <c r="B12" s="16" t="s">
        <v>8</v>
      </c>
      <c r="C12" s="6"/>
      <c r="D12" s="32">
        <v>40</v>
      </c>
      <c r="E12" s="15">
        <v>2139.7000000000003</v>
      </c>
      <c r="F12" s="17">
        <v>3321.42</v>
      </c>
      <c r="G12" s="15"/>
      <c r="H12" s="16" t="s">
        <v>8</v>
      </c>
      <c r="I12" s="32">
        <v>32</v>
      </c>
      <c r="J12" s="15">
        <v>1807.6</v>
      </c>
      <c r="K12" s="19">
        <f t="shared" si="0"/>
        <v>2615.8000000000002</v>
      </c>
      <c r="L12" s="15"/>
      <c r="M12" s="15"/>
    </row>
    <row r="13" spans="1:13" ht="15.95" customHeight="1" x14ac:dyDescent="0.2">
      <c r="A13" s="28">
        <v>31</v>
      </c>
      <c r="B13" s="16" t="s">
        <v>8</v>
      </c>
      <c r="C13" s="6"/>
      <c r="D13" s="32">
        <v>40</v>
      </c>
      <c r="E13" s="15">
        <v>2139.7000000000003</v>
      </c>
      <c r="F13" s="17">
        <v>3321.42</v>
      </c>
      <c r="G13" s="15"/>
      <c r="H13" s="16" t="s">
        <v>8</v>
      </c>
      <c r="I13" s="32">
        <v>32</v>
      </c>
      <c r="J13" s="15">
        <v>1807.6</v>
      </c>
      <c r="K13" s="19">
        <f t="shared" si="0"/>
        <v>2615.8000000000002</v>
      </c>
      <c r="L13" s="15"/>
      <c r="M13" s="15"/>
    </row>
    <row r="14" spans="1:13" ht="15.95" customHeight="1" x14ac:dyDescent="0.2">
      <c r="A14" s="28">
        <v>30</v>
      </c>
      <c r="B14" s="16" t="s">
        <v>8</v>
      </c>
      <c r="C14" s="6"/>
      <c r="D14" s="32">
        <v>40</v>
      </c>
      <c r="E14" s="15">
        <v>2139.7000000000003</v>
      </c>
      <c r="F14" s="17">
        <v>3321.42</v>
      </c>
      <c r="G14" s="15"/>
      <c r="H14" s="16" t="s">
        <v>8</v>
      </c>
      <c r="I14" s="32">
        <v>32</v>
      </c>
      <c r="J14" s="15">
        <v>1807.6</v>
      </c>
      <c r="K14" s="19">
        <f t="shared" si="0"/>
        <v>2615.8000000000002</v>
      </c>
      <c r="L14" s="15"/>
      <c r="M14" s="15"/>
    </row>
    <row r="15" spans="1:13" ht="15.95" customHeight="1" x14ac:dyDescent="0.2">
      <c r="A15" s="28">
        <v>29</v>
      </c>
      <c r="B15" s="16" t="s">
        <v>8</v>
      </c>
      <c r="C15" s="6"/>
      <c r="D15" s="32">
        <v>40</v>
      </c>
      <c r="E15" s="15">
        <v>2139.7000000000003</v>
      </c>
      <c r="F15" s="17">
        <v>3321.42</v>
      </c>
      <c r="G15" s="15"/>
      <c r="H15" s="16" t="s">
        <v>8</v>
      </c>
      <c r="I15" s="32">
        <v>32</v>
      </c>
      <c r="J15" s="15">
        <v>1807.6</v>
      </c>
      <c r="K15" s="19">
        <f t="shared" si="0"/>
        <v>2615.8000000000002</v>
      </c>
      <c r="L15" s="15"/>
      <c r="M15" s="15"/>
    </row>
    <row r="16" spans="1:13" ht="15.95" customHeight="1" x14ac:dyDescent="0.2">
      <c r="A16" s="28">
        <v>28</v>
      </c>
      <c r="B16" s="16" t="s">
        <v>8</v>
      </c>
      <c r="C16" s="6"/>
      <c r="D16" s="32">
        <v>40</v>
      </c>
      <c r="E16" s="15">
        <v>2139.7000000000003</v>
      </c>
      <c r="F16" s="17">
        <v>3321.42</v>
      </c>
      <c r="G16" s="15"/>
      <c r="H16" s="16" t="s">
        <v>8</v>
      </c>
      <c r="I16" s="32">
        <v>32</v>
      </c>
      <c r="J16" s="15">
        <v>1807.6</v>
      </c>
      <c r="K16" s="19">
        <f t="shared" si="0"/>
        <v>2615.8000000000002</v>
      </c>
      <c r="L16" s="15"/>
      <c r="M16" s="15"/>
    </row>
    <row r="17" spans="1:13" ht="15.95" customHeight="1" x14ac:dyDescent="0.2">
      <c r="A17" s="28">
        <v>27</v>
      </c>
      <c r="B17" s="16" t="s">
        <v>8</v>
      </c>
      <c r="C17" s="6"/>
      <c r="D17" s="32">
        <v>40</v>
      </c>
      <c r="E17" s="15">
        <v>2139.7000000000003</v>
      </c>
      <c r="F17" s="17">
        <v>3321.42</v>
      </c>
      <c r="G17" s="15"/>
      <c r="H17" s="16" t="s">
        <v>8</v>
      </c>
      <c r="I17" s="32">
        <v>32</v>
      </c>
      <c r="J17" s="15">
        <v>1807.6</v>
      </c>
      <c r="K17" s="19">
        <f t="shared" si="0"/>
        <v>2615.8000000000002</v>
      </c>
      <c r="L17" s="15"/>
      <c r="M17" s="15"/>
    </row>
    <row r="18" spans="1:13" ht="15.95" customHeight="1" x14ac:dyDescent="0.2">
      <c r="A18" s="28">
        <v>26</v>
      </c>
      <c r="B18" s="16" t="s">
        <v>8</v>
      </c>
      <c r="C18" s="6"/>
      <c r="D18" s="32">
        <v>40</v>
      </c>
      <c r="E18" s="15">
        <v>2139.7000000000003</v>
      </c>
      <c r="F18" s="17">
        <v>3321.42</v>
      </c>
      <c r="G18" s="15"/>
      <c r="H18" s="16" t="s">
        <v>8</v>
      </c>
      <c r="I18" s="32">
        <v>32</v>
      </c>
      <c r="J18" s="15">
        <v>1807.6</v>
      </c>
      <c r="K18" s="19">
        <f t="shared" si="0"/>
        <v>2615.8000000000002</v>
      </c>
      <c r="L18" s="15"/>
      <c r="M18" s="15"/>
    </row>
    <row r="19" spans="1:13" ht="15.95" customHeight="1" x14ac:dyDescent="0.2">
      <c r="A19" s="28">
        <v>25</v>
      </c>
      <c r="B19" s="16" t="s">
        <v>8</v>
      </c>
      <c r="C19" s="6"/>
      <c r="D19" s="32">
        <v>40</v>
      </c>
      <c r="E19" s="15">
        <v>2139.7000000000003</v>
      </c>
      <c r="F19" s="17">
        <v>3321.42</v>
      </c>
      <c r="G19" s="15"/>
      <c r="H19" s="16" t="s">
        <v>8</v>
      </c>
      <c r="I19" s="32">
        <v>32</v>
      </c>
      <c r="J19" s="15">
        <v>1807.6</v>
      </c>
      <c r="K19" s="19">
        <f t="shared" si="0"/>
        <v>2615.8000000000002</v>
      </c>
      <c r="L19" s="15"/>
      <c r="M19" s="15"/>
    </row>
    <row r="20" spans="1:13" ht="15.95" customHeight="1" x14ac:dyDescent="0.2">
      <c r="A20" s="28">
        <v>24</v>
      </c>
      <c r="B20" s="16" t="s">
        <v>8</v>
      </c>
      <c r="C20" s="6"/>
      <c r="D20" s="32">
        <v>40</v>
      </c>
      <c r="E20" s="15">
        <v>2139.7000000000003</v>
      </c>
      <c r="F20" s="17">
        <v>3321.42</v>
      </c>
      <c r="G20" s="15"/>
      <c r="H20" s="16" t="s">
        <v>8</v>
      </c>
      <c r="I20" s="32">
        <v>32</v>
      </c>
      <c r="J20" s="15">
        <v>1807.6</v>
      </c>
      <c r="K20" s="19">
        <f t="shared" si="0"/>
        <v>2615.8000000000002</v>
      </c>
      <c r="L20" s="15"/>
      <c r="M20" s="15"/>
    </row>
    <row r="21" spans="1:13" ht="15.95" customHeight="1" x14ac:dyDescent="0.2">
      <c r="A21" s="28">
        <v>23</v>
      </c>
      <c r="B21" s="16" t="s">
        <v>8</v>
      </c>
      <c r="C21" s="6"/>
      <c r="D21" s="32">
        <v>40</v>
      </c>
      <c r="E21" s="15">
        <v>2139.7000000000003</v>
      </c>
      <c r="F21" s="17">
        <v>3321.42</v>
      </c>
      <c r="G21" s="15"/>
      <c r="H21" s="16" t="s">
        <v>8</v>
      </c>
      <c r="I21" s="32">
        <v>32</v>
      </c>
      <c r="J21" s="15">
        <v>1807.6</v>
      </c>
      <c r="K21" s="19">
        <f t="shared" si="0"/>
        <v>2615.8000000000002</v>
      </c>
      <c r="L21" s="15"/>
      <c r="M21" s="15"/>
    </row>
    <row r="22" spans="1:13" ht="15.95" customHeight="1" x14ac:dyDescent="0.2">
      <c r="A22" s="28">
        <v>22</v>
      </c>
      <c r="B22" s="16" t="s">
        <v>8</v>
      </c>
      <c r="C22" s="6"/>
      <c r="D22" s="32">
        <v>40</v>
      </c>
      <c r="E22" s="15">
        <v>2139.7000000000003</v>
      </c>
      <c r="F22" s="17">
        <v>3321.42</v>
      </c>
      <c r="G22" s="15"/>
      <c r="H22" s="16" t="s">
        <v>8</v>
      </c>
      <c r="I22" s="32">
        <v>32</v>
      </c>
      <c r="J22" s="15">
        <v>1807.6</v>
      </c>
      <c r="K22" s="19">
        <f>K24</f>
        <v>2615.8000000000002</v>
      </c>
      <c r="L22" s="15"/>
      <c r="M22" s="15"/>
    </row>
    <row r="23" spans="1:13" ht="15.95" customHeight="1" x14ac:dyDescent="0.2">
      <c r="A23" s="28">
        <v>21</v>
      </c>
      <c r="B23" s="16" t="s">
        <v>8</v>
      </c>
      <c r="C23" s="6"/>
      <c r="D23" s="32">
        <v>40</v>
      </c>
      <c r="E23" s="15">
        <v>2139.7000000000003</v>
      </c>
      <c r="F23" s="17">
        <v>3321.42</v>
      </c>
      <c r="G23" s="15"/>
      <c r="H23" s="16" t="s">
        <v>6</v>
      </c>
      <c r="I23" s="6"/>
      <c r="J23" s="15"/>
      <c r="K23" s="21">
        <f>K24</f>
        <v>2615.8000000000002</v>
      </c>
      <c r="L23" s="21">
        <f>225+219</f>
        <v>444</v>
      </c>
      <c r="M23" s="15"/>
    </row>
    <row r="24" spans="1:13" ht="15.95" customHeight="1" x14ac:dyDescent="0.2">
      <c r="A24" s="28">
        <v>20</v>
      </c>
      <c r="B24" s="16" t="s">
        <v>6</v>
      </c>
      <c r="C24" s="6"/>
      <c r="D24" s="6"/>
      <c r="E24" s="15"/>
      <c r="F24" s="21">
        <v>3321.42</v>
      </c>
      <c r="G24" s="21">
        <f>210+329</f>
        <v>539</v>
      </c>
      <c r="H24" s="16" t="s">
        <v>8</v>
      </c>
      <c r="I24" s="32">
        <v>32</v>
      </c>
      <c r="J24" s="15">
        <v>1807.6</v>
      </c>
      <c r="K24" s="19">
        <f t="shared" ref="K24:K34" si="1">K25</f>
        <v>2615.8000000000002</v>
      </c>
      <c r="L24" s="15"/>
      <c r="M24" s="15"/>
    </row>
    <row r="25" spans="1:13" ht="15.95" customHeight="1" x14ac:dyDescent="0.2">
      <c r="A25" s="28">
        <v>19</v>
      </c>
      <c r="B25" s="16" t="s">
        <v>16</v>
      </c>
      <c r="C25" s="32">
        <v>26</v>
      </c>
      <c r="D25" s="32">
        <v>17</v>
      </c>
      <c r="E25" s="15">
        <v>2166.4</v>
      </c>
      <c r="F25" s="19">
        <v>3221.42</v>
      </c>
      <c r="G25" s="15"/>
      <c r="H25" s="16" t="s">
        <v>8</v>
      </c>
      <c r="I25" s="32">
        <v>32</v>
      </c>
      <c r="J25" s="15">
        <v>1807.6</v>
      </c>
      <c r="K25" s="19">
        <f t="shared" si="1"/>
        <v>2615.8000000000002</v>
      </c>
      <c r="L25" s="15"/>
      <c r="M25" s="15"/>
    </row>
    <row r="26" spans="1:13" ht="15.95" customHeight="1" x14ac:dyDescent="0.2">
      <c r="A26" s="28">
        <v>18</v>
      </c>
      <c r="B26" s="16" t="s">
        <v>16</v>
      </c>
      <c r="C26" s="32">
        <v>26</v>
      </c>
      <c r="D26" s="32">
        <v>17</v>
      </c>
      <c r="E26" s="15">
        <v>2166.4</v>
      </c>
      <c r="F26" s="19">
        <v>3221.42</v>
      </c>
      <c r="G26" s="15"/>
      <c r="H26" s="16" t="s">
        <v>8</v>
      </c>
      <c r="I26" s="32">
        <v>32</v>
      </c>
      <c r="J26" s="15">
        <v>1807.6</v>
      </c>
      <c r="K26" s="19">
        <f t="shared" si="1"/>
        <v>2615.8000000000002</v>
      </c>
      <c r="L26" s="15"/>
      <c r="M26" s="15"/>
    </row>
    <row r="27" spans="1:13" ht="15.95" customHeight="1" x14ac:dyDescent="0.2">
      <c r="A27" s="28">
        <v>17</v>
      </c>
      <c r="B27" s="16" t="s">
        <v>16</v>
      </c>
      <c r="C27" s="32">
        <v>26</v>
      </c>
      <c r="D27" s="32">
        <v>17</v>
      </c>
      <c r="E27" s="15">
        <v>2166.4</v>
      </c>
      <c r="F27" s="19">
        <v>3221.42</v>
      </c>
      <c r="G27" s="15"/>
      <c r="H27" s="16" t="s">
        <v>8</v>
      </c>
      <c r="I27" s="32">
        <v>32</v>
      </c>
      <c r="J27" s="15">
        <v>1807.6</v>
      </c>
      <c r="K27" s="19">
        <f t="shared" si="1"/>
        <v>2615.8000000000002</v>
      </c>
      <c r="L27" s="15"/>
      <c r="M27" s="15"/>
    </row>
    <row r="28" spans="1:13" ht="15.95" customHeight="1" x14ac:dyDescent="0.2">
      <c r="A28" s="28">
        <v>16</v>
      </c>
      <c r="B28" s="16" t="s">
        <v>16</v>
      </c>
      <c r="C28" s="32">
        <v>26</v>
      </c>
      <c r="D28" s="32">
        <v>17</v>
      </c>
      <c r="E28" s="15">
        <v>2166.4</v>
      </c>
      <c r="F28" s="19">
        <v>3221.42</v>
      </c>
      <c r="G28" s="15"/>
      <c r="H28" s="16" t="s">
        <v>8</v>
      </c>
      <c r="I28" s="32">
        <v>32</v>
      </c>
      <c r="J28" s="15">
        <v>1807.6</v>
      </c>
      <c r="K28" s="19">
        <f t="shared" si="1"/>
        <v>2615.8000000000002</v>
      </c>
      <c r="L28" s="15"/>
      <c r="M28" s="15"/>
    </row>
    <row r="29" spans="1:13" ht="15.95" customHeight="1" x14ac:dyDescent="0.2">
      <c r="A29" s="28">
        <v>15</v>
      </c>
      <c r="B29" s="16" t="s">
        <v>16</v>
      </c>
      <c r="C29" s="32">
        <v>26</v>
      </c>
      <c r="D29" s="32">
        <v>17</v>
      </c>
      <c r="E29" s="15">
        <v>2166.4</v>
      </c>
      <c r="F29" s="19">
        <v>3221.42</v>
      </c>
      <c r="G29" s="15"/>
      <c r="H29" s="16" t="s">
        <v>8</v>
      </c>
      <c r="I29" s="32">
        <v>32</v>
      </c>
      <c r="J29" s="15">
        <v>1807.6</v>
      </c>
      <c r="K29" s="19">
        <f t="shared" si="1"/>
        <v>2615.8000000000002</v>
      </c>
      <c r="L29" s="15"/>
      <c r="M29" s="15"/>
    </row>
    <row r="30" spans="1:13" ht="15.95" customHeight="1" x14ac:dyDescent="0.2">
      <c r="A30" s="28">
        <v>14</v>
      </c>
      <c r="B30" s="16" t="s">
        <v>16</v>
      </c>
      <c r="C30" s="32">
        <v>26</v>
      </c>
      <c r="D30" s="32">
        <v>17</v>
      </c>
      <c r="E30" s="15">
        <v>2166.4</v>
      </c>
      <c r="F30" s="19">
        <v>3221.42</v>
      </c>
      <c r="G30" s="15"/>
      <c r="H30" s="16" t="s">
        <v>8</v>
      </c>
      <c r="I30" s="32">
        <v>32</v>
      </c>
      <c r="J30" s="15">
        <v>1807.6</v>
      </c>
      <c r="K30" s="19">
        <f t="shared" si="1"/>
        <v>2615.8000000000002</v>
      </c>
      <c r="L30" s="15"/>
      <c r="M30" s="15"/>
    </row>
    <row r="31" spans="1:13" ht="15.95" customHeight="1" x14ac:dyDescent="0.2">
      <c r="A31" s="28">
        <v>13</v>
      </c>
      <c r="B31" s="16" t="s">
        <v>16</v>
      </c>
      <c r="C31" s="32">
        <v>26</v>
      </c>
      <c r="D31" s="32">
        <v>17</v>
      </c>
      <c r="E31" s="15">
        <v>2166.4</v>
      </c>
      <c r="F31" s="19">
        <v>3221.42</v>
      </c>
      <c r="G31" s="15"/>
      <c r="H31" s="16" t="s">
        <v>8</v>
      </c>
      <c r="I31" s="32">
        <v>32</v>
      </c>
      <c r="J31" s="15">
        <v>1807.6</v>
      </c>
      <c r="K31" s="19">
        <f t="shared" si="1"/>
        <v>2615.8000000000002</v>
      </c>
      <c r="L31" s="15"/>
      <c r="M31" s="15"/>
    </row>
    <row r="32" spans="1:13" ht="15.95" customHeight="1" x14ac:dyDescent="0.2">
      <c r="A32" s="28">
        <v>12</v>
      </c>
      <c r="B32" s="16" t="s">
        <v>16</v>
      </c>
      <c r="C32" s="32">
        <v>26</v>
      </c>
      <c r="D32" s="32">
        <v>17</v>
      </c>
      <c r="E32" s="15">
        <v>2166.4</v>
      </c>
      <c r="F32" s="19">
        <v>3221.42</v>
      </c>
      <c r="G32" s="15"/>
      <c r="H32" s="16" t="s">
        <v>8</v>
      </c>
      <c r="I32" s="32">
        <v>32</v>
      </c>
      <c r="J32" s="15">
        <v>1807.6</v>
      </c>
      <c r="K32" s="19">
        <f t="shared" si="1"/>
        <v>2615.8000000000002</v>
      </c>
      <c r="L32" s="15"/>
      <c r="M32" s="15"/>
    </row>
    <row r="33" spans="1:17" ht="15.95" customHeight="1" x14ac:dyDescent="0.2">
      <c r="A33" s="28">
        <v>11</v>
      </c>
      <c r="B33" s="16" t="s">
        <v>16</v>
      </c>
      <c r="C33" s="32">
        <v>26</v>
      </c>
      <c r="D33" s="32">
        <v>17</v>
      </c>
      <c r="E33" s="15">
        <v>2159.1999999999998</v>
      </c>
      <c r="F33" s="22">
        <v>3213.2</v>
      </c>
      <c r="G33" s="15"/>
      <c r="H33" s="16" t="s">
        <v>8</v>
      </c>
      <c r="I33" s="32">
        <v>32</v>
      </c>
      <c r="J33" s="15">
        <v>1807.6</v>
      </c>
      <c r="K33" s="19">
        <f t="shared" si="1"/>
        <v>2615.8000000000002</v>
      </c>
      <c r="L33" s="15"/>
      <c r="M33" s="15"/>
    </row>
    <row r="34" spans="1:17" ht="15.95" customHeight="1" x14ac:dyDescent="0.2">
      <c r="A34" s="28">
        <v>10</v>
      </c>
      <c r="B34" s="16" t="s">
        <v>16</v>
      </c>
      <c r="C34" s="32">
        <v>26</v>
      </c>
      <c r="D34" s="32">
        <v>17</v>
      </c>
      <c r="E34" s="15">
        <v>2159.1999999999998</v>
      </c>
      <c r="F34" s="22">
        <v>3213.2</v>
      </c>
      <c r="G34" s="15"/>
      <c r="H34" s="16" t="s">
        <v>8</v>
      </c>
      <c r="I34" s="32">
        <v>32</v>
      </c>
      <c r="J34" s="15">
        <v>1807.6</v>
      </c>
      <c r="K34" s="19">
        <f t="shared" si="1"/>
        <v>2615.8000000000002</v>
      </c>
      <c r="L34" s="15"/>
      <c r="M34" s="15"/>
    </row>
    <row r="35" spans="1:17" ht="15.95" customHeight="1" x14ac:dyDescent="0.2">
      <c r="A35" s="28">
        <v>9</v>
      </c>
      <c r="B35" s="16" t="s">
        <v>16</v>
      </c>
      <c r="C35" s="32">
        <v>26</v>
      </c>
      <c r="D35" s="32">
        <v>17</v>
      </c>
      <c r="E35" s="15">
        <v>2159.1999999999998</v>
      </c>
      <c r="F35" s="22">
        <v>3213.2</v>
      </c>
      <c r="G35" s="15"/>
      <c r="H35" s="16" t="s">
        <v>8</v>
      </c>
      <c r="I35" s="32">
        <v>32</v>
      </c>
      <c r="J35" s="15">
        <v>1807.6</v>
      </c>
      <c r="K35" s="19">
        <f>K36</f>
        <v>2615.8000000000002</v>
      </c>
      <c r="L35" s="15"/>
      <c r="M35" s="15"/>
    </row>
    <row r="36" spans="1:17" ht="15.95" customHeight="1" x14ac:dyDescent="0.2">
      <c r="A36" s="28">
        <v>8</v>
      </c>
      <c r="B36" s="16" t="s">
        <v>16</v>
      </c>
      <c r="C36" s="32">
        <v>26</v>
      </c>
      <c r="D36" s="32">
        <v>17</v>
      </c>
      <c r="E36" s="15">
        <v>2156</v>
      </c>
      <c r="F36" s="23">
        <v>3209.91</v>
      </c>
      <c r="G36" s="15"/>
      <c r="H36" s="16" t="s">
        <v>8</v>
      </c>
      <c r="I36" s="32">
        <v>32</v>
      </c>
      <c r="J36" s="15">
        <v>1807.6</v>
      </c>
      <c r="K36" s="22">
        <v>2615.8000000000002</v>
      </c>
      <c r="L36" s="15"/>
      <c r="M36" s="15"/>
    </row>
    <row r="37" spans="1:17" ht="15.95" customHeight="1" x14ac:dyDescent="0.2">
      <c r="A37" s="28">
        <v>7</v>
      </c>
      <c r="B37" s="16" t="s">
        <v>16</v>
      </c>
      <c r="C37" s="32">
        <v>26</v>
      </c>
      <c r="D37" s="32">
        <v>17</v>
      </c>
      <c r="E37" s="15">
        <v>2156</v>
      </c>
      <c r="F37" s="23">
        <v>3209.91</v>
      </c>
      <c r="G37" s="15"/>
      <c r="H37" s="16" t="s">
        <v>8</v>
      </c>
      <c r="I37" s="32">
        <v>32</v>
      </c>
      <c r="J37" s="15">
        <v>1807.6</v>
      </c>
      <c r="K37" s="15">
        <v>2614.9</v>
      </c>
      <c r="L37" s="15"/>
      <c r="M37" s="15"/>
    </row>
    <row r="38" spans="1:17" ht="15.95" customHeight="1" x14ac:dyDescent="0.25">
      <c r="A38" s="28">
        <v>6</v>
      </c>
      <c r="B38" s="16" t="s">
        <v>29</v>
      </c>
      <c r="C38" s="32">
        <v>26</v>
      </c>
      <c r="D38" s="6"/>
      <c r="E38" s="15">
        <v>1070.2</v>
      </c>
      <c r="F38" s="15">
        <v>2976.78</v>
      </c>
      <c r="G38" s="15"/>
      <c r="H38" s="16" t="s">
        <v>17</v>
      </c>
      <c r="I38" s="6"/>
      <c r="J38" s="15"/>
      <c r="K38" s="15">
        <v>2773.69</v>
      </c>
      <c r="L38" s="15"/>
      <c r="M38" s="15"/>
      <c r="O38" s="36">
        <f>SUM(O39:O43)</f>
        <v>17851</v>
      </c>
      <c r="P38" s="36">
        <f>SUM(F39:F43)</f>
        <v>18493.57</v>
      </c>
      <c r="Q38" s="74">
        <f>P38-O38</f>
        <v>642.56999999999971</v>
      </c>
    </row>
    <row r="39" spans="1:17" ht="15.95" customHeight="1" x14ac:dyDescent="0.2">
      <c r="A39" s="31">
        <v>5</v>
      </c>
      <c r="B39" s="25" t="s">
        <v>18</v>
      </c>
      <c r="C39" s="24"/>
      <c r="D39" s="24"/>
      <c r="E39" s="24"/>
      <c r="F39" s="24">
        <f>3574.55+348.12</f>
        <v>3922.67</v>
      </c>
      <c r="G39" s="24"/>
      <c r="H39" s="25" t="s">
        <v>20</v>
      </c>
      <c r="I39" s="24"/>
      <c r="J39" s="24"/>
      <c r="K39" s="24">
        <v>2777.3</v>
      </c>
      <c r="L39" s="24"/>
      <c r="M39" s="24"/>
      <c r="O39" s="73">
        <v>3547.3</v>
      </c>
      <c r="P39" s="36">
        <f>F39-O39</f>
        <v>375.36999999999989</v>
      </c>
    </row>
    <row r="40" spans="1:17" ht="15.95" customHeight="1" x14ac:dyDescent="0.2">
      <c r="A40" s="31">
        <v>4</v>
      </c>
      <c r="B40" s="25" t="s">
        <v>18</v>
      </c>
      <c r="C40" s="24"/>
      <c r="D40" s="24"/>
      <c r="E40" s="24"/>
      <c r="F40" s="24">
        <v>3481.9</v>
      </c>
      <c r="G40" s="24"/>
      <c r="H40" s="25" t="s">
        <v>19</v>
      </c>
      <c r="I40" s="24"/>
      <c r="J40" s="24"/>
      <c r="K40" s="24">
        <v>2781.1</v>
      </c>
      <c r="L40" s="24"/>
      <c r="M40" s="24"/>
      <c r="O40" s="73">
        <v>3464</v>
      </c>
      <c r="P40" s="36">
        <f t="shared" ref="P40:P43" si="2">F40-O40</f>
        <v>17.900000000000091</v>
      </c>
    </row>
    <row r="41" spans="1:17" ht="15.95" customHeight="1" x14ac:dyDescent="0.2">
      <c r="A41" s="31">
        <v>3</v>
      </c>
      <c r="B41" s="25" t="s">
        <v>18</v>
      </c>
      <c r="C41" s="24"/>
      <c r="D41" s="24"/>
      <c r="E41" s="24"/>
      <c r="F41" s="24">
        <v>4115.2</v>
      </c>
      <c r="G41" s="24"/>
      <c r="H41" s="25" t="s">
        <v>19</v>
      </c>
      <c r="I41" s="24"/>
      <c r="J41" s="24"/>
      <c r="K41" s="24">
        <v>2700.7</v>
      </c>
      <c r="L41" s="24"/>
      <c r="M41" s="24"/>
      <c r="O41" s="73">
        <v>4096.8</v>
      </c>
      <c r="P41" s="36">
        <f t="shared" si="2"/>
        <v>18.399999999999636</v>
      </c>
    </row>
    <row r="42" spans="1:17" ht="15.95" customHeight="1" x14ac:dyDescent="0.2">
      <c r="A42" s="31">
        <v>2</v>
      </c>
      <c r="B42" s="25" t="s">
        <v>18</v>
      </c>
      <c r="C42" s="24"/>
      <c r="D42" s="24"/>
      <c r="E42" s="24"/>
      <c r="F42" s="24">
        <v>3236</v>
      </c>
      <c r="G42" s="24"/>
      <c r="H42" s="25" t="s">
        <v>19</v>
      </c>
      <c r="I42" s="24"/>
      <c r="J42" s="24"/>
      <c r="K42" s="24">
        <v>2604.6999999999998</v>
      </c>
      <c r="L42" s="24"/>
      <c r="M42" s="24"/>
      <c r="O42" s="73">
        <v>3192.8</v>
      </c>
      <c r="P42" s="36">
        <f t="shared" si="2"/>
        <v>43.199999999999818</v>
      </c>
    </row>
    <row r="43" spans="1:17" ht="15.95" customHeight="1" x14ac:dyDescent="0.2">
      <c r="A43" s="31">
        <v>1</v>
      </c>
      <c r="B43" s="25" t="s">
        <v>18</v>
      </c>
      <c r="C43" s="34"/>
      <c r="D43" s="24"/>
      <c r="E43" s="24"/>
      <c r="F43" s="24">
        <v>3737.8</v>
      </c>
      <c r="G43" s="24"/>
      <c r="H43" s="25" t="s">
        <v>19</v>
      </c>
      <c r="I43" s="24"/>
      <c r="J43" s="24"/>
      <c r="K43" s="24">
        <v>2553.1999999999998</v>
      </c>
      <c r="L43" s="24"/>
      <c r="M43" s="24"/>
      <c r="O43" s="73">
        <v>3550.1</v>
      </c>
      <c r="P43" s="36">
        <f t="shared" si="2"/>
        <v>187.70000000000027</v>
      </c>
    </row>
    <row r="44" spans="1:17" ht="18" customHeight="1" x14ac:dyDescent="0.25">
      <c r="A44" s="15" t="s">
        <v>5</v>
      </c>
      <c r="B44" s="16" t="s">
        <v>30</v>
      </c>
      <c r="C44" s="32">
        <f>SUM(C7:C38)</f>
        <v>369</v>
      </c>
      <c r="D44" s="32">
        <f>SUM(D7:D38)</f>
        <v>854</v>
      </c>
      <c r="E44" s="15">
        <f>SUM(E7:E38)</f>
        <v>64994.6</v>
      </c>
      <c r="F44" s="15">
        <f>SUM(F6:F43)-F24</f>
        <v>121068.96999999996</v>
      </c>
      <c r="G44" s="15"/>
      <c r="H44" s="16"/>
      <c r="I44" s="15">
        <f>SUM(I6:I37)</f>
        <v>943</v>
      </c>
      <c r="J44" s="15">
        <f>SUM(J6:J37)</f>
        <v>55900.899999999972</v>
      </c>
      <c r="K44" s="15">
        <f>SUM(K6:K43)-K23</f>
        <v>97113.970000000045</v>
      </c>
      <c r="L44" s="15"/>
      <c r="M44" s="26">
        <f>K44+F44</f>
        <v>218182.94</v>
      </c>
      <c r="N44" s="35">
        <f>M44+K23+F24+M52+F5+K5</f>
        <v>257377.96</v>
      </c>
    </row>
    <row r="45" spans="1:17" x14ac:dyDescent="0.2">
      <c r="E45" s="36">
        <f>SUM(E8:E23)+1090.2</f>
        <v>35267.600000000006</v>
      </c>
    </row>
    <row r="46" spans="1:17" ht="27" customHeight="1" x14ac:dyDescent="0.2">
      <c r="A46" s="96" t="s">
        <v>9</v>
      </c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8"/>
      <c r="M46" s="94" t="s">
        <v>14</v>
      </c>
      <c r="N46" s="36">
        <f>M44-33488.6</f>
        <v>184694.34</v>
      </c>
    </row>
    <row r="47" spans="1:17" ht="22.5" customHeight="1" x14ac:dyDescent="0.2">
      <c r="A47" s="4" t="s">
        <v>0</v>
      </c>
      <c r="B47" s="4" t="s">
        <v>2</v>
      </c>
      <c r="C47" s="30"/>
      <c r="D47" s="30"/>
      <c r="E47" s="30"/>
      <c r="F47" s="29" t="s">
        <v>1</v>
      </c>
      <c r="G47" s="30"/>
      <c r="H47" s="4"/>
      <c r="I47" s="30"/>
      <c r="J47" s="30"/>
      <c r="K47" s="29"/>
      <c r="L47" s="5"/>
      <c r="M47" s="94"/>
    </row>
    <row r="48" spans="1:17" ht="24.75" customHeight="1" x14ac:dyDescent="0.2">
      <c r="A48" s="8" t="s">
        <v>10</v>
      </c>
      <c r="B48" s="10" t="s">
        <v>21</v>
      </c>
      <c r="C48" s="10"/>
      <c r="D48" s="10"/>
      <c r="E48" s="10"/>
      <c r="F48" s="9">
        <v>14850</v>
      </c>
      <c r="G48" s="10"/>
      <c r="H48" s="11"/>
      <c r="I48" s="10"/>
      <c r="J48" s="10"/>
      <c r="K48" s="10"/>
      <c r="L48" s="10"/>
      <c r="M48" s="13">
        <f>F48</f>
        <v>14850</v>
      </c>
    </row>
    <row r="49" spans="1:13" ht="34.15" customHeight="1" x14ac:dyDescent="0.2">
      <c r="A49" s="8" t="s">
        <v>94</v>
      </c>
      <c r="B49" s="10" t="s">
        <v>95</v>
      </c>
      <c r="C49" s="10"/>
      <c r="D49" s="10"/>
      <c r="E49" s="10"/>
      <c r="F49" s="9">
        <v>751.9</v>
      </c>
      <c r="G49" s="10"/>
      <c r="H49" s="11"/>
      <c r="I49" s="10"/>
      <c r="J49" s="10"/>
      <c r="K49" s="10"/>
      <c r="L49" s="10"/>
      <c r="M49" s="13">
        <f>F49</f>
        <v>751.9</v>
      </c>
    </row>
    <row r="50" spans="1:13" ht="25.5" x14ac:dyDescent="0.2">
      <c r="A50" s="12" t="s">
        <v>11</v>
      </c>
      <c r="B50" s="10" t="s">
        <v>21</v>
      </c>
      <c r="C50" s="10"/>
      <c r="D50" s="10"/>
      <c r="E50" s="10"/>
      <c r="F50" s="9">
        <v>1483</v>
      </c>
      <c r="G50" s="10"/>
      <c r="H50" s="11"/>
      <c r="I50" s="10"/>
      <c r="J50" s="10"/>
      <c r="K50" s="10"/>
      <c r="L50" s="10"/>
      <c r="M50" s="13">
        <f>F50</f>
        <v>1483</v>
      </c>
    </row>
    <row r="51" spans="1:13" ht="25.5" x14ac:dyDescent="0.2">
      <c r="A51" s="12" t="s">
        <v>12</v>
      </c>
      <c r="B51" s="10" t="s">
        <v>21</v>
      </c>
      <c r="C51" s="10"/>
      <c r="D51" s="10"/>
      <c r="E51" s="10"/>
      <c r="F51" s="9">
        <v>14850</v>
      </c>
      <c r="G51" s="10"/>
      <c r="H51" s="11"/>
      <c r="I51" s="10"/>
      <c r="J51" s="10"/>
      <c r="K51" s="10"/>
      <c r="L51" s="10"/>
      <c r="M51" s="13">
        <f>F51</f>
        <v>14850</v>
      </c>
    </row>
    <row r="52" spans="1:13" ht="24" customHeight="1" x14ac:dyDescent="0.2">
      <c r="A52" s="92" t="s">
        <v>13</v>
      </c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14">
        <f>SUM(M48:M51)</f>
        <v>31934.9</v>
      </c>
    </row>
  </sheetData>
  <mergeCells count="7">
    <mergeCell ref="A52:L52"/>
    <mergeCell ref="H3:L3"/>
    <mergeCell ref="M3:M4"/>
    <mergeCell ref="A2:M2"/>
    <mergeCell ref="M46:M47"/>
    <mergeCell ref="A46:L46"/>
    <mergeCell ref="A3:G3"/>
  </mergeCells>
  <pageMargins left="0.7" right="0.7" top="0.75" bottom="0.75" header="0.3" footer="0.3"/>
  <pageSetup orientation="portrait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0"/>
  <sheetViews>
    <sheetView zoomScale="85" zoomScaleNormal="85" workbookViewId="0">
      <selection activeCell="D9" sqref="D9"/>
    </sheetView>
  </sheetViews>
  <sheetFormatPr defaultRowHeight="15" x14ac:dyDescent="0.25"/>
  <cols>
    <col min="2" max="2" width="22.5703125" customWidth="1"/>
    <col min="3" max="6" width="35.5703125" customWidth="1"/>
    <col min="7" max="7" width="19" customWidth="1"/>
    <col min="8" max="8" width="33.140625" customWidth="1"/>
  </cols>
  <sheetData>
    <row r="2" spans="1:8" ht="20.25" x14ac:dyDescent="0.3">
      <c r="A2" s="102" t="s">
        <v>74</v>
      </c>
      <c r="B2" s="102"/>
      <c r="C2" s="102"/>
      <c r="D2" s="102"/>
      <c r="E2" s="102"/>
      <c r="F2" s="102"/>
      <c r="G2" s="102"/>
      <c r="H2" s="102"/>
    </row>
    <row r="3" spans="1:8" x14ac:dyDescent="0.25">
      <c r="A3" s="63"/>
      <c r="B3" s="63"/>
      <c r="C3" s="63"/>
      <c r="D3" s="63"/>
      <c r="E3" s="63"/>
      <c r="F3" s="63"/>
      <c r="G3" s="63"/>
      <c r="H3" s="63"/>
    </row>
    <row r="4" spans="1:8" ht="47.25" x14ac:dyDescent="0.25">
      <c r="A4" s="64" t="s">
        <v>15</v>
      </c>
      <c r="B4" s="64" t="s">
        <v>54</v>
      </c>
      <c r="C4" s="64" t="s">
        <v>75</v>
      </c>
      <c r="D4" s="65" t="s">
        <v>76</v>
      </c>
      <c r="E4" s="65" t="s">
        <v>88</v>
      </c>
      <c r="F4" s="65" t="s">
        <v>77</v>
      </c>
      <c r="G4" s="64" t="s">
        <v>78</v>
      </c>
      <c r="H4" s="64" t="s">
        <v>79</v>
      </c>
    </row>
    <row r="5" spans="1:8" ht="63" x14ac:dyDescent="0.25">
      <c r="A5" s="66">
        <v>1</v>
      </c>
      <c r="B5" s="72" t="s">
        <v>80</v>
      </c>
      <c r="C5" s="66" t="s">
        <v>90</v>
      </c>
      <c r="D5" s="66" t="s">
        <v>91</v>
      </c>
      <c r="E5" s="66" t="s">
        <v>89</v>
      </c>
      <c r="F5" s="66" t="s">
        <v>92</v>
      </c>
      <c r="G5" s="67"/>
      <c r="H5" s="66" t="s">
        <v>81</v>
      </c>
    </row>
    <row r="6" spans="1:8" ht="47.25" x14ac:dyDescent="0.25">
      <c r="A6" s="66">
        <v>2</v>
      </c>
      <c r="B6" s="72" t="s">
        <v>82</v>
      </c>
      <c r="C6" s="68">
        <f>3484+6738</f>
        <v>10222</v>
      </c>
      <c r="D6" s="68">
        <f>'dien tich san'!C44</f>
        <v>369</v>
      </c>
      <c r="E6" s="68">
        <f>'dien tich san'!J44+'dien tich san'!E45</f>
        <v>91168.499999999971</v>
      </c>
      <c r="F6" s="68">
        <f>2239+152</f>
        <v>2391</v>
      </c>
      <c r="G6" s="68"/>
      <c r="H6" s="67"/>
    </row>
    <row r="7" spans="1:8" ht="47.25" x14ac:dyDescent="0.25">
      <c r="A7" s="66">
        <f>A6+1</f>
        <v>3</v>
      </c>
      <c r="B7" s="72" t="s">
        <v>83</v>
      </c>
      <c r="C7" s="68">
        <f>C6*12/100</f>
        <v>1226.6400000000001</v>
      </c>
      <c r="D7" s="68">
        <f>D6/4*12</f>
        <v>1107</v>
      </c>
      <c r="E7" s="68">
        <f>(E6*20)/160</f>
        <v>11396.062499999996</v>
      </c>
      <c r="F7" s="68">
        <f>F6*12/100</f>
        <v>286.92</v>
      </c>
      <c r="G7" s="69">
        <f>SUM(C7:F7)</f>
        <v>14016.622499999996</v>
      </c>
      <c r="H7" s="67"/>
    </row>
    <row r="8" spans="1:8" ht="47.25" x14ac:dyDescent="0.25">
      <c r="A8" s="66">
        <f t="shared" ref="A8:A10" si="0">A7+1</f>
        <v>4</v>
      </c>
      <c r="B8" s="72" t="s">
        <v>84</v>
      </c>
      <c r="C8" s="70">
        <f>C7/14</f>
        <v>87.617142857142866</v>
      </c>
      <c r="D8" s="70">
        <f>D7/14</f>
        <v>79.071428571428569</v>
      </c>
      <c r="E8" s="70">
        <f>E7/14</f>
        <v>814.00446428571399</v>
      </c>
      <c r="F8" s="70">
        <f>F7/14</f>
        <v>20.494285714285716</v>
      </c>
      <c r="G8" s="71">
        <f>C8+D8+E8+F8</f>
        <v>1001.1873214285712</v>
      </c>
      <c r="H8" s="67"/>
    </row>
    <row r="9" spans="1:8" ht="47.25" x14ac:dyDescent="0.25">
      <c r="A9" s="66">
        <f t="shared" si="0"/>
        <v>5</v>
      </c>
      <c r="B9" s="72" t="s">
        <v>85</v>
      </c>
      <c r="C9" s="68">
        <f>C10*14</f>
        <v>1226.6400000000001</v>
      </c>
      <c r="D9" s="68">
        <f>D8*14</f>
        <v>1107</v>
      </c>
      <c r="E9" s="68">
        <f>E10*14</f>
        <v>12387.439999999999</v>
      </c>
      <c r="F9" s="68">
        <f>F8*14</f>
        <v>286.92</v>
      </c>
      <c r="G9" s="69">
        <f>C9+D9+F9+E9</f>
        <v>15008</v>
      </c>
      <c r="H9" s="66" t="s">
        <v>86</v>
      </c>
    </row>
    <row r="10" spans="1:8" ht="31.5" x14ac:dyDescent="0.25">
      <c r="A10" s="66">
        <f t="shared" si="0"/>
        <v>6</v>
      </c>
      <c r="B10" s="72" t="s">
        <v>93</v>
      </c>
      <c r="C10" s="70">
        <f>C8</f>
        <v>87.617142857142866</v>
      </c>
      <c r="D10" s="70">
        <f>D8</f>
        <v>79.071428571428569</v>
      </c>
      <c r="E10" s="70">
        <f>G10-F10-D10-C10</f>
        <v>884.81714285714281</v>
      </c>
      <c r="F10" s="70">
        <f>F8</f>
        <v>20.494285714285716</v>
      </c>
      <c r="G10" s="71">
        <f>699+20+353</f>
        <v>1072</v>
      </c>
      <c r="H10" s="66" t="s">
        <v>87</v>
      </c>
    </row>
  </sheetData>
  <mergeCells count="1">
    <mergeCell ref="A2:H2"/>
  </mergeCells>
  <pageMargins left="0.7" right="0.7" top="0.75" bottom="0.75" header="0.3" footer="0.3"/>
  <pageSetup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KHAI QUAT DA</vt:lpstr>
      <vt:lpstr>dien tich san</vt:lpstr>
      <vt:lpstr>Bảng tính DT đỗ xe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KT07</dc:creator>
  <cp:lastModifiedBy>Admin</cp:lastModifiedBy>
  <dcterms:created xsi:type="dcterms:W3CDTF">2022-08-22T04:38:26Z</dcterms:created>
  <dcterms:modified xsi:type="dcterms:W3CDTF">2022-10-15T07:33:45Z</dcterms:modified>
</cp:coreProperties>
</file>