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3\ts1\CNC.2022. THAM TRA CHO SAT\1. INPUT\1. Ho so Chu dau tu gui\2022.08.31. Ho so Thiet ke gui lan 2\220831 Bvtc tường vây v0\220831 Bvtc tường vây v0\"/>
    </mc:Choice>
  </mc:AlternateContent>
  <bookViews>
    <workbookView xWindow="0" yWindow="0" windowWidth="28800" windowHeight="12330"/>
  </bookViews>
  <sheets>
    <sheet name="TINH TOAN" sheetId="1" r:id="rId1"/>
    <sheet name="DATA" sheetId="2" r:id="rId2"/>
  </sheets>
  <definedNames>
    <definedName name="_a01">'TINH TOAN'!$E$13</definedName>
    <definedName name="_a02">'TINH TOAN'!$E$14</definedName>
    <definedName name="_As1">'TINH TOAN'!$F$15</definedName>
    <definedName name="_As2">'TINH TOAN'!$F$16</definedName>
    <definedName name="_b">'TINH TOAN'!$B$13</definedName>
    <definedName name="_h">'TINH TOAN'!$B$14</definedName>
    <definedName name="_h01">'TINH TOAN'!$H$13</definedName>
    <definedName name="_h02">'TINH TOAN'!$H$14</definedName>
    <definedName name="_xlnm.Print_Area" localSheetId="0">'TINH TOAN'!$A:$J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l="1"/>
  <c r="E6" i="1"/>
  <c r="E5" i="1"/>
  <c r="B7" i="1"/>
  <c r="B6" i="1"/>
  <c r="B5" i="1"/>
  <c r="D5" i="2"/>
  <c r="C5" i="2"/>
  <c r="H13" i="1"/>
  <c r="H14" i="1"/>
  <c r="C35" i="1" l="1"/>
  <c r="C11" i="1"/>
  <c r="D19" i="1" s="1"/>
  <c r="C34" i="1"/>
  <c r="H33" i="1"/>
  <c r="B17" i="1" l="1"/>
  <c r="D18" i="1" s="1"/>
  <c r="B30" i="1"/>
  <c r="B32" i="1"/>
  <c r="B61" i="1" l="1"/>
  <c r="D62" i="1" s="1"/>
  <c r="B49" i="1"/>
  <c r="D50" i="1" s="1"/>
  <c r="B55" i="1"/>
  <c r="D56" i="1" s="1"/>
  <c r="B40" i="1"/>
  <c r="C39" i="1" s="1"/>
  <c r="B38" i="1" s="1"/>
  <c r="B44" i="1"/>
  <c r="B48" i="1" l="1"/>
  <c r="E51" i="1" s="1"/>
  <c r="B54" i="1"/>
  <c r="E57" i="1" s="1"/>
  <c r="B60" i="1"/>
  <c r="E63" i="1" s="1"/>
  <c r="A45" i="1"/>
  <c r="E67" i="1" l="1"/>
  <c r="A68" i="1" s="1"/>
  <c r="E70" i="1"/>
  <c r="G70" i="1" l="1"/>
  <c r="A71" i="1"/>
  <c r="G67" i="1"/>
</calcChain>
</file>

<file path=xl/sharedStrings.xml><?xml version="1.0" encoding="utf-8"?>
<sst xmlns="http://schemas.openxmlformats.org/spreadsheetml/2006/main" count="168" uniqueCount="117">
  <si>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</si>
  <si>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</si>
  <si>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</si>
  <si>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</si>
  <si>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</si>
  <si>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</si>
  <si>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</si>
  <si>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</si>
  <si>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</si>
  <si>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</si>
  <si>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</si>
  <si>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</si>
  <si>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</si>
  <si>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</si>
  <si>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</si>
  <si>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</si>
  <si>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</si>
  <si>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</si>
  <si>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</si>
  <si>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</si>
  <si>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</si>
  <si>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</si>
  <si>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</si>
  <si>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</si>
  <si>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</si>
  <si>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</si>
  <si>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</si>
  <si>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</si>
  <si>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</si>
  <si>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</si>
  <si>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</si>
  <si>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</si>
  <si>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</si>
  <si>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</si>
  <si>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</si>
  <si>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</si>
  <si>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</si>
  <si>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</si>
  <si>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</si>
  <si>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</si>
  <si>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</si>
  <si>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</si>
  <si>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</si>
  <si>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</si>
  <si>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</si>
  <si>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</si>
  <si>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</si>
  <si>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</si>
  <si>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</si>
  <si>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</si>
  <si>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</si>
  <si>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</si>
  <si>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</si>
  <si>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</si>
  <si>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</si>
  <si>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</si>
  <si>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</si>
  <si>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</si>
  <si>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</si>
  <si>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</si>
  <si>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</si>
  <si>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</si>
  <si>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</si>
  <si>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</si>
  <si>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</si>
  <si>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</si>
  <si>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</si>
  <si>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</si>
  <si>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</si>
  <si>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</si>
  <si>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</si>
  <si>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</si>
  <si>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</si>
  <si>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</si>
  <si>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</si>
  <si>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</si>
  <si>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</si>
  <si>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</si>
  <si>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</si>
  <si>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</si>
  <si>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</si>
  <si>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</si>
  <si>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</si>
  <si>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</si>
  <si>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</si>
  <si>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</si>
  <si>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</si>
  <si>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</si>
  <si>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</si>
  <si>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</si>
  <si>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</si>
  <si>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</si>
  <si>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</si>
  <si>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</si>
  <si>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</si>
  <si>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</si>
  <si>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</si>
  <si>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</si>
  <si>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</si>
  <si>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</si>
  <si>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</si>
  <si>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</si>
  <si>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</si>
  <si>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</si>
  <si>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</si>
  <si>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</si>
  <si>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</si>
  <si>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</si>
  <si>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</si>
  <si>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</si>
  <si>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</si>
  <si>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</si>
  <si>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</si>
  <si>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</si>
  <si>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</si>
  <si>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</si>
  <si>
    <t>Chi tiết dầm D1-1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</si>
</sst>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4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3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1"/>
  <sheetViews>
    <sheetView tabSelected="1" view="pageBreakPreview" topLeftCell="A44" zoomScaleNormal="100" zoomScaleSheetLayoutView="100" workbookViewId="0">
      <selection activeCell="P27" sqref="P27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0" ht="51" customHeight="1">
      <c r="A1" s="26" t="s">
        <v>107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customHeight="1">
      <c r="A2" s="25" t="s">
        <v>116</v>
      </c>
      <c r="B2" s="25"/>
      <c r="C2" s="7"/>
      <c r="D2" s="7"/>
      <c r="E2" s="7"/>
      <c r="F2" s="7"/>
      <c r="G2" s="7"/>
      <c r="H2" s="7"/>
      <c r="I2" s="7"/>
      <c r="J2" s="7"/>
    </row>
    <row r="3" spans="1:10" ht="20.100000000000001" customHeight="1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</row>
    <row r="4" spans="1:10" ht="20.100000000000001" customHeight="1">
      <c r="A4" s="6" t="s">
        <v>1</v>
      </c>
      <c r="B4" s="7"/>
      <c r="C4" s="8" t="s">
        <v>2</v>
      </c>
      <c r="D4" s="7"/>
      <c r="E4" s="7"/>
      <c r="F4" s="7"/>
      <c r="G4" s="7"/>
      <c r="H4" s="7"/>
      <c r="I4" s="7"/>
      <c r="J4" s="7"/>
    </row>
    <row r="5" spans="1:10" ht="20.100000000000001" customHeight="1">
      <c r="A5" s="7" t="s">
        <v>5</v>
      </c>
      <c r="B5" s="7">
        <f>VLOOKUP($C$4,DATA!$B$3:$G$12,4,0)</f>
        <v>17</v>
      </c>
      <c r="C5" s="7" t="s">
        <v>3</v>
      </c>
      <c r="D5" s="7" t="s">
        <v>6</v>
      </c>
      <c r="E5" s="7">
        <f>VLOOKUP($C$4,DATA!$B$3:$G$12,2,0)</f>
        <v>22</v>
      </c>
      <c r="F5" s="7" t="s">
        <v>3</v>
      </c>
      <c r="G5" s="7"/>
      <c r="H5" s="7"/>
      <c r="I5" s="7"/>
      <c r="J5" s="7"/>
    </row>
    <row r="6" spans="1:10" ht="20.100000000000001" customHeight="1">
      <c r="A6" s="7" t="s">
        <v>4</v>
      </c>
      <c r="B6" s="7">
        <f>VLOOKUP($C$4,DATA!$B$3:$G$12,5,0)</f>
        <v>1.1499999999999999</v>
      </c>
      <c r="C6" s="7" t="s">
        <v>3</v>
      </c>
      <c r="D6" s="7" t="s">
        <v>7</v>
      </c>
      <c r="E6" s="7">
        <f>VLOOKUP($C$4,DATA!$B$3:$G$12,3,0)</f>
        <v>1.75</v>
      </c>
      <c r="F6" s="7" t="s">
        <v>3</v>
      </c>
      <c r="G6" s="7"/>
      <c r="H6" s="7"/>
      <c r="I6" s="7"/>
      <c r="J6" s="7"/>
    </row>
    <row r="7" spans="1:10" ht="20.100000000000001" customHeight="1">
      <c r="A7" s="7" t="s">
        <v>10</v>
      </c>
      <c r="B7" s="7">
        <f>VLOOKUP($C$4,DATA!$B$3:$G$12,6,0)</f>
        <v>32500</v>
      </c>
      <c r="C7" s="7" t="s">
        <v>3</v>
      </c>
      <c r="D7" s="7"/>
      <c r="E7" s="7"/>
      <c r="F7" s="7"/>
      <c r="G7" s="7"/>
      <c r="H7" s="7"/>
      <c r="I7" s="7"/>
      <c r="J7" s="7"/>
    </row>
    <row r="8" spans="1:10" ht="20.100000000000001" customHeight="1">
      <c r="A8" s="6" t="s">
        <v>8</v>
      </c>
      <c r="B8" s="7"/>
      <c r="C8" s="8" t="s">
        <v>72</v>
      </c>
      <c r="D8" s="7"/>
      <c r="E8" s="7"/>
      <c r="F8" s="7"/>
      <c r="G8" s="7"/>
      <c r="H8" s="7"/>
      <c r="I8" s="7"/>
      <c r="J8" s="7"/>
    </row>
    <row r="9" spans="1:10" ht="20.100000000000001" customHeight="1">
      <c r="A9" s="7" t="s">
        <v>11</v>
      </c>
      <c r="B9" s="7">
        <f>VLOOKUP($C$8,DATA!$B$16:$F$23,2,0)</f>
        <v>435</v>
      </c>
      <c r="C9" s="7" t="s">
        <v>3</v>
      </c>
      <c r="D9" s="7"/>
      <c r="E9" s="7"/>
      <c r="F9" s="7"/>
      <c r="G9" s="7"/>
      <c r="H9" s="7"/>
      <c r="I9" s="7"/>
      <c r="J9" s="7"/>
    </row>
    <row r="10" spans="1:10" ht="20.100000000000001" customHeight="1">
      <c r="A10" s="7" t="s">
        <v>12</v>
      </c>
      <c r="B10" s="7">
        <f>VLOOKUP($C$8,DATA!$B$16:$F$23,5,0)</f>
        <v>200000</v>
      </c>
      <c r="C10" s="7" t="s">
        <v>3</v>
      </c>
      <c r="D10" s="7"/>
      <c r="E10" s="7"/>
      <c r="F10" s="7"/>
      <c r="G10" s="7"/>
      <c r="H10" s="7"/>
      <c r="I10" s="7"/>
      <c r="J10" s="7"/>
    </row>
    <row r="11" spans="1:10" ht="20.100000000000001" customHeight="1">
      <c r="A11" s="9" t="s">
        <v>35</v>
      </c>
      <c r="B11" s="7"/>
      <c r="C11" s="10">
        <f>B10/B7</f>
        <v>6.1538461538461542</v>
      </c>
      <c r="D11" s="7"/>
      <c r="E11" s="7"/>
      <c r="F11" s="7"/>
      <c r="G11" s="7"/>
      <c r="H11" s="7"/>
      <c r="I11" s="7"/>
      <c r="J11" s="7"/>
    </row>
    <row r="12" spans="1:10" ht="20.100000000000001" customHeight="1">
      <c r="A12" s="6" t="s">
        <v>13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ht="20.100000000000001" customHeight="1">
      <c r="A13" s="7" t="s">
        <v>14</v>
      </c>
      <c r="B13" s="11">
        <v>1000</v>
      </c>
      <c r="C13" s="7" t="s">
        <v>15</v>
      </c>
      <c r="D13" s="7" t="s">
        <v>17</v>
      </c>
      <c r="E13" s="11">
        <v>95</v>
      </c>
      <c r="F13" s="7" t="s">
        <v>15</v>
      </c>
      <c r="G13" s="7" t="s">
        <v>22</v>
      </c>
      <c r="H13" s="11">
        <f>B14-E13</f>
        <v>905</v>
      </c>
      <c r="I13" s="7" t="s">
        <v>15</v>
      </c>
      <c r="J13" s="7"/>
    </row>
    <row r="14" spans="1:10" ht="20.100000000000001" customHeight="1">
      <c r="A14" s="7" t="s">
        <v>16</v>
      </c>
      <c r="B14" s="11">
        <v>1000</v>
      </c>
      <c r="C14" s="7" t="s">
        <v>15</v>
      </c>
      <c r="D14" s="7" t="s">
        <v>18</v>
      </c>
      <c r="E14" s="11">
        <v>95</v>
      </c>
      <c r="F14" s="7" t="s">
        <v>15</v>
      </c>
      <c r="G14" s="7" t="s">
        <v>23</v>
      </c>
      <c r="H14" s="11">
        <f>B14-E14</f>
        <v>905</v>
      </c>
      <c r="I14" s="7" t="s">
        <v>15</v>
      </c>
      <c r="J14" s="7"/>
    </row>
    <row r="15" spans="1:10" ht="20.100000000000001" customHeight="1">
      <c r="A15" s="7" t="s">
        <v>19</v>
      </c>
      <c r="B15" s="11">
        <v>16</v>
      </c>
      <c r="C15" s="12" t="s">
        <v>20</v>
      </c>
      <c r="D15" s="11">
        <v>25</v>
      </c>
      <c r="E15" s="7" t="s">
        <v>21</v>
      </c>
      <c r="F15" s="13">
        <v>77.28</v>
      </c>
      <c r="G15" s="14" t="s">
        <v>32</v>
      </c>
      <c r="H15" s="7"/>
      <c r="I15" s="7"/>
      <c r="J15" s="7"/>
    </row>
    <row r="16" spans="1:10" ht="20.100000000000001" customHeight="1">
      <c r="A16" s="7" t="s">
        <v>24</v>
      </c>
      <c r="B16" s="11">
        <v>8</v>
      </c>
      <c r="C16" s="12" t="s">
        <v>20</v>
      </c>
      <c r="D16" s="11">
        <v>25</v>
      </c>
      <c r="E16" s="7" t="s">
        <v>21</v>
      </c>
      <c r="F16" s="13">
        <v>40.25</v>
      </c>
      <c r="G16" s="14" t="s">
        <v>32</v>
      </c>
      <c r="H16" s="7"/>
      <c r="I16" s="7"/>
      <c r="J16" s="7"/>
    </row>
    <row r="17" spans="1:11" ht="20.100000000000001" customHeight="1">
      <c r="A17" s="15" t="s">
        <v>115</v>
      </c>
      <c r="B17" s="16">
        <f>(_b*_h^2/2+C11*_As2*_a02+C11*_As1*_h01)/(_b*_h+C11*_As2+_As1*C11)</f>
        <v>500.09222345217029</v>
      </c>
      <c r="C17" s="17" t="s">
        <v>15</v>
      </c>
      <c r="D17" s="15"/>
      <c r="E17" s="15"/>
      <c r="F17" s="13"/>
      <c r="G17" s="18"/>
      <c r="H17" s="15"/>
      <c r="I17" s="15"/>
      <c r="J17" s="15"/>
      <c r="K17" s="5"/>
    </row>
    <row r="18" spans="1:11" ht="20.100000000000001" customHeight="1">
      <c r="A18" s="7" t="s">
        <v>30</v>
      </c>
      <c r="B18" s="7"/>
      <c r="C18" s="7"/>
      <c r="D18" s="19">
        <f>(B13*B14^3/12+_b*_h*(_h/2-B17)^2+C11*(F15*100*(_h01-B17)^2)+C11*(F16*100*(B17-_a02)^2))/1000^4</f>
        <v>9.5194937574941907E-2</v>
      </c>
      <c r="E18" s="14" t="s">
        <v>75</v>
      </c>
      <c r="F18" s="7"/>
      <c r="G18" s="20" t="s">
        <v>101</v>
      </c>
      <c r="H18" s="7"/>
      <c r="I18" s="7"/>
      <c r="J18" s="7"/>
    </row>
    <row r="19" spans="1:11" ht="20.100000000000001" customHeight="1">
      <c r="A19" s="7" t="s">
        <v>31</v>
      </c>
      <c r="B19" s="7"/>
      <c r="C19" s="7"/>
      <c r="D19" s="19">
        <f>(B13*B14+C11*F15*100+C11*F16*100)/1000^2</f>
        <v>1.0723261538461539</v>
      </c>
      <c r="E19" s="14" t="s">
        <v>76</v>
      </c>
      <c r="F19" s="7"/>
      <c r="G19" s="20" t="s">
        <v>102</v>
      </c>
      <c r="H19" s="7"/>
      <c r="I19" s="7"/>
      <c r="J19" s="7"/>
    </row>
    <row r="20" spans="1:11" ht="20.100000000000001" customHeight="1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1" ht="20.100000000000001" customHeight="1">
      <c r="A21" s="6" t="s">
        <v>25</v>
      </c>
      <c r="B21" s="7"/>
      <c r="C21" s="7"/>
      <c r="D21" s="7"/>
      <c r="E21" s="20" t="s">
        <v>104</v>
      </c>
      <c r="F21" s="7"/>
      <c r="G21" s="7"/>
      <c r="H21" s="7"/>
      <c r="I21" s="7"/>
      <c r="J21" s="7"/>
    </row>
    <row r="22" spans="1:11" ht="20.100000000000001" hidden="1" customHeight="1">
      <c r="A22" s="7" t="s">
        <v>111</v>
      </c>
      <c r="B22" s="7"/>
      <c r="C22" s="7"/>
      <c r="D22" s="7"/>
      <c r="E22" s="11">
        <v>51.05</v>
      </c>
      <c r="F22" s="7" t="s">
        <v>26</v>
      </c>
      <c r="G22" s="7"/>
      <c r="H22" s="7"/>
      <c r="I22" s="7"/>
      <c r="J22" s="7"/>
    </row>
    <row r="23" spans="1:11" ht="20.100000000000001" hidden="1" customHeight="1">
      <c r="A23" s="7" t="s">
        <v>112</v>
      </c>
      <c r="B23" s="7"/>
      <c r="C23" s="7"/>
      <c r="D23" s="7"/>
      <c r="E23" s="11">
        <v>13.75</v>
      </c>
      <c r="F23" s="7" t="s">
        <v>26</v>
      </c>
      <c r="G23" s="7"/>
      <c r="H23" s="7"/>
      <c r="I23" s="7"/>
      <c r="J23" s="7"/>
    </row>
    <row r="24" spans="1:11" ht="20.100000000000001" customHeight="1">
      <c r="A24" s="7" t="s">
        <v>113</v>
      </c>
      <c r="B24" s="7"/>
      <c r="C24" s="11">
        <v>1</v>
      </c>
      <c r="D24" s="7"/>
      <c r="E24" s="20"/>
      <c r="F24" s="7"/>
      <c r="G24" s="7"/>
      <c r="H24" s="7"/>
      <c r="I24" s="7"/>
      <c r="J24" s="7"/>
    </row>
    <row r="25" spans="1:11" ht="20.100000000000001" customHeight="1">
      <c r="A25" s="7" t="s">
        <v>81</v>
      </c>
      <c r="B25" s="15">
        <v>1290</v>
      </c>
      <c r="C25" s="7" t="s">
        <v>26</v>
      </c>
      <c r="D25" s="20" t="s">
        <v>105</v>
      </c>
      <c r="E25" s="7"/>
      <c r="F25" s="7"/>
      <c r="G25" s="7"/>
      <c r="H25" s="7"/>
      <c r="I25" s="7"/>
      <c r="J25" s="7"/>
    </row>
    <row r="26" spans="1:11" ht="20.100000000000001" customHeight="1">
      <c r="A26" s="7" t="s">
        <v>82</v>
      </c>
      <c r="B26" s="15">
        <v>1290</v>
      </c>
      <c r="C26" s="7" t="s">
        <v>26</v>
      </c>
      <c r="D26" s="20" t="s">
        <v>103</v>
      </c>
      <c r="E26" s="7"/>
      <c r="F26" s="7"/>
      <c r="G26" s="7"/>
      <c r="H26" s="7"/>
      <c r="I26" s="7"/>
      <c r="J26" s="7"/>
    </row>
    <row r="27" spans="1:11" ht="20.100000000000001" customHeight="1">
      <c r="A27" s="7" t="s">
        <v>83</v>
      </c>
      <c r="B27" s="15">
        <v>1290</v>
      </c>
      <c r="C27" s="7" t="s">
        <v>26</v>
      </c>
      <c r="D27" s="20" t="s">
        <v>106</v>
      </c>
      <c r="E27" s="7"/>
      <c r="F27" s="7"/>
      <c r="G27" s="7"/>
      <c r="H27" s="7"/>
      <c r="I27" s="7"/>
      <c r="J27" s="7"/>
    </row>
    <row r="28" spans="1:11" ht="20.100000000000001" customHeight="1">
      <c r="A28" s="6" t="s">
        <v>108</v>
      </c>
      <c r="B28" s="7"/>
      <c r="C28" s="7"/>
      <c r="D28" s="7"/>
      <c r="E28" s="7"/>
      <c r="F28" s="7"/>
      <c r="G28" s="7"/>
      <c r="H28" s="7"/>
      <c r="I28" s="7"/>
      <c r="J28" s="7"/>
    </row>
    <row r="29" spans="1:11" ht="20.100000000000001" customHeight="1">
      <c r="A29" s="9" t="s">
        <v>34</v>
      </c>
      <c r="B29" s="7">
        <v>1.3</v>
      </c>
      <c r="C29" s="7"/>
      <c r="D29" s="7"/>
      <c r="E29" s="7"/>
      <c r="F29" s="7"/>
      <c r="G29" s="7"/>
      <c r="H29" s="7"/>
      <c r="I29" s="7"/>
      <c r="J29" s="7"/>
    </row>
    <row r="30" spans="1:11" ht="20.100000000000001" customHeight="1">
      <c r="A30" s="7" t="s">
        <v>36</v>
      </c>
      <c r="B30" s="21">
        <f>(_b*_h*_h/2+C11*_As1*100*_a01+C11*_As2*100*(_h-_a02))/1000^3</f>
        <v>0.52693406153846156</v>
      </c>
      <c r="C30" s="22" t="s">
        <v>109</v>
      </c>
      <c r="D30" s="7"/>
      <c r="E30" s="7"/>
      <c r="F30" s="7"/>
      <c r="G30" s="7"/>
      <c r="H30" s="7"/>
      <c r="I30" s="7"/>
      <c r="J30" s="7"/>
    </row>
    <row r="31" spans="1:11" ht="20.100000000000001" customHeight="1">
      <c r="A31" s="7" t="s">
        <v>42</v>
      </c>
      <c r="B31" s="7"/>
      <c r="C31" s="7"/>
      <c r="D31" s="7"/>
      <c r="E31" s="7"/>
      <c r="F31" s="7"/>
      <c r="G31" s="7"/>
      <c r="H31" s="7"/>
      <c r="I31" s="7"/>
      <c r="J31" s="7"/>
    </row>
    <row r="32" spans="1:11" ht="20.100000000000001" customHeight="1">
      <c r="A32" s="7" t="s">
        <v>44</v>
      </c>
      <c r="B32" s="10">
        <f>_h01*(((C34*H33+C35*H33)^2+2*(C34*H33+C35*H33*_a02/_h01))^0.5-(C34*H33+C35*H33))</f>
        <v>316.02520476545089</v>
      </c>
      <c r="C32" s="7" t="s">
        <v>15</v>
      </c>
      <c r="D32" s="7"/>
      <c r="E32" s="7"/>
      <c r="F32" s="7"/>
      <c r="G32" s="7"/>
      <c r="H32" s="20" t="s">
        <v>43</v>
      </c>
      <c r="I32" s="7"/>
      <c r="J32" s="7"/>
    </row>
    <row r="33" spans="1:10" ht="20.100000000000001" customHeight="1">
      <c r="A33" s="9" t="s">
        <v>80</v>
      </c>
      <c r="B33" s="7"/>
      <c r="C33" s="7"/>
      <c r="D33" s="7"/>
      <c r="E33" s="7"/>
      <c r="F33" s="7"/>
      <c r="G33" s="7"/>
      <c r="H33" s="10">
        <f>0.0015*$B$10/$E$5</f>
        <v>13.636363636363637</v>
      </c>
      <c r="I33" s="7"/>
      <c r="J33" s="7"/>
    </row>
    <row r="34" spans="1:10" ht="20.100000000000001" customHeight="1">
      <c r="A34" s="9" t="s">
        <v>78</v>
      </c>
      <c r="B34" s="7"/>
      <c r="C34" s="19">
        <f>$F$15/($B$13*$H$13/100)</f>
        <v>8.5392265193370166E-3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79</v>
      </c>
      <c r="B35" s="7"/>
      <c r="C35" s="19">
        <f>$F$16/($B$13*$H$14/100)</f>
        <v>4.4475138121546961E-3</v>
      </c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38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87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 ht="20.100000000000001" customHeight="1">
      <c r="A38" s="9" t="s">
        <v>39</v>
      </c>
      <c r="B38" s="7">
        <f>MIN(MIN(40*MAX(D15,D16),400),MAX(MAX(10*MAX(D15,D16),100),C39*MAX(D15,D16)*0.5/(_As1*100)))/1000</f>
        <v>0.4</v>
      </c>
      <c r="C38" s="7" t="s">
        <v>84</v>
      </c>
      <c r="D38" s="7"/>
      <c r="E38" s="7"/>
      <c r="F38" s="7"/>
      <c r="G38" s="7"/>
      <c r="H38" s="7"/>
      <c r="I38" s="7"/>
      <c r="J38" s="7"/>
    </row>
    <row r="39" spans="1:10" ht="20.100000000000001" customHeight="1">
      <c r="A39" s="7" t="s">
        <v>40</v>
      </c>
      <c r="B39" s="7"/>
      <c r="C39" s="7">
        <f>_b*B40</f>
        <v>500000</v>
      </c>
      <c r="D39" s="14" t="s">
        <v>86</v>
      </c>
      <c r="E39" s="7"/>
      <c r="F39" s="7"/>
      <c r="G39" s="7"/>
      <c r="H39" s="7"/>
      <c r="I39" s="7"/>
      <c r="J39" s="7"/>
    </row>
    <row r="40" spans="1:10" ht="20.100000000000001" customHeight="1">
      <c r="A40" s="7" t="s">
        <v>85</v>
      </c>
      <c r="B40" s="7">
        <f>MIN(MAX((_h-B32),2*_a01),0.5*_h)</f>
        <v>500</v>
      </c>
      <c r="C40" s="7" t="s">
        <v>15</v>
      </c>
      <c r="D40" s="7"/>
      <c r="E40" s="7"/>
      <c r="F40" s="7"/>
      <c r="G40" s="7"/>
      <c r="H40" s="7"/>
      <c r="I40" s="7"/>
      <c r="J40" s="7"/>
    </row>
    <row r="41" spans="1:10" ht="20.100000000000001" customHeight="1">
      <c r="A41" s="9" t="s">
        <v>88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 t="s">
        <v>33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20.100000000000001" customHeight="1">
      <c r="A43" s="7"/>
      <c r="B43" s="7"/>
      <c r="C43" s="7"/>
      <c r="D43" s="7"/>
      <c r="E43" s="7"/>
      <c r="F43" s="7"/>
      <c r="G43" s="20" t="s">
        <v>100</v>
      </c>
      <c r="H43" s="7"/>
      <c r="I43" s="7"/>
      <c r="J43" s="7"/>
    </row>
    <row r="44" spans="1:10" ht="20.100000000000001" customHeight="1">
      <c r="A44" s="7" t="s">
        <v>77</v>
      </c>
      <c r="B44" s="10">
        <f>B29*$D$19*$D$18*$E$6*1000/B30</f>
        <v>440.72316700008588</v>
      </c>
      <c r="C44" s="23" t="s">
        <v>26</v>
      </c>
      <c r="D44" s="7"/>
      <c r="E44" s="7"/>
      <c r="F44" s="7"/>
      <c r="G44" s="7"/>
      <c r="H44" s="7"/>
      <c r="I44" s="7"/>
      <c r="J44" s="7"/>
    </row>
    <row r="45" spans="1:10" ht="20.100000000000001" customHeight="1">
      <c r="A45" s="24" t="str">
        <f>IF(B44&gt;=B26,"Không thỏa mãn điều kiện hình thành vết nứt","Thỏa mãn điều hiện hình thành vết nứt")</f>
        <v>Thỏa mãn điều hiện hình thành vết nứt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6" t="s">
        <v>45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 ht="20.100000000000001" customHeight="1">
      <c r="A47" s="9" t="s">
        <v>27</v>
      </c>
      <c r="B47" s="11">
        <v>1.4</v>
      </c>
      <c r="C47" s="9" t="s">
        <v>28</v>
      </c>
      <c r="D47" s="11">
        <v>0.5</v>
      </c>
      <c r="E47" s="9" t="s">
        <v>29</v>
      </c>
      <c r="F47" s="11">
        <v>1</v>
      </c>
      <c r="G47" s="7"/>
      <c r="H47" s="7"/>
      <c r="I47" s="7"/>
      <c r="J47" s="7"/>
    </row>
    <row r="48" spans="1:10" ht="20.100000000000001" customHeight="1">
      <c r="A48" s="9" t="s">
        <v>37</v>
      </c>
      <c r="B48" s="7">
        <f>1-0.8*$B$44/B25</f>
        <v>0.72668330728676844</v>
      </c>
      <c r="C48" s="7"/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110</v>
      </c>
      <c r="B49" s="19">
        <f>(_b*B32^3/3+_As1*100*H33*(_h01-B32)^2+_As2*100*H33*(B32-_a02)^2)/1000^4</f>
        <v>4.9758035662577103E-2</v>
      </c>
      <c r="C49" s="14" t="s">
        <v>75</v>
      </c>
      <c r="D49" s="7"/>
      <c r="E49" s="7"/>
      <c r="F49" s="7"/>
      <c r="G49" s="7"/>
      <c r="H49" s="7"/>
      <c r="I49" s="7"/>
      <c r="J49" s="7"/>
    </row>
    <row r="50" spans="1:10" ht="20.100000000000001" customHeight="1">
      <c r="A50" s="9" t="s">
        <v>41</v>
      </c>
      <c r="B50" s="7"/>
      <c r="C50" s="7"/>
      <c r="D50" s="7">
        <f>B25*(_h01-$B$32)/1000*$H$33/B49</f>
        <v>208219.67631652174</v>
      </c>
      <c r="E50" s="14" t="s">
        <v>114</v>
      </c>
      <c r="F50" s="7"/>
      <c r="G50" s="7"/>
      <c r="H50" s="7"/>
      <c r="I50" s="7"/>
      <c r="J50" s="7"/>
    </row>
    <row r="51" spans="1:10" ht="20.100000000000001" customHeight="1">
      <c r="A51" s="7" t="s">
        <v>89</v>
      </c>
      <c r="B51" s="7"/>
      <c r="C51" s="7"/>
      <c r="D51" s="7"/>
      <c r="E51" s="21">
        <f>IF(B44&gt;=B26,0,B47*D47*F47*B48*$B$38*D50/($B$10*1000)*1000)</f>
        <v>0.21183366823901859</v>
      </c>
      <c r="F51" s="7" t="s">
        <v>15</v>
      </c>
      <c r="G51" s="7"/>
      <c r="H51" s="7"/>
      <c r="I51" s="7"/>
      <c r="J51" s="7"/>
    </row>
    <row r="52" spans="1:10" ht="20.100000000000001" customHeight="1">
      <c r="A52" s="6" t="s">
        <v>90</v>
      </c>
      <c r="B52" s="7"/>
      <c r="C52" s="7"/>
      <c r="D52" s="7"/>
      <c r="E52" s="7"/>
      <c r="F52" s="7"/>
      <c r="G52" s="7"/>
      <c r="H52" s="7"/>
      <c r="I52" s="7"/>
      <c r="J52" s="7"/>
    </row>
    <row r="53" spans="1:10" ht="20.100000000000001" customHeight="1">
      <c r="A53" s="9" t="s">
        <v>27</v>
      </c>
      <c r="B53" s="11">
        <v>1</v>
      </c>
      <c r="C53" s="9" t="s">
        <v>28</v>
      </c>
      <c r="D53" s="11">
        <v>0.5</v>
      </c>
      <c r="E53" s="9" t="s">
        <v>29</v>
      </c>
      <c r="F53" s="11">
        <v>1</v>
      </c>
      <c r="G53" s="7"/>
      <c r="H53" s="7"/>
      <c r="I53" s="7"/>
      <c r="J53" s="7"/>
    </row>
    <row r="54" spans="1:10" ht="20.100000000000001" customHeight="1">
      <c r="A54" s="9" t="s">
        <v>37</v>
      </c>
      <c r="B54" s="7">
        <f>1-0.8*$B$44/B26</f>
        <v>0.72668330728676844</v>
      </c>
      <c r="C54" s="9"/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110</v>
      </c>
      <c r="B55" s="19">
        <f>(_b*B32^3/3+_As1*100*H33*(_h01-B32)^2+_As2*100*H33*(B32-_a02)^2)/1000^4</f>
        <v>4.9758035662577103E-2</v>
      </c>
      <c r="C55" s="14" t="s">
        <v>75</v>
      </c>
      <c r="D55" s="11"/>
      <c r="E55" s="9"/>
      <c r="F55" s="11"/>
      <c r="G55" s="7"/>
      <c r="H55" s="7"/>
      <c r="I55" s="7"/>
      <c r="J55" s="7"/>
    </row>
    <row r="56" spans="1:10" ht="20.100000000000001" customHeight="1">
      <c r="A56" s="9" t="s">
        <v>41</v>
      </c>
      <c r="B56" s="7"/>
      <c r="C56" s="7"/>
      <c r="D56" s="7">
        <f>B26*(_h01-$B$32)/1000*$H$33/B55</f>
        <v>208219.67631652174</v>
      </c>
      <c r="E56" s="14" t="s">
        <v>114</v>
      </c>
      <c r="F56" s="7"/>
      <c r="G56" s="7"/>
      <c r="H56" s="7"/>
      <c r="I56" s="7"/>
      <c r="J56" s="7"/>
    </row>
    <row r="57" spans="1:10" ht="20.100000000000001" customHeight="1">
      <c r="A57" s="7" t="s">
        <v>93</v>
      </c>
      <c r="B57" s="7"/>
      <c r="C57" s="7"/>
      <c r="D57" s="7"/>
      <c r="E57" s="21">
        <f>IF(B44&gt;=B26,0,B53*D53*F53*B54*$B$38*D56/($B$10*1000)*1000)</f>
        <v>0.15130976302787044</v>
      </c>
      <c r="F57" s="7" t="s">
        <v>15</v>
      </c>
      <c r="G57" s="7"/>
      <c r="H57" s="7"/>
      <c r="I57" s="7"/>
      <c r="J57" s="7"/>
    </row>
    <row r="58" spans="1:10" ht="20.100000000000001" customHeight="1">
      <c r="A58" s="6" t="s">
        <v>91</v>
      </c>
      <c r="B58" s="7"/>
      <c r="C58" s="7"/>
      <c r="D58" s="7"/>
      <c r="E58" s="7"/>
      <c r="F58" s="7"/>
      <c r="G58" s="7"/>
      <c r="H58" s="7"/>
      <c r="I58" s="7"/>
      <c r="J58" s="7"/>
    </row>
    <row r="59" spans="1:10" ht="20.100000000000001" customHeight="1">
      <c r="A59" s="9" t="s">
        <v>27</v>
      </c>
      <c r="B59" s="11">
        <v>1</v>
      </c>
      <c r="C59" s="9" t="s">
        <v>28</v>
      </c>
      <c r="D59" s="11">
        <v>0.5</v>
      </c>
      <c r="E59" s="9" t="s">
        <v>29</v>
      </c>
      <c r="F59" s="11">
        <v>1</v>
      </c>
      <c r="G59" s="7"/>
      <c r="H59" s="7"/>
      <c r="I59" s="7"/>
      <c r="J59" s="7"/>
    </row>
    <row r="60" spans="1:10" ht="20.100000000000001" customHeight="1">
      <c r="A60" s="9" t="s">
        <v>37</v>
      </c>
      <c r="B60" s="7">
        <f>1-0.8*$B$44/B27</f>
        <v>0.72668330728676844</v>
      </c>
      <c r="C60" s="7"/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110</v>
      </c>
      <c r="B61" s="19">
        <f>(_b*B32^3/3+_As1*100*H33*(_h01-B32)^2+_As2*100*H33*(B32-_a02)^2)/1000^4</f>
        <v>4.9758035662577103E-2</v>
      </c>
      <c r="C61" s="14" t="s">
        <v>75</v>
      </c>
      <c r="D61" s="7"/>
      <c r="E61" s="7"/>
      <c r="F61" s="7"/>
      <c r="G61" s="7"/>
      <c r="H61" s="7"/>
      <c r="I61" s="7"/>
      <c r="J61" s="7"/>
    </row>
    <row r="62" spans="1:10" ht="20.100000000000001" customHeight="1">
      <c r="A62" s="9" t="s">
        <v>41</v>
      </c>
      <c r="B62" s="7"/>
      <c r="C62" s="7"/>
      <c r="D62" s="7">
        <f>B27*(_h01-$B$32)/1000*$H$33/B61</f>
        <v>208219.67631652174</v>
      </c>
      <c r="E62" s="14" t="s">
        <v>114</v>
      </c>
      <c r="F62" s="7"/>
      <c r="G62" s="7"/>
      <c r="H62" s="7"/>
      <c r="I62" s="7"/>
      <c r="J62" s="7"/>
    </row>
    <row r="63" spans="1:10" ht="20.100000000000001" customHeight="1">
      <c r="A63" s="7" t="s">
        <v>92</v>
      </c>
      <c r="B63" s="7"/>
      <c r="C63" s="7"/>
      <c r="D63" s="7"/>
      <c r="E63" s="21">
        <f>IF(B44&gt;=B26,0,B59*D59*F59*B60*$B$38*D62/($B$10*1000)*1000)</f>
        <v>0.15130976302787044</v>
      </c>
      <c r="F63" s="7" t="s">
        <v>15</v>
      </c>
      <c r="G63" s="7"/>
      <c r="H63" s="7"/>
      <c r="I63" s="7"/>
      <c r="J63" s="7"/>
    </row>
    <row r="64" spans="1:10" ht="20.100000000000001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6" t="s">
        <v>94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 t="s">
        <v>95</v>
      </c>
      <c r="B66" s="7"/>
      <c r="C66" s="7"/>
      <c r="D66" s="7"/>
      <c r="E66" s="7"/>
      <c r="F66" s="7"/>
      <c r="G66" s="7"/>
      <c r="H66" s="7"/>
      <c r="I66" s="7"/>
      <c r="J66" s="7"/>
    </row>
    <row r="67" spans="1:10" ht="20.100000000000001" customHeight="1">
      <c r="A67" s="7"/>
      <c r="B67" s="7"/>
      <c r="C67" s="7" t="s">
        <v>96</v>
      </c>
      <c r="D67" s="7"/>
      <c r="E67" s="21">
        <f>E51</f>
        <v>0.21183366823901859</v>
      </c>
      <c r="F67" s="7" t="s">
        <v>15</v>
      </c>
      <c r="G67" s="12" t="str">
        <f>IF(E67&lt;=I67,"&lt;","&gt;")</f>
        <v>&gt;</v>
      </c>
      <c r="H67" s="7" t="s">
        <v>97</v>
      </c>
      <c r="I67" s="7">
        <v>0.2</v>
      </c>
      <c r="J67" s="7" t="s">
        <v>15</v>
      </c>
    </row>
    <row r="68" spans="1:10" ht="20.100000000000001" customHeight="1">
      <c r="A68" s="24" t="str">
        <f>IF(E67&lt;I67,"Đảm bảo điều kiện bề rộng vết nứt ngắn hạn (Bảng 17 TCVN 5574:2018)","Không đảm bảo điều kiện bề rộng vết nứt ngắn hạn (Bảng 17 TCVN 5574:2018)")</f>
        <v>Không đảm bảo điều kiện bề rộng vết nứt ngắn hạn (Bảng 17 TCVN 5574:2018)</v>
      </c>
      <c r="B68" s="7"/>
      <c r="C68" s="7"/>
      <c r="D68" s="7"/>
      <c r="E68" s="21"/>
      <c r="F68" s="7"/>
      <c r="G68" s="7"/>
      <c r="H68" s="7"/>
      <c r="I68" s="7"/>
      <c r="J68" s="7"/>
    </row>
    <row r="69" spans="1:10" ht="20.100000000000001" customHeight="1">
      <c r="A69" s="7" t="s">
        <v>98</v>
      </c>
      <c r="B69" s="7"/>
      <c r="C69" s="7"/>
      <c r="D69" s="7"/>
      <c r="E69" s="7"/>
      <c r="F69" s="7"/>
      <c r="G69" s="7"/>
      <c r="H69" s="7"/>
      <c r="I69" s="7"/>
      <c r="J69" s="7"/>
    </row>
    <row r="70" spans="1:10" ht="20.100000000000001" customHeight="1">
      <c r="A70" s="7"/>
      <c r="B70" s="7" t="s">
        <v>99</v>
      </c>
      <c r="C70" s="7"/>
      <c r="D70" s="7"/>
      <c r="E70" s="21">
        <f>E51+E57-E63</f>
        <v>0.21183366823901859</v>
      </c>
      <c r="F70" s="7" t="s">
        <v>15</v>
      </c>
      <c r="G70" s="12" t="str">
        <f>IF(E70&lt;I70,"&lt;","&gt;")</f>
        <v>&lt;</v>
      </c>
      <c r="H70" s="7" t="s">
        <v>97</v>
      </c>
      <c r="I70" s="7">
        <v>0.3</v>
      </c>
      <c r="J70" s="7" t="s">
        <v>15</v>
      </c>
    </row>
    <row r="71" spans="1:10" ht="20.100000000000001" customHeight="1">
      <c r="A71" s="24" t="str">
        <f>IF(E70&lt;I70,"Đảm bảo điều kiện bề rộng vết nứt dài hạn (Bảng 17 TCVN 5574:2018)","Không đảm bảo điều kiện bề rộng vết nứt dài hạn (Bảng 17 TCVN 5574:2018)")</f>
        <v>Đảm bảo điều kiện bề rộng vết nứt dài hạn (Bảng 17 TCVN 5574:2018)</v>
      </c>
      <c r="B71" s="7"/>
      <c r="C71" s="7"/>
      <c r="D71" s="7"/>
      <c r="E71" s="7"/>
      <c r="F71" s="7"/>
      <c r="G71" s="7"/>
      <c r="H71" s="7"/>
      <c r="I71" s="7"/>
      <c r="J71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DATA!$B$3:$B$12</xm:f>
          </x14:formula1>
          <xm:sqref>C4</xm:sqref>
        </x14:dataValidation>
        <x14:dataValidation type="list" allowBlank="1" showInputMessage="1" showErrorMessage="1">
          <x14:formula1>
            <xm:f>DATA!$B$16:$B$23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TINH TOAN</vt:lpstr>
      <vt:lpstr>DATA</vt:lpstr>
      <vt:lpstr>_a01</vt:lpstr>
      <vt:lpstr>_a02</vt:lpstr>
      <vt:lpstr>_As1</vt:lpstr>
      <vt:lpstr>_As2</vt:lpstr>
      <vt:lpstr>_b</vt:lpstr>
      <vt:lpstr>_h</vt:lpstr>
      <vt:lpstr>_h01</vt:lpstr>
      <vt:lpstr>_h02</vt:lpstr>
      <vt:lpstr>'TINH TOAN'!Print_Area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2022-09-07T05:39:25Z</dcterms:modified>
</cp:coreProperties>
</file>