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92.168.1.253\ts1\#Thu muc ca nhan\03. Vo Trung Hieu\1.USER\THAM TRA CHO SAT\"/>
    </mc:Choice>
  </mc:AlternateContent>
  <bookViews>
    <workbookView xWindow="0" yWindow="0" windowWidth="28800" windowHeight="12330" activeTab="2"/>
  </bookViews>
  <sheets>
    <sheet name="Data" sheetId="1" r:id="rId1"/>
    <sheet name="Sheet3" sheetId="3" r:id="rId2"/>
    <sheet name="Cal-M" sheetId="2" r:id="rId3"/>
    <sheet name="Cal-V" sheetId="4" r:id="rId4"/>
    <sheet name="Cal-T" sheetId="5" r:id="rId5"/>
  </sheets>
  <definedNames>
    <definedName name="_xlnm.Print_Area" localSheetId="2">'Cal-M'!$A$1:$U$34</definedName>
    <definedName name="_xlnm.Print_Area" localSheetId="4">'Cal-T'!$A$1:$X$37</definedName>
    <definedName name="_xlnm.Print_Area" localSheetId="3">'Cal-V'!$A$1:$X$37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8" i="5" l="1"/>
  <c r="J28" i="5"/>
  <c r="E28" i="5"/>
  <c r="W27" i="5"/>
  <c r="O27" i="5"/>
  <c r="M27" i="5"/>
  <c r="K27" i="5"/>
  <c r="J27" i="5"/>
  <c r="H27" i="5"/>
  <c r="S26" i="5"/>
  <c r="H26" i="5"/>
  <c r="H28" i="5" s="1"/>
  <c r="E26" i="5"/>
  <c r="W25" i="5"/>
  <c r="O25" i="5"/>
  <c r="M25" i="5"/>
  <c r="K25" i="5"/>
  <c r="J25" i="5"/>
  <c r="H25" i="5"/>
  <c r="J26" i="5" s="1"/>
  <c r="C25" i="5"/>
  <c r="K27" i="4"/>
  <c r="K25" i="4"/>
  <c r="K23" i="4"/>
  <c r="K21" i="4"/>
  <c r="U28" i="4"/>
  <c r="M27" i="4"/>
  <c r="I27" i="4"/>
  <c r="H27" i="4"/>
  <c r="U26" i="4"/>
  <c r="H26" i="4"/>
  <c r="H28" i="4" s="1"/>
  <c r="I25" i="4"/>
  <c r="H25" i="4"/>
  <c r="K27" i="2"/>
  <c r="K23" i="2"/>
  <c r="I25" i="2"/>
  <c r="I21" i="2"/>
  <c r="T28" i="2"/>
  <c r="G28" i="2"/>
  <c r="T27" i="2"/>
  <c r="H27" i="2"/>
  <c r="T26" i="2"/>
  <c r="W25" i="2"/>
  <c r="V25" i="2"/>
  <c r="T25" i="2"/>
  <c r="H25" i="2"/>
  <c r="V21" i="2"/>
  <c r="Q9" i="2"/>
  <c r="E8" i="5"/>
  <c r="E8" i="4"/>
  <c r="W21" i="2"/>
  <c r="E8" i="2"/>
  <c r="S24" i="5"/>
  <c r="S22" i="5"/>
  <c r="C21" i="5"/>
  <c r="B21" i="5"/>
  <c r="A21" i="5"/>
  <c r="L25" i="5" l="1"/>
  <c r="L27" i="5"/>
  <c r="N27" i="5"/>
  <c r="P27" i="5" s="1"/>
  <c r="N25" i="5"/>
  <c r="P25" i="5" s="1"/>
  <c r="J25" i="4"/>
  <c r="P25" i="4"/>
  <c r="R27" i="4" s="1"/>
  <c r="L27" i="4"/>
  <c r="R25" i="4"/>
  <c r="L25" i="4"/>
  <c r="M25" i="4"/>
  <c r="J27" i="2"/>
  <c r="O27" i="2" s="1"/>
  <c r="U28" i="2" s="1"/>
  <c r="J25" i="2"/>
  <c r="K25" i="2" s="1"/>
  <c r="C9" i="5"/>
  <c r="Q25" i="5" l="1"/>
  <c r="R25" i="5" s="1"/>
  <c r="X25" i="5" s="1"/>
  <c r="V25" i="5"/>
  <c r="Q27" i="5"/>
  <c r="R27" i="5"/>
  <c r="X27" i="5" s="1"/>
  <c r="V27" i="5"/>
  <c r="O25" i="4"/>
  <c r="S25" i="4" s="1"/>
  <c r="T25" i="4" s="1"/>
  <c r="X25" i="4" s="1"/>
  <c r="N25" i="4"/>
  <c r="O27" i="4"/>
  <c r="S27" i="4" s="1"/>
  <c r="T27" i="4" s="1"/>
  <c r="X27" i="4" s="1"/>
  <c r="O25" i="2"/>
  <c r="U26" i="2" s="1"/>
  <c r="L27" i="2"/>
  <c r="M27" i="2"/>
  <c r="N27" i="2" s="1"/>
  <c r="U27" i="2" s="1"/>
  <c r="L25" i="2"/>
  <c r="M25" i="2"/>
  <c r="N25" i="2" s="1"/>
  <c r="U25" i="2" s="1"/>
  <c r="X27" i="2"/>
  <c r="J24" i="5"/>
  <c r="H23" i="5"/>
  <c r="H22" i="5"/>
  <c r="H21" i="5"/>
  <c r="E24" i="5"/>
  <c r="E22" i="5"/>
  <c r="E10" i="5"/>
  <c r="K16" i="5" s="1"/>
  <c r="C7" i="5"/>
  <c r="M5" i="5"/>
  <c r="M4" i="5"/>
  <c r="C4" i="5"/>
  <c r="M3" i="5"/>
  <c r="C3" i="5"/>
  <c r="C21" i="4"/>
  <c r="B21" i="4"/>
  <c r="A21" i="4"/>
  <c r="M4" i="4"/>
  <c r="M3" i="4"/>
  <c r="U24" i="4"/>
  <c r="I23" i="4"/>
  <c r="U22" i="4"/>
  <c r="I21" i="4"/>
  <c r="H22" i="4"/>
  <c r="H23" i="4"/>
  <c r="H21" i="4"/>
  <c r="E9" i="4"/>
  <c r="I16" i="4" s="1"/>
  <c r="C7" i="4"/>
  <c r="C4" i="4"/>
  <c r="C3" i="4"/>
  <c r="M5" i="4"/>
  <c r="M5" i="2"/>
  <c r="X25" i="2" l="1"/>
  <c r="K23" i="5"/>
  <c r="K21" i="5"/>
  <c r="J21" i="5"/>
  <c r="J22" i="5" s="1"/>
  <c r="F16" i="5"/>
  <c r="H24" i="5"/>
  <c r="H24" i="4"/>
  <c r="E16" i="4"/>
  <c r="T24" i="2"/>
  <c r="T23" i="2"/>
  <c r="W23" i="5" s="1"/>
  <c r="T22" i="2"/>
  <c r="T21" i="2"/>
  <c r="W21" i="5" s="1"/>
  <c r="L23" i="5" l="1"/>
  <c r="L21" i="5"/>
  <c r="J23" i="5"/>
  <c r="J21" i="4"/>
  <c r="P21" i="4"/>
  <c r="E10" i="2" l="1"/>
  <c r="G24" i="2" l="1"/>
  <c r="E9" i="2"/>
  <c r="E9" i="5" s="1"/>
  <c r="E7" i="2"/>
  <c r="E16" i="5" l="1"/>
  <c r="J16" i="5"/>
  <c r="E7" i="4"/>
  <c r="H16" i="4" s="1"/>
  <c r="M23" i="4" s="1"/>
  <c r="E7" i="5"/>
  <c r="N21" i="4"/>
  <c r="H16" i="2"/>
  <c r="D16" i="2"/>
  <c r="I16" i="2"/>
  <c r="E16" i="2"/>
  <c r="L16" i="2"/>
  <c r="K16" i="2"/>
  <c r="M16" i="2"/>
  <c r="N16" i="2" s="1"/>
  <c r="D16" i="4" l="1"/>
  <c r="M21" i="4" s="1"/>
  <c r="L16" i="4"/>
  <c r="H23" i="2"/>
  <c r="J23" i="2" s="1"/>
  <c r="O23" i="2" s="1"/>
  <c r="U24" i="2" s="1"/>
  <c r="D16" i="5"/>
  <c r="I16" i="5"/>
  <c r="N16" i="5"/>
  <c r="H21" i="2"/>
  <c r="J21" i="2" s="1"/>
  <c r="O21" i="2" s="1"/>
  <c r="U22" i="2" s="1"/>
  <c r="R23" i="4"/>
  <c r="O23" i="5" s="1"/>
  <c r="R21" i="4"/>
  <c r="O21" i="5" s="1"/>
  <c r="N21" i="5" l="1"/>
  <c r="N23" i="5"/>
  <c r="K21" i="2"/>
  <c r="M23" i="2"/>
  <c r="N23" i="2" s="1"/>
  <c r="X23" i="2" s="1"/>
  <c r="L23" i="2"/>
  <c r="L21" i="2"/>
  <c r="M21" i="2" s="1"/>
  <c r="N21" i="2" s="1"/>
  <c r="X21" i="2" s="1"/>
  <c r="U23" i="2" l="1"/>
  <c r="L23" i="4"/>
  <c r="O23" i="4" s="1"/>
  <c r="U21" i="2"/>
  <c r="L21" i="4"/>
  <c r="O21" i="4" s="1"/>
  <c r="M23" i="5" l="1"/>
  <c r="P23" i="5" s="1"/>
  <c r="S23" i="4"/>
  <c r="T23" i="4" s="1"/>
  <c r="X23" i="4" s="1"/>
  <c r="S21" i="4"/>
  <c r="M21" i="5"/>
  <c r="P21" i="5" s="1"/>
  <c r="V23" i="5" l="1"/>
  <c r="Q23" i="5"/>
  <c r="R23" i="5"/>
  <c r="V21" i="5"/>
  <c r="Q21" i="5"/>
  <c r="R21" i="5" s="1"/>
  <c r="T21" i="4"/>
  <c r="X21" i="4" s="1"/>
  <c r="X23" i="5" l="1"/>
  <c r="X21" i="5"/>
</calcChain>
</file>

<file path=xl/sharedStrings.xml><?xml version="1.0" encoding="utf-8"?>
<sst xmlns="http://schemas.openxmlformats.org/spreadsheetml/2006/main" count="328" uniqueCount="146">
  <si>
    <t>TCVN</t>
  </si>
  <si>
    <t>Eurocode</t>
  </si>
  <si>
    <t>B12.5</t>
  </si>
  <si>
    <t>C8/10</t>
  </si>
  <si>
    <t>B15</t>
  </si>
  <si>
    <t>C12/15</t>
  </si>
  <si>
    <t>B20</t>
  </si>
  <si>
    <t>C16/20</t>
  </si>
  <si>
    <t>B22.5</t>
  </si>
  <si>
    <t>C18/22</t>
  </si>
  <si>
    <t>B25</t>
  </si>
  <si>
    <t>C20/25</t>
  </si>
  <si>
    <t>B30</t>
  </si>
  <si>
    <t>C25/30</t>
  </si>
  <si>
    <t>B35</t>
  </si>
  <si>
    <t>C30/37</t>
  </si>
  <si>
    <t>B40</t>
  </si>
  <si>
    <t>C32/40</t>
  </si>
  <si>
    <t>B45</t>
  </si>
  <si>
    <t>C35/45</t>
  </si>
  <si>
    <t>B50</t>
  </si>
  <si>
    <t>C40/50</t>
  </si>
  <si>
    <t>B55</t>
  </si>
  <si>
    <t>C45/55</t>
  </si>
  <si>
    <t>B60</t>
  </si>
  <si>
    <t>C50/60</t>
  </si>
  <si>
    <t>B65</t>
  </si>
  <si>
    <t>C55/67</t>
  </si>
  <si>
    <t>B70</t>
  </si>
  <si>
    <t>C60/75</t>
  </si>
  <si>
    <t>B80</t>
  </si>
  <si>
    <t>C70/85</t>
  </si>
  <si>
    <t>B90</t>
  </si>
  <si>
    <t>C80/95</t>
  </si>
  <si>
    <t>B100</t>
  </si>
  <si>
    <t>C90/105</t>
  </si>
  <si>
    <t>STEEL</t>
  </si>
  <si>
    <t>NAME</t>
  </si>
  <si>
    <r>
      <t>E</t>
    </r>
    <r>
      <rPr>
        <b/>
        <vertAlign val="subscript"/>
        <sz val="13"/>
        <color theme="1"/>
        <rFont val="Times New Roman"/>
        <family val="1"/>
      </rPr>
      <t>s</t>
    </r>
  </si>
  <si>
    <t>CB240T</t>
  </si>
  <si>
    <t>CB300T</t>
  </si>
  <si>
    <t>CB300V</t>
  </si>
  <si>
    <t>CB400V</t>
  </si>
  <si>
    <t>CB500V</t>
  </si>
  <si>
    <r>
      <t>f</t>
    </r>
    <r>
      <rPr>
        <vertAlign val="subscript"/>
        <sz val="13"/>
        <color theme="1"/>
        <rFont val="Times New Roman"/>
        <family val="1"/>
      </rPr>
      <t>ctm</t>
    </r>
  </si>
  <si>
    <r>
      <t>f</t>
    </r>
    <r>
      <rPr>
        <vertAlign val="subscript"/>
        <sz val="13"/>
        <color theme="1"/>
        <rFont val="Times New Roman"/>
        <family val="1"/>
      </rPr>
      <t>ck</t>
    </r>
  </si>
  <si>
    <r>
      <t>N/mm</t>
    </r>
    <r>
      <rPr>
        <i/>
        <vertAlign val="superscript"/>
        <sz val="13"/>
        <color theme="1"/>
        <rFont val="Times New Roman"/>
        <family val="1"/>
      </rPr>
      <t>2</t>
    </r>
  </si>
  <si>
    <t>1. Vật liệu sử dụng</t>
  </si>
  <si>
    <t>Bê tông</t>
  </si>
  <si>
    <r>
      <t>(N/mm</t>
    </r>
    <r>
      <rPr>
        <i/>
        <vertAlign val="superscript"/>
        <sz val="13"/>
        <color theme="1"/>
        <rFont val="Times New Roman"/>
        <family val="1"/>
      </rPr>
      <t>2</t>
    </r>
    <r>
      <rPr>
        <i/>
        <sz val="13"/>
        <color theme="1"/>
        <rFont val="Times New Roman"/>
        <family val="1"/>
      </rPr>
      <t>)</t>
    </r>
  </si>
  <si>
    <t>Cốt thép dọc</t>
  </si>
  <si>
    <r>
      <t>f</t>
    </r>
    <r>
      <rPr>
        <b/>
        <vertAlign val="subscript"/>
        <sz val="13"/>
        <color theme="1"/>
        <rFont val="Times New Roman"/>
        <family val="1"/>
      </rPr>
      <t>y</t>
    </r>
    <r>
      <rPr>
        <b/>
        <sz val="13"/>
        <color theme="1"/>
        <rFont val="Times New Roman"/>
        <family val="1"/>
      </rPr>
      <t>, f</t>
    </r>
    <r>
      <rPr>
        <b/>
        <vertAlign val="subscript"/>
        <sz val="13"/>
        <color theme="1"/>
        <rFont val="Times New Roman"/>
        <family val="1"/>
      </rPr>
      <t>yw</t>
    </r>
  </si>
  <si>
    <t>Cốt thép đai</t>
  </si>
  <si>
    <t>Nội lực</t>
  </si>
  <si>
    <t>m</t>
  </si>
  <si>
    <t>(KNm)</t>
  </si>
  <si>
    <t>(KN)</t>
  </si>
  <si>
    <t>Tiết diện</t>
  </si>
  <si>
    <t>(mm)</t>
  </si>
  <si>
    <r>
      <t>M</t>
    </r>
    <r>
      <rPr>
        <b/>
        <vertAlign val="subscript"/>
        <sz val="13"/>
        <color theme="1"/>
        <rFont val="Times New Roman"/>
        <family val="1"/>
      </rPr>
      <t>Ed</t>
    </r>
  </si>
  <si>
    <r>
      <t>V</t>
    </r>
    <r>
      <rPr>
        <b/>
        <vertAlign val="subscript"/>
        <sz val="13"/>
        <color theme="1"/>
        <rFont val="Times New Roman"/>
        <family val="1"/>
      </rPr>
      <t>Ed</t>
    </r>
  </si>
  <si>
    <r>
      <t>f</t>
    </r>
    <r>
      <rPr>
        <b/>
        <vertAlign val="subscript"/>
        <sz val="13"/>
        <color theme="1"/>
        <rFont val="Times New Roman"/>
        <family val="1"/>
      </rPr>
      <t>cd</t>
    </r>
  </si>
  <si>
    <r>
      <t>m</t>
    </r>
    <r>
      <rPr>
        <b/>
        <vertAlign val="subscript"/>
        <sz val="13"/>
        <color theme="1"/>
        <rFont val="Times New Roman"/>
        <family val="1"/>
      </rPr>
      <t>lim</t>
    </r>
  </si>
  <si>
    <t>ω</t>
  </si>
  <si>
    <r>
      <t>f</t>
    </r>
    <r>
      <rPr>
        <b/>
        <vertAlign val="subscript"/>
        <sz val="13"/>
        <color theme="1"/>
        <rFont val="Times New Roman"/>
        <family val="1"/>
      </rPr>
      <t>yd</t>
    </r>
  </si>
  <si>
    <r>
      <t>(cm</t>
    </r>
    <r>
      <rPr>
        <i/>
        <vertAlign val="superscript"/>
        <sz val="13"/>
        <color theme="1"/>
        <rFont val="Times New Roman"/>
        <family val="1"/>
      </rPr>
      <t>2</t>
    </r>
    <r>
      <rPr>
        <i/>
        <sz val="13"/>
        <color theme="1"/>
        <rFont val="Times New Roman"/>
        <family val="1"/>
      </rPr>
      <t>)</t>
    </r>
  </si>
  <si>
    <t>ω'</t>
  </si>
  <si>
    <r>
      <t>ω</t>
    </r>
    <r>
      <rPr>
        <b/>
        <vertAlign val="subscript"/>
        <sz val="13"/>
        <color theme="1"/>
        <rFont val="Times New Roman"/>
        <family val="1"/>
      </rPr>
      <t>lim</t>
    </r>
  </si>
  <si>
    <t>Tổ hợp cơ bản (THCB)</t>
  </si>
  <si>
    <t>Tổ hợp đặc biệt (THDB)</t>
  </si>
  <si>
    <r>
      <t>N</t>
    </r>
    <r>
      <rPr>
        <b/>
        <vertAlign val="subscript"/>
        <sz val="13"/>
        <color theme="1"/>
        <rFont val="Times New Roman"/>
        <family val="1"/>
      </rPr>
      <t>Ed</t>
    </r>
  </si>
  <si>
    <r>
      <t>T</t>
    </r>
    <r>
      <rPr>
        <b/>
        <vertAlign val="subscript"/>
        <sz val="13"/>
        <color theme="1"/>
        <rFont val="Times New Roman"/>
        <family val="1"/>
      </rPr>
      <t>Ed</t>
    </r>
  </si>
  <si>
    <t>THCB</t>
  </si>
  <si>
    <t>THDB</t>
  </si>
  <si>
    <t>Bố trí</t>
  </si>
  <si>
    <t>Kết luận</t>
  </si>
  <si>
    <r>
      <rPr>
        <b/>
        <sz val="13"/>
        <color theme="1"/>
        <rFont val="Times New Roman"/>
        <family val="1"/>
      </rPr>
      <t>b</t>
    </r>
    <r>
      <rPr>
        <sz val="13"/>
        <color theme="1"/>
        <rFont val="Times New Roman"/>
        <family val="1"/>
      </rPr>
      <t xml:space="preserve"> </t>
    </r>
    <r>
      <rPr>
        <i/>
        <sz val="13"/>
        <color theme="1"/>
        <rFont val="Times New Roman"/>
        <family val="1"/>
      </rPr>
      <t>(mm)</t>
    </r>
  </si>
  <si>
    <r>
      <rPr>
        <b/>
        <sz val="13"/>
        <color theme="1"/>
        <rFont val="Times New Roman"/>
        <family val="1"/>
      </rPr>
      <t>h</t>
    </r>
    <r>
      <rPr>
        <sz val="13"/>
        <color theme="1"/>
        <rFont val="Times New Roman"/>
        <family val="1"/>
      </rPr>
      <t xml:space="preserve"> </t>
    </r>
    <r>
      <rPr>
        <i/>
        <sz val="13"/>
        <color theme="1"/>
        <rFont val="Times New Roman"/>
        <family val="1"/>
      </rPr>
      <t>(mm)</t>
    </r>
  </si>
  <si>
    <r>
      <rPr>
        <b/>
        <sz val="13"/>
        <color theme="1"/>
        <rFont val="Times New Roman"/>
        <family val="1"/>
      </rPr>
      <t>d</t>
    </r>
    <r>
      <rPr>
        <sz val="13"/>
        <color theme="1"/>
        <rFont val="Times New Roman"/>
        <family val="1"/>
      </rPr>
      <t xml:space="preserve"> </t>
    </r>
    <r>
      <rPr>
        <i/>
        <sz val="13"/>
        <color theme="1"/>
        <rFont val="Times New Roman"/>
        <family val="1"/>
      </rPr>
      <t>(mm)</t>
    </r>
  </si>
  <si>
    <r>
      <rPr>
        <b/>
        <sz val="13"/>
        <color theme="1"/>
        <rFont val="Times New Roman"/>
        <family val="1"/>
      </rPr>
      <t>d'</t>
    </r>
    <r>
      <rPr>
        <sz val="13"/>
        <color theme="1"/>
        <rFont val="Times New Roman"/>
        <family val="1"/>
      </rPr>
      <t xml:space="preserve"> </t>
    </r>
    <r>
      <rPr>
        <i/>
        <sz val="13"/>
        <color theme="1"/>
        <rFont val="Times New Roman"/>
        <family val="1"/>
      </rPr>
      <t>(mm)</t>
    </r>
  </si>
  <si>
    <t>TH tính toán</t>
  </si>
  <si>
    <t>Vị trí mặt cắt</t>
  </si>
  <si>
    <t>Tên cấu kiện</t>
  </si>
  <si>
    <t>Tầng</t>
  </si>
  <si>
    <t>B2-01</t>
  </si>
  <si>
    <t>Gối</t>
  </si>
  <si>
    <t>η</t>
  </si>
  <si>
    <t>λ</t>
  </si>
  <si>
    <t>2. Bảng thông số, hệ số</t>
  </si>
  <si>
    <t>3. Bảng tính</t>
  </si>
  <si>
    <t>Bảng</t>
  </si>
  <si>
    <t>TÍNH TOÁN CỐT THÉP CHỊU UỐN</t>
  </si>
  <si>
    <t>Dự án</t>
  </si>
  <si>
    <t>Địa điểm</t>
  </si>
  <si>
    <t>Tiêu chuẩn</t>
  </si>
  <si>
    <t>Eurocode 2 - 2004</t>
  </si>
  <si>
    <t>Tính toán</t>
  </si>
  <si>
    <t>Kiểm tra</t>
  </si>
  <si>
    <t>Ngày</t>
  </si>
  <si>
    <t>BMT</t>
  </si>
  <si>
    <t>xxx</t>
  </si>
  <si>
    <r>
      <t>γ</t>
    </r>
    <r>
      <rPr>
        <b/>
        <vertAlign val="subscript"/>
        <sz val="13"/>
        <color theme="1"/>
        <rFont val="Times New Roman"/>
        <family val="1"/>
      </rPr>
      <t>c</t>
    </r>
  </si>
  <si>
    <r>
      <t>γ</t>
    </r>
    <r>
      <rPr>
        <b/>
        <vertAlign val="subscript"/>
        <sz val="13"/>
        <color theme="1"/>
        <rFont val="Times New Roman"/>
        <family val="1"/>
      </rPr>
      <t>s</t>
    </r>
  </si>
  <si>
    <r>
      <t>α</t>
    </r>
    <r>
      <rPr>
        <b/>
        <vertAlign val="subscript"/>
        <sz val="13"/>
        <color theme="1"/>
        <rFont val="Times New Roman"/>
        <family val="1"/>
      </rPr>
      <t>cc</t>
    </r>
  </si>
  <si>
    <r>
      <t>ε</t>
    </r>
    <r>
      <rPr>
        <b/>
        <vertAlign val="subscript"/>
        <sz val="13"/>
        <color theme="1"/>
        <rFont val="Times New Roman"/>
        <family val="1"/>
      </rPr>
      <t>CU2</t>
    </r>
  </si>
  <si>
    <r>
      <t>(x/d)</t>
    </r>
    <r>
      <rPr>
        <b/>
        <vertAlign val="subscript"/>
        <sz val="13"/>
        <color theme="1"/>
        <rFont val="Times New Roman"/>
        <family val="1"/>
      </rPr>
      <t>lim</t>
    </r>
  </si>
  <si>
    <r>
      <t>f</t>
    </r>
    <r>
      <rPr>
        <b/>
        <vertAlign val="subscript"/>
        <sz val="13"/>
        <color theme="1"/>
        <rFont val="Times New Roman"/>
        <family val="1"/>
      </rPr>
      <t>ck</t>
    </r>
    <r>
      <rPr>
        <b/>
        <sz val="13"/>
        <color theme="1"/>
        <rFont val="Times New Roman"/>
        <family val="1"/>
      </rPr>
      <t xml:space="preserve"> = </t>
    </r>
  </si>
  <si>
    <r>
      <t>f</t>
    </r>
    <r>
      <rPr>
        <b/>
        <vertAlign val="subscript"/>
        <sz val="13"/>
        <color theme="1"/>
        <rFont val="Times New Roman"/>
        <family val="1"/>
      </rPr>
      <t>y</t>
    </r>
    <r>
      <rPr>
        <b/>
        <sz val="13"/>
        <color theme="1"/>
        <rFont val="Times New Roman"/>
        <family val="1"/>
      </rPr>
      <t xml:space="preserve"> = </t>
    </r>
  </si>
  <si>
    <r>
      <t>E</t>
    </r>
    <r>
      <rPr>
        <b/>
        <vertAlign val="subscript"/>
        <sz val="13"/>
        <color theme="1"/>
        <rFont val="Times New Roman"/>
        <family val="1"/>
      </rPr>
      <t>s</t>
    </r>
    <r>
      <rPr>
        <b/>
        <sz val="13"/>
        <color theme="1"/>
        <rFont val="Times New Roman"/>
        <family val="1"/>
      </rPr>
      <t xml:space="preserve"> = </t>
    </r>
  </si>
  <si>
    <t>TÍNH TOÁN CỐT THÉP CHỊU CẮT</t>
  </si>
  <si>
    <r>
      <t>f</t>
    </r>
    <r>
      <rPr>
        <b/>
        <vertAlign val="subscript"/>
        <sz val="13"/>
        <color theme="1"/>
        <rFont val="Times New Roman"/>
        <family val="1"/>
      </rPr>
      <t>yw</t>
    </r>
    <r>
      <rPr>
        <b/>
        <sz val="13"/>
        <color theme="1"/>
        <rFont val="Times New Roman"/>
        <family val="1"/>
      </rPr>
      <t xml:space="preserve"> = </t>
    </r>
  </si>
  <si>
    <r>
      <t>f</t>
    </r>
    <r>
      <rPr>
        <b/>
        <vertAlign val="subscript"/>
        <sz val="13"/>
        <color theme="1"/>
        <rFont val="Times New Roman"/>
        <family val="1"/>
      </rPr>
      <t>ywd</t>
    </r>
  </si>
  <si>
    <r>
      <t>(mm</t>
    </r>
    <r>
      <rPr>
        <i/>
        <vertAlign val="superscript"/>
        <sz val="13"/>
        <color theme="1"/>
        <rFont val="Times New Roman"/>
        <family val="1"/>
      </rPr>
      <t>2</t>
    </r>
    <r>
      <rPr>
        <i/>
        <sz val="13"/>
        <color theme="1"/>
        <rFont val="Times New Roman"/>
        <family val="1"/>
      </rPr>
      <t>/mm)</t>
    </r>
  </si>
  <si>
    <r>
      <t>α</t>
    </r>
    <r>
      <rPr>
        <b/>
        <vertAlign val="subscript"/>
        <sz val="13"/>
        <color theme="1"/>
        <rFont val="Times New Roman"/>
        <family val="1"/>
      </rPr>
      <t>c</t>
    </r>
  </si>
  <si>
    <r>
      <t>C</t>
    </r>
    <r>
      <rPr>
        <b/>
        <vertAlign val="subscript"/>
        <sz val="13"/>
        <color theme="1"/>
        <rFont val="Times New Roman"/>
        <family val="1"/>
      </rPr>
      <t>Rd, c</t>
    </r>
  </si>
  <si>
    <t>k</t>
  </si>
  <si>
    <r>
      <t>ν</t>
    </r>
    <r>
      <rPr>
        <vertAlign val="subscript"/>
        <sz val="13"/>
        <color theme="1"/>
        <rFont val="Times New Roman"/>
        <family val="1"/>
      </rPr>
      <t>min</t>
    </r>
  </si>
  <si>
    <t>z</t>
  </si>
  <si>
    <t>ν</t>
  </si>
  <si>
    <t>θ</t>
  </si>
  <si>
    <r>
      <t>T</t>
    </r>
    <r>
      <rPr>
        <b/>
        <vertAlign val="subscript"/>
        <sz val="13"/>
        <color theme="1"/>
        <rFont val="Times New Roman"/>
        <family val="1"/>
      </rPr>
      <t>ed</t>
    </r>
  </si>
  <si>
    <t>(KN, KNm)</t>
  </si>
  <si>
    <r>
      <t>f</t>
    </r>
    <r>
      <rPr>
        <b/>
        <vertAlign val="subscript"/>
        <sz val="13"/>
        <color theme="1"/>
        <rFont val="Times New Roman"/>
        <family val="1"/>
      </rPr>
      <t>ctm</t>
    </r>
    <r>
      <rPr>
        <b/>
        <sz val="13"/>
        <color theme="1"/>
        <rFont val="Times New Roman"/>
        <family val="1"/>
      </rPr>
      <t xml:space="preserve"> = </t>
    </r>
  </si>
  <si>
    <r>
      <t>t</t>
    </r>
    <r>
      <rPr>
        <vertAlign val="subscript"/>
        <sz val="13"/>
        <color theme="1"/>
        <rFont val="Times New Roman"/>
        <family val="1"/>
      </rPr>
      <t>ef</t>
    </r>
    <r>
      <rPr>
        <sz val="13"/>
        <color theme="1"/>
        <rFont val="Times New Roman"/>
        <family val="1"/>
      </rPr>
      <t xml:space="preserve"> </t>
    </r>
    <r>
      <rPr>
        <i/>
        <sz val="13"/>
        <color theme="1"/>
        <rFont val="Times New Roman"/>
        <family val="1"/>
      </rPr>
      <t>(mm)</t>
    </r>
  </si>
  <si>
    <r>
      <t>A</t>
    </r>
    <r>
      <rPr>
        <vertAlign val="subscript"/>
        <sz val="13"/>
        <color theme="1"/>
        <rFont val="Times New Roman"/>
        <family val="1"/>
      </rPr>
      <t>k</t>
    </r>
    <r>
      <rPr>
        <sz val="13"/>
        <color theme="1"/>
        <rFont val="Times New Roman"/>
        <family val="1"/>
      </rPr>
      <t xml:space="preserve"> </t>
    </r>
    <r>
      <rPr>
        <i/>
        <sz val="13"/>
        <color theme="1"/>
        <rFont val="Times New Roman"/>
        <family val="1"/>
      </rPr>
      <t>(mm</t>
    </r>
    <r>
      <rPr>
        <i/>
        <vertAlign val="superscript"/>
        <sz val="13"/>
        <color theme="1"/>
        <rFont val="Times New Roman"/>
        <family val="1"/>
      </rPr>
      <t>2</t>
    </r>
    <r>
      <rPr>
        <i/>
        <sz val="13"/>
        <color theme="1"/>
        <rFont val="Times New Roman"/>
        <family val="1"/>
      </rPr>
      <t>)</t>
    </r>
  </si>
  <si>
    <r>
      <t>u</t>
    </r>
    <r>
      <rPr>
        <vertAlign val="subscript"/>
        <sz val="13"/>
        <color theme="1"/>
        <rFont val="Times New Roman"/>
        <family val="1"/>
      </rPr>
      <t>k</t>
    </r>
    <r>
      <rPr>
        <sz val="13"/>
        <color theme="1"/>
        <rFont val="Times New Roman"/>
        <family val="1"/>
      </rPr>
      <t xml:space="preserve"> </t>
    </r>
    <r>
      <rPr>
        <i/>
        <sz val="13"/>
        <color theme="1"/>
        <rFont val="Times New Roman"/>
        <family val="1"/>
      </rPr>
      <t>(mm)</t>
    </r>
  </si>
  <si>
    <r>
      <t>α</t>
    </r>
    <r>
      <rPr>
        <b/>
        <vertAlign val="subscript"/>
        <sz val="13"/>
        <color theme="1"/>
        <rFont val="Times New Roman"/>
        <family val="1"/>
      </rPr>
      <t>ct</t>
    </r>
  </si>
  <si>
    <r>
      <t>A</t>
    </r>
    <r>
      <rPr>
        <b/>
        <vertAlign val="subscript"/>
        <sz val="13"/>
        <color theme="1"/>
        <rFont val="Times New Roman"/>
        <family val="1"/>
      </rPr>
      <t>sl</t>
    </r>
  </si>
  <si>
    <r>
      <t>ρ</t>
    </r>
    <r>
      <rPr>
        <b/>
        <vertAlign val="subscript"/>
        <sz val="13"/>
        <color theme="1"/>
        <rFont val="Times New Roman"/>
        <family val="1"/>
      </rPr>
      <t>l</t>
    </r>
  </si>
  <si>
    <r>
      <t>σ</t>
    </r>
    <r>
      <rPr>
        <b/>
        <vertAlign val="subscript"/>
        <sz val="13"/>
        <color theme="1"/>
        <rFont val="Times New Roman"/>
        <family val="1"/>
      </rPr>
      <t>cp</t>
    </r>
  </si>
  <si>
    <r>
      <t>V</t>
    </r>
    <r>
      <rPr>
        <b/>
        <vertAlign val="subscript"/>
        <sz val="13"/>
        <color theme="1"/>
        <rFont val="Times New Roman"/>
        <family val="1"/>
      </rPr>
      <t>Rd,c</t>
    </r>
  </si>
  <si>
    <r>
      <t>V</t>
    </r>
    <r>
      <rPr>
        <b/>
        <vertAlign val="subscript"/>
        <sz val="13"/>
        <color theme="1"/>
        <rFont val="Times New Roman"/>
        <family val="1"/>
      </rPr>
      <t>Rd,max</t>
    </r>
  </si>
  <si>
    <r>
      <t>A</t>
    </r>
    <r>
      <rPr>
        <b/>
        <vertAlign val="subscript"/>
        <sz val="13"/>
        <color theme="1"/>
        <rFont val="Times New Roman"/>
        <family val="1"/>
      </rPr>
      <t>sw</t>
    </r>
    <r>
      <rPr>
        <b/>
        <sz val="13"/>
        <color theme="1"/>
        <rFont val="Times New Roman"/>
        <family val="1"/>
      </rPr>
      <t>/s</t>
    </r>
  </si>
  <si>
    <r>
      <t>f</t>
    </r>
    <r>
      <rPr>
        <b/>
        <vertAlign val="subscript"/>
        <sz val="13"/>
        <color theme="1"/>
        <rFont val="Times New Roman"/>
        <family val="1"/>
      </rPr>
      <t>ctd</t>
    </r>
  </si>
  <si>
    <r>
      <t>T</t>
    </r>
    <r>
      <rPr>
        <b/>
        <vertAlign val="subscript"/>
        <sz val="13"/>
        <color theme="1"/>
        <rFont val="Times New Roman"/>
        <family val="1"/>
      </rPr>
      <t>Rd,c</t>
    </r>
  </si>
  <si>
    <r>
      <t>T</t>
    </r>
    <r>
      <rPr>
        <b/>
        <vertAlign val="subscript"/>
        <sz val="13"/>
        <color theme="1"/>
        <rFont val="Times New Roman"/>
        <family val="1"/>
      </rPr>
      <t>Rd,max</t>
    </r>
  </si>
  <si>
    <r>
      <t>V</t>
    </r>
    <r>
      <rPr>
        <b/>
        <vertAlign val="subscript"/>
        <sz val="13"/>
        <color theme="1"/>
        <rFont val="Times New Roman"/>
        <family val="1"/>
      </rPr>
      <t>t</t>
    </r>
  </si>
  <si>
    <r>
      <t>A</t>
    </r>
    <r>
      <rPr>
        <b/>
        <vertAlign val="subscript"/>
        <sz val="13"/>
        <color theme="1"/>
        <rFont val="Times New Roman"/>
        <family val="1"/>
      </rPr>
      <t>t</t>
    </r>
    <r>
      <rPr>
        <b/>
        <sz val="13"/>
        <color theme="1"/>
        <rFont val="Times New Roman"/>
        <family val="1"/>
      </rPr>
      <t>/s</t>
    </r>
  </si>
  <si>
    <r>
      <t>A</t>
    </r>
    <r>
      <rPr>
        <b/>
        <vertAlign val="subscript"/>
        <sz val="13"/>
        <color theme="1"/>
        <rFont val="Times New Roman"/>
        <family val="1"/>
      </rPr>
      <t>s</t>
    </r>
  </si>
  <si>
    <r>
      <t>A</t>
    </r>
    <r>
      <rPr>
        <b/>
        <vertAlign val="subscript"/>
        <sz val="13"/>
        <color theme="1"/>
        <rFont val="Times New Roman"/>
        <family val="1"/>
      </rPr>
      <t>s</t>
    </r>
    <r>
      <rPr>
        <b/>
        <sz val="13"/>
        <color theme="1"/>
        <rFont val="Times New Roman"/>
        <family val="1"/>
      </rPr>
      <t>'</t>
    </r>
  </si>
  <si>
    <r>
      <t>α</t>
    </r>
    <r>
      <rPr>
        <b/>
        <vertAlign val="subscript"/>
        <sz val="13"/>
        <color theme="1"/>
        <rFont val="Times New Roman"/>
        <family val="1"/>
      </rPr>
      <t>cw</t>
    </r>
  </si>
  <si>
    <r>
      <t>A</t>
    </r>
    <r>
      <rPr>
        <vertAlign val="subscript"/>
        <sz val="13"/>
        <color theme="1"/>
        <rFont val="Times New Roman"/>
        <family val="1"/>
      </rPr>
      <t>s,min</t>
    </r>
  </si>
  <si>
    <r>
      <t>A</t>
    </r>
    <r>
      <rPr>
        <vertAlign val="subscript"/>
        <sz val="13"/>
        <color theme="1"/>
        <rFont val="Times New Roman"/>
        <family val="1"/>
      </rPr>
      <t>s,max</t>
    </r>
  </si>
  <si>
    <t>TÍNH TOÁN CỐT THÉP CHỊU XOẮN</t>
  </si>
  <si>
    <t>Hệ số an toàn</t>
  </si>
  <si>
    <t>Nhịp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</si>
</sst>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&quot;Φ&quot;0"/>
    <numFmt numFmtId="166" formatCode="0.0"/>
    <numFmt numFmtId="167" formatCode="\a0"/>
  </numFmts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vertAlign val="subscript"/>
      <sz val="13"/>
      <color theme="1"/>
      <name val="Times New Roman"/>
      <family val="1"/>
    </font>
    <font>
      <i/>
      <sz val="13"/>
      <color theme="1"/>
      <name val="Times New Roman"/>
      <family val="1"/>
    </font>
    <font>
      <i/>
      <vertAlign val="superscript"/>
      <sz val="13"/>
      <color theme="1"/>
      <name val="Times New Roman"/>
      <family val="1"/>
    </font>
    <font>
      <sz val="13"/>
      <color rgb="FFFF0000"/>
      <name val="Times New Roman"/>
      <family val="1"/>
    </font>
    <font>
      <vertAlign val="subscript"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i/>
      <sz val="13"/>
      <color theme="1"/>
      <name val="Times New Roma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8"/>
      <color rgb="FFFF0000"/>
      <name val="Times New Roman"/>
      <family val="1"/>
    </font>
    <font>
      <b/>
      <sz val="18"/>
      <color theme="1"/>
      <name val="Times New Roman"/>
      <family val="1"/>
    </font>
    <font>
      <i/>
      <sz val="13"/>
      <color rgb="FFFF0000"/>
      <name val="Times New Roman"/>
      <family val="1"/>
    </font>
    <font>
      <b/>
      <sz val="13"/>
      <color rgb="FF000099"/>
      <name val="Times New Roman"/>
      <family val="1"/>
    </font>
    <font>
      <sz val="13"/>
      <color rgb="FF000099"/>
      <name val="Times New Roman"/>
      <family val="1"/>
    </font>
    <font>
      <i/>
      <sz val="13"/>
      <color rgb="FF000099"/>
      <name val="Times New Roman"/>
      <family val="1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1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2" fillId="0" borderId="0" xfId="0" applyFont="1"/>
    <xf numFmtId="0" fontId="13" fillId="0" borderId="0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2" fillId="0" borderId="0" xfId="0" applyFont="1" applyBorder="1" applyAlignment="1">
      <alignment vertical="center"/>
    </xf>
    <xf numFmtId="0" fontId="15" fillId="0" borderId="17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" fontId="18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167" fontId="18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4" fillId="0" borderId="3" xfId="0" quotePrefix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7" fillId="0" borderId="3" xfId="0" quotePrefix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" fontId="15" fillId="0" borderId="3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G16" sqref="G16"/>
    </sheetView>
  </sheetViews>
  <sheetFormatPr defaultColWidth="12.7109375" defaultRowHeight="20.100000000000001" customHeight="1" x14ac:dyDescent="0.25"/>
  <cols>
    <col min="1" max="16384" width="12.7109375" style="1"/>
  </cols>
  <sheetData>
    <row r="1" spans="1:4" ht="20.100000000000001" customHeight="1" x14ac:dyDescent="0.25">
      <c r="A1" s="46" t="s">
        <v>0</v>
      </c>
      <c r="B1" s="46" t="s">
        <v>1</v>
      </c>
      <c r="C1" s="46"/>
      <c r="D1" s="46" t="s">
        <v>44</v>
      </c>
    </row>
    <row r="2" spans="1:4" ht="20.100000000000001" customHeight="1" x14ac:dyDescent="0.25">
      <c r="A2" s="46"/>
      <c r="B2" s="46" t="s">
        <v>45</v>
      </c>
      <c r="C2" s="46"/>
      <c r="D2" s="46"/>
    </row>
    <row r="3" spans="1:4" ht="20.100000000000001" customHeight="1" x14ac:dyDescent="0.25">
      <c r="A3" s="46"/>
      <c r="B3" s="52" t="s">
        <v>46</v>
      </c>
      <c r="C3" s="52"/>
      <c r="D3" s="13" t="s">
        <v>46</v>
      </c>
    </row>
    <row r="4" spans="1:4" ht="20.100000000000001" customHeight="1" x14ac:dyDescent="0.25">
      <c r="A4" s="7" t="s">
        <v>2</v>
      </c>
      <c r="B4" s="7" t="s">
        <v>3</v>
      </c>
      <c r="C4" s="7">
        <v>8</v>
      </c>
      <c r="D4" s="7">
        <v>1.4</v>
      </c>
    </row>
    <row r="5" spans="1:4" ht="20.100000000000001" customHeight="1" x14ac:dyDescent="0.25">
      <c r="A5" s="7" t="s">
        <v>4</v>
      </c>
      <c r="B5" s="7" t="s">
        <v>5</v>
      </c>
      <c r="C5" s="7">
        <v>12</v>
      </c>
      <c r="D5" s="7">
        <v>1.6</v>
      </c>
    </row>
    <row r="6" spans="1:4" ht="20.100000000000001" customHeight="1" x14ac:dyDescent="0.25">
      <c r="A6" s="7" t="s">
        <v>6</v>
      </c>
      <c r="B6" s="7" t="s">
        <v>7</v>
      </c>
      <c r="C6" s="7">
        <v>16</v>
      </c>
      <c r="D6" s="7">
        <v>1.9</v>
      </c>
    </row>
    <row r="7" spans="1:4" ht="20.100000000000001" customHeight="1" x14ac:dyDescent="0.25">
      <c r="A7" s="7" t="s">
        <v>8</v>
      </c>
      <c r="B7" s="7" t="s">
        <v>9</v>
      </c>
      <c r="C7" s="7">
        <v>18</v>
      </c>
      <c r="D7" s="14">
        <v>2.0499999999999998</v>
      </c>
    </row>
    <row r="8" spans="1:4" ht="20.100000000000001" customHeight="1" x14ac:dyDescent="0.25">
      <c r="A8" s="7" t="s">
        <v>10</v>
      </c>
      <c r="B8" s="7" t="s">
        <v>11</v>
      </c>
      <c r="C8" s="7">
        <v>20</v>
      </c>
      <c r="D8" s="7">
        <v>2.2000000000000002</v>
      </c>
    </row>
    <row r="9" spans="1:4" ht="20.100000000000001" customHeight="1" x14ac:dyDescent="0.25">
      <c r="A9" s="7" t="s">
        <v>12</v>
      </c>
      <c r="B9" s="7" t="s">
        <v>13</v>
      </c>
      <c r="C9" s="7">
        <v>25</v>
      </c>
      <c r="D9" s="7">
        <v>2.6</v>
      </c>
    </row>
    <row r="10" spans="1:4" ht="20.100000000000001" customHeight="1" x14ac:dyDescent="0.25">
      <c r="A10" s="7" t="s">
        <v>14</v>
      </c>
      <c r="B10" s="7" t="s">
        <v>15</v>
      </c>
      <c r="C10" s="7">
        <v>30</v>
      </c>
      <c r="D10" s="7">
        <v>2.9</v>
      </c>
    </row>
    <row r="11" spans="1:4" ht="20.100000000000001" customHeight="1" x14ac:dyDescent="0.25">
      <c r="A11" s="7" t="s">
        <v>16</v>
      </c>
      <c r="B11" s="7" t="s">
        <v>17</v>
      </c>
      <c r="C11" s="7">
        <v>32</v>
      </c>
      <c r="D11" s="14">
        <v>3.02</v>
      </c>
    </row>
    <row r="12" spans="1:4" ht="20.100000000000001" customHeight="1" x14ac:dyDescent="0.25">
      <c r="A12" s="7" t="s">
        <v>18</v>
      </c>
      <c r="B12" s="7" t="s">
        <v>19</v>
      </c>
      <c r="C12" s="7">
        <v>35</v>
      </c>
      <c r="D12" s="7">
        <v>3.2</v>
      </c>
    </row>
    <row r="13" spans="1:4" ht="20.100000000000001" customHeight="1" x14ac:dyDescent="0.25">
      <c r="A13" s="7" t="s">
        <v>20</v>
      </c>
      <c r="B13" s="7" t="s">
        <v>21</v>
      </c>
      <c r="C13" s="7">
        <v>40</v>
      </c>
      <c r="D13" s="7">
        <v>3.5</v>
      </c>
    </row>
    <row r="14" spans="1:4" ht="20.100000000000001" customHeight="1" x14ac:dyDescent="0.25">
      <c r="A14" s="7" t="s">
        <v>22</v>
      </c>
      <c r="B14" s="7" t="s">
        <v>23</v>
      </c>
      <c r="C14" s="7">
        <v>45</v>
      </c>
      <c r="D14" s="7">
        <v>3.8</v>
      </c>
    </row>
    <row r="15" spans="1:4" ht="20.100000000000001" customHeight="1" x14ac:dyDescent="0.25">
      <c r="A15" s="7" t="s">
        <v>24</v>
      </c>
      <c r="B15" s="7" t="s">
        <v>25</v>
      </c>
      <c r="C15" s="7">
        <v>50</v>
      </c>
      <c r="D15" s="7">
        <v>4.0999999999999996</v>
      </c>
    </row>
    <row r="16" spans="1:4" ht="20.100000000000001" customHeight="1" x14ac:dyDescent="0.25">
      <c r="A16" s="7" t="s">
        <v>26</v>
      </c>
      <c r="B16" s="7" t="s">
        <v>27</v>
      </c>
      <c r="C16" s="7">
        <v>55</v>
      </c>
      <c r="D16" s="7">
        <v>4.2</v>
      </c>
    </row>
    <row r="17" spans="1:4" ht="20.100000000000001" customHeight="1" x14ac:dyDescent="0.25">
      <c r="A17" s="7" t="s">
        <v>28</v>
      </c>
      <c r="B17" s="7" t="s">
        <v>29</v>
      </c>
      <c r="C17" s="7">
        <v>60</v>
      </c>
      <c r="D17" s="7">
        <v>4.4000000000000004</v>
      </c>
    </row>
    <row r="18" spans="1:4" ht="20.100000000000001" customHeight="1" x14ac:dyDescent="0.25">
      <c r="A18" s="7" t="s">
        <v>30</v>
      </c>
      <c r="B18" s="7" t="s">
        <v>31</v>
      </c>
      <c r="C18" s="7">
        <v>70</v>
      </c>
      <c r="D18" s="7">
        <v>4.5999999999999996</v>
      </c>
    </row>
    <row r="19" spans="1:4" ht="20.100000000000001" customHeight="1" x14ac:dyDescent="0.25">
      <c r="A19" s="7" t="s">
        <v>32</v>
      </c>
      <c r="B19" s="7" t="s">
        <v>33</v>
      </c>
      <c r="C19" s="7">
        <v>80</v>
      </c>
      <c r="D19" s="7">
        <v>4.8</v>
      </c>
    </row>
    <row r="20" spans="1:4" ht="20.100000000000001" customHeight="1" x14ac:dyDescent="0.25">
      <c r="A20" s="7" t="s">
        <v>34</v>
      </c>
      <c r="B20" s="7" t="s">
        <v>35</v>
      </c>
      <c r="C20" s="7">
        <v>90</v>
      </c>
      <c r="D20" s="7">
        <v>5</v>
      </c>
    </row>
    <row r="21" spans="1:4" ht="20.100000000000001" customHeight="1" thickBot="1" x14ac:dyDescent="0.3"/>
    <row r="22" spans="1:4" ht="20.100000000000001" customHeight="1" thickBot="1" x14ac:dyDescent="0.3">
      <c r="A22" s="47" t="s">
        <v>36</v>
      </c>
      <c r="B22" s="48"/>
      <c r="C22" s="49"/>
    </row>
    <row r="23" spans="1:4" ht="20.100000000000001" customHeight="1" x14ac:dyDescent="0.25">
      <c r="A23" s="50" t="s">
        <v>37</v>
      </c>
      <c r="B23" s="2" t="s">
        <v>51</v>
      </c>
      <c r="C23" s="3" t="s">
        <v>38</v>
      </c>
    </row>
    <row r="24" spans="1:4" ht="20.100000000000001" customHeight="1" thickBot="1" x14ac:dyDescent="0.3">
      <c r="A24" s="51"/>
      <c r="B24" s="4" t="s">
        <v>49</v>
      </c>
      <c r="C24" s="5" t="s">
        <v>49</v>
      </c>
    </row>
    <row r="25" spans="1:4" ht="20.100000000000001" customHeight="1" x14ac:dyDescent="0.25">
      <c r="A25" s="6" t="s">
        <v>39</v>
      </c>
      <c r="B25" s="7">
        <v>240</v>
      </c>
      <c r="C25" s="8">
        <v>200000</v>
      </c>
    </row>
    <row r="26" spans="1:4" ht="20.100000000000001" customHeight="1" x14ac:dyDescent="0.25">
      <c r="A26" s="6" t="s">
        <v>40</v>
      </c>
      <c r="B26" s="7">
        <v>300</v>
      </c>
      <c r="C26" s="8">
        <v>200000</v>
      </c>
    </row>
    <row r="27" spans="1:4" ht="20.100000000000001" customHeight="1" x14ac:dyDescent="0.25">
      <c r="A27" s="6" t="s">
        <v>41</v>
      </c>
      <c r="B27" s="7">
        <v>300</v>
      </c>
      <c r="C27" s="8">
        <v>200000</v>
      </c>
    </row>
    <row r="28" spans="1:4" ht="20.100000000000001" customHeight="1" x14ac:dyDescent="0.25">
      <c r="A28" s="6" t="s">
        <v>42</v>
      </c>
      <c r="B28" s="7">
        <v>400</v>
      </c>
      <c r="C28" s="8">
        <v>200000</v>
      </c>
    </row>
    <row r="29" spans="1:4" ht="20.100000000000001" customHeight="1" thickBot="1" x14ac:dyDescent="0.3">
      <c r="A29" s="9" t="s">
        <v>43</v>
      </c>
      <c r="B29" s="10">
        <v>500</v>
      </c>
      <c r="C29" s="11">
        <v>200000</v>
      </c>
    </row>
  </sheetData>
  <mergeCells count="7">
    <mergeCell ref="A1:A3"/>
    <mergeCell ref="D1:D2"/>
    <mergeCell ref="A22:C22"/>
    <mergeCell ref="A23:A24"/>
    <mergeCell ref="B1:C1"/>
    <mergeCell ref="B2:C2"/>
    <mergeCell ref="B3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7" sqref="L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view="pageBreakPreview" topLeftCell="A4" zoomScaleNormal="100" zoomScaleSheetLayoutView="100" workbookViewId="0">
      <selection activeCell="N16" sqref="N16"/>
    </sheetView>
  </sheetViews>
  <sheetFormatPr defaultColWidth="12.7109375" defaultRowHeight="20.100000000000001" customHeight="1" x14ac:dyDescent="0.25"/>
  <cols>
    <col min="1" max="10" width="10.7109375" style="1" customWidth="1"/>
    <col min="11" max="13" width="8.7109375" style="1" customWidth="1"/>
    <col min="14" max="15" width="10.7109375" style="1" customWidth="1"/>
    <col min="16" max="19" width="5.7109375" style="1" customWidth="1"/>
    <col min="20" max="21" width="10.7109375" style="1" customWidth="1"/>
    <col min="22" max="16384" width="12.7109375" style="1"/>
  </cols>
  <sheetData>
    <row r="1" spans="1:21" ht="20.100000000000001" customHeight="1" x14ac:dyDescent="0.25">
      <c r="A1" s="52" t="s">
        <v>90</v>
      </c>
      <c r="B1" s="52"/>
      <c r="C1" s="65" t="s">
        <v>91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2" spans="1:21" ht="20.100000000000001" customHeight="1" x14ac:dyDescent="0.25">
      <c r="A2" s="52"/>
      <c r="B2" s="52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33"/>
      <c r="Q2" s="33"/>
      <c r="R2" s="33"/>
      <c r="S2" s="33"/>
      <c r="T2" s="33"/>
      <c r="U2" s="33"/>
    </row>
    <row r="3" spans="1:21" ht="20.100000000000001" customHeight="1" x14ac:dyDescent="0.25">
      <c r="A3" s="52" t="s">
        <v>92</v>
      </c>
      <c r="B3" s="52"/>
      <c r="C3" s="68" t="s">
        <v>100</v>
      </c>
      <c r="D3" s="69"/>
      <c r="E3" s="69"/>
      <c r="F3" s="69"/>
      <c r="G3" s="69"/>
      <c r="H3" s="69"/>
      <c r="I3" s="69"/>
      <c r="J3" s="69"/>
      <c r="K3" s="52" t="s">
        <v>96</v>
      </c>
      <c r="L3" s="52"/>
      <c r="M3" s="66" t="s">
        <v>99</v>
      </c>
      <c r="N3" s="66"/>
      <c r="O3" s="66"/>
      <c r="P3" s="33"/>
      <c r="Q3" s="33"/>
      <c r="R3" s="33"/>
      <c r="S3" s="33"/>
      <c r="T3" s="33"/>
      <c r="U3" s="33"/>
    </row>
    <row r="4" spans="1:21" ht="20.100000000000001" customHeight="1" x14ac:dyDescent="0.25">
      <c r="A4" s="52" t="s">
        <v>93</v>
      </c>
      <c r="B4" s="52"/>
      <c r="C4" s="68" t="s">
        <v>100</v>
      </c>
      <c r="D4" s="69"/>
      <c r="E4" s="69"/>
      <c r="F4" s="69"/>
      <c r="G4" s="69"/>
      <c r="H4" s="69"/>
      <c r="I4" s="69"/>
      <c r="J4" s="69"/>
      <c r="K4" s="52" t="s">
        <v>97</v>
      </c>
      <c r="L4" s="52"/>
      <c r="M4" s="66" t="s">
        <v>99</v>
      </c>
      <c r="N4" s="66"/>
      <c r="O4" s="66"/>
      <c r="P4" s="33"/>
      <c r="Q4" s="33"/>
      <c r="R4" s="33"/>
      <c r="S4" s="33"/>
      <c r="T4" s="33"/>
      <c r="U4" s="33"/>
    </row>
    <row r="5" spans="1:21" ht="20.100000000000001" customHeight="1" x14ac:dyDescent="0.25">
      <c r="A5" s="52" t="s">
        <v>94</v>
      </c>
      <c r="B5" s="52"/>
      <c r="C5" s="46" t="s">
        <v>95</v>
      </c>
      <c r="D5" s="46"/>
      <c r="E5" s="46"/>
      <c r="F5" s="46"/>
      <c r="G5" s="46"/>
      <c r="H5" s="46"/>
      <c r="I5" s="46"/>
      <c r="J5" s="46"/>
      <c r="K5" s="52" t="s">
        <v>98</v>
      </c>
      <c r="L5" s="52"/>
      <c r="M5" s="67">
        <f ca="1">TODAY()</f>
        <v>44811</v>
      </c>
      <c r="N5" s="46"/>
      <c r="O5" s="46"/>
      <c r="P5" s="33"/>
      <c r="Q5" s="33"/>
      <c r="R5" s="33"/>
      <c r="S5" s="33"/>
      <c r="T5" s="33"/>
      <c r="U5" s="33"/>
    </row>
    <row r="6" spans="1:21" ht="20.100000000000001" customHeight="1" x14ac:dyDescent="0.25">
      <c r="A6" s="32" t="s">
        <v>47</v>
      </c>
      <c r="N6" s="12"/>
      <c r="O6" s="12"/>
      <c r="P6" s="12"/>
      <c r="Q6" s="12"/>
    </row>
    <row r="7" spans="1:21" ht="20.100000000000001" customHeight="1" x14ac:dyDescent="0.25">
      <c r="A7" s="1" t="s">
        <v>48</v>
      </c>
      <c r="C7" s="15" t="s">
        <v>16</v>
      </c>
      <c r="D7" s="17" t="s">
        <v>106</v>
      </c>
      <c r="E7" s="12">
        <f>VLOOKUP(C7,Data!A4:D20,3,0)</f>
        <v>32</v>
      </c>
      <c r="F7" s="16" t="s">
        <v>49</v>
      </c>
      <c r="I7" s="16"/>
      <c r="N7" s="12"/>
      <c r="O7" s="12"/>
      <c r="P7" s="12"/>
      <c r="Q7" s="12"/>
      <c r="T7" s="18"/>
    </row>
    <row r="8" spans="1:21" ht="20.100000000000001" customHeight="1" x14ac:dyDescent="0.25">
      <c r="C8" s="15"/>
      <c r="D8" s="17" t="s">
        <v>122</v>
      </c>
      <c r="E8" s="12">
        <f>VLOOKUP(C7,Data!A4:D20,4,0)</f>
        <v>3.02</v>
      </c>
      <c r="F8" s="16" t="s">
        <v>49</v>
      </c>
      <c r="I8" s="16"/>
      <c r="N8" s="12"/>
      <c r="O8" s="12"/>
      <c r="P8" s="12"/>
      <c r="Q8" s="12"/>
      <c r="T8" s="18"/>
    </row>
    <row r="9" spans="1:21" ht="20.100000000000001" customHeight="1" x14ac:dyDescent="0.25">
      <c r="A9" s="1" t="s">
        <v>50</v>
      </c>
      <c r="C9" s="15" t="s">
        <v>43</v>
      </c>
      <c r="D9" s="17" t="s">
        <v>107</v>
      </c>
      <c r="E9" s="12">
        <f>VLOOKUP(C9,Data!$A$25:$C$29,2,0)</f>
        <v>500</v>
      </c>
      <c r="F9" s="16" t="s">
        <v>49</v>
      </c>
      <c r="I9" s="16"/>
      <c r="Q9" s="1">
        <f>0.0013*G21*G24</f>
        <v>1768</v>
      </c>
    </row>
    <row r="10" spans="1:21" ht="20.100000000000001" customHeight="1" x14ac:dyDescent="0.25">
      <c r="D10" s="17" t="s">
        <v>108</v>
      </c>
      <c r="E10" s="12">
        <f>VLOOKUP(C9,Data!A25:C29,3,0)</f>
        <v>200000</v>
      </c>
      <c r="F10" s="16" t="s">
        <v>49</v>
      </c>
      <c r="I10" s="16"/>
    </row>
    <row r="11" spans="1:21" ht="20.100000000000001" customHeight="1" x14ac:dyDescent="0.25">
      <c r="A11" s="32" t="s">
        <v>88</v>
      </c>
      <c r="D11" s="12"/>
      <c r="E11" s="12"/>
      <c r="F11" s="16"/>
      <c r="I11" s="16"/>
      <c r="K11" s="12"/>
      <c r="L11" s="12"/>
    </row>
    <row r="12" spans="1:21" ht="20.100000000000001" customHeight="1" x14ac:dyDescent="0.25">
      <c r="A12" s="32"/>
      <c r="D12" s="12"/>
      <c r="E12" s="12"/>
      <c r="F12" s="16"/>
      <c r="I12" s="16"/>
      <c r="K12" s="12"/>
      <c r="L12" s="12"/>
    </row>
    <row r="13" spans="1:21" ht="20.100000000000001" customHeight="1" x14ac:dyDescent="0.25">
      <c r="B13" s="74" t="s">
        <v>68</v>
      </c>
      <c r="C13" s="74"/>
      <c r="D13" s="74"/>
      <c r="E13" s="74"/>
      <c r="F13" s="74" t="s">
        <v>69</v>
      </c>
      <c r="G13" s="74"/>
      <c r="H13" s="74"/>
      <c r="I13" s="74"/>
      <c r="J13" s="70" t="s">
        <v>103</v>
      </c>
      <c r="K13" s="70" t="s">
        <v>86</v>
      </c>
      <c r="L13" s="70" t="s">
        <v>87</v>
      </c>
      <c r="M13" s="70" t="s">
        <v>104</v>
      </c>
      <c r="N13" s="70" t="s">
        <v>105</v>
      </c>
      <c r="O13" s="25"/>
      <c r="P13" s="25"/>
    </row>
    <row r="14" spans="1:21" ht="20.100000000000001" customHeight="1" x14ac:dyDescent="0.25">
      <c r="B14" s="70" t="s">
        <v>101</v>
      </c>
      <c r="C14" s="70" t="s">
        <v>102</v>
      </c>
      <c r="D14" s="20" t="s">
        <v>61</v>
      </c>
      <c r="E14" s="20" t="s">
        <v>64</v>
      </c>
      <c r="F14" s="70" t="s">
        <v>101</v>
      </c>
      <c r="G14" s="70" t="s">
        <v>102</v>
      </c>
      <c r="H14" s="20" t="s">
        <v>61</v>
      </c>
      <c r="I14" s="20" t="s">
        <v>64</v>
      </c>
      <c r="J14" s="70"/>
      <c r="K14" s="70"/>
      <c r="L14" s="70"/>
      <c r="M14" s="70"/>
      <c r="N14" s="70"/>
      <c r="O14" s="26"/>
      <c r="P14" s="26"/>
    </row>
    <row r="15" spans="1:21" ht="20.100000000000001" customHeight="1" x14ac:dyDescent="0.25">
      <c r="B15" s="70"/>
      <c r="C15" s="70"/>
      <c r="D15" s="13" t="s">
        <v>49</v>
      </c>
      <c r="E15" s="13" t="s">
        <v>49</v>
      </c>
      <c r="F15" s="70"/>
      <c r="G15" s="70"/>
      <c r="H15" s="13" t="s">
        <v>49</v>
      </c>
      <c r="I15" s="13" t="s">
        <v>49</v>
      </c>
      <c r="J15" s="70"/>
      <c r="K15" s="70"/>
      <c r="L15" s="70"/>
      <c r="M15" s="70"/>
      <c r="N15" s="70"/>
      <c r="O15" s="27"/>
      <c r="P15" s="27"/>
    </row>
    <row r="16" spans="1:21" ht="20.100000000000001" customHeight="1" x14ac:dyDescent="0.25">
      <c r="B16" s="7">
        <v>1.5</v>
      </c>
      <c r="C16" s="7">
        <v>1.1499999999999999</v>
      </c>
      <c r="D16" s="14">
        <f>$J$16*$E$7/$B$16</f>
        <v>21.333333333333332</v>
      </c>
      <c r="E16" s="14">
        <f>$E$9/$C$16</f>
        <v>434.78260869565219</v>
      </c>
      <c r="F16" s="7">
        <v>1.2</v>
      </c>
      <c r="G16" s="7">
        <v>1</v>
      </c>
      <c r="H16" s="14">
        <f>$J$16*$E$7/$F$16</f>
        <v>26.666666666666668</v>
      </c>
      <c r="I16" s="14">
        <f>$E$9/$G$16</f>
        <v>500</v>
      </c>
      <c r="J16" s="7">
        <v>1</v>
      </c>
      <c r="K16" s="7">
        <f>IF(E7&lt;=50,1,1-((E7-50)/200))</f>
        <v>1</v>
      </c>
      <c r="L16" s="7">
        <f>IF(E7&lt;=50,0.8,0.8-((E7-50)/400))</f>
        <v>0.8</v>
      </c>
      <c r="M16" s="7">
        <f>IF(E7&lt;=50,0.0035,2.6+35*((90-E7)/100))</f>
        <v>3.5000000000000001E-3</v>
      </c>
      <c r="N16" s="7">
        <f>IF(E7&lt;=50,(1-0.44)/(1.25*(0.6+0.0014/M16)),(1-0.54)/(1.25*(0.6+0.0014/M16)))</f>
        <v>0.44800000000000006</v>
      </c>
      <c r="O16" s="28"/>
      <c r="P16" s="28"/>
    </row>
    <row r="18" spans="1:24" ht="20.100000000000001" customHeight="1" x14ac:dyDescent="0.25">
      <c r="A18" s="32" t="s">
        <v>89</v>
      </c>
    </row>
    <row r="19" spans="1:24" ht="20.100000000000001" customHeight="1" x14ac:dyDescent="0.25">
      <c r="A19" s="70" t="s">
        <v>83</v>
      </c>
      <c r="B19" s="71" t="s">
        <v>82</v>
      </c>
      <c r="C19" s="71" t="s">
        <v>81</v>
      </c>
      <c r="D19" s="70" t="s">
        <v>53</v>
      </c>
      <c r="E19" s="70"/>
      <c r="F19" s="70" t="s">
        <v>57</v>
      </c>
      <c r="G19" s="70"/>
      <c r="H19" s="70" t="s">
        <v>54</v>
      </c>
      <c r="I19" s="54" t="s">
        <v>62</v>
      </c>
      <c r="J19" s="75" t="s">
        <v>80</v>
      </c>
      <c r="K19" s="70" t="s">
        <v>66</v>
      </c>
      <c r="L19" s="70" t="s">
        <v>67</v>
      </c>
      <c r="M19" s="70" t="s">
        <v>63</v>
      </c>
      <c r="N19" s="20" t="s">
        <v>138</v>
      </c>
      <c r="O19" s="20" t="s">
        <v>139</v>
      </c>
      <c r="P19" s="46" t="s">
        <v>74</v>
      </c>
      <c r="Q19" s="46"/>
      <c r="R19" s="46"/>
      <c r="S19" s="46"/>
      <c r="T19" s="46"/>
      <c r="U19" s="46" t="s">
        <v>75</v>
      </c>
      <c r="V19" s="7" t="s">
        <v>141</v>
      </c>
      <c r="W19" s="7" t="s">
        <v>142</v>
      </c>
      <c r="X19" s="64" t="s">
        <v>144</v>
      </c>
    </row>
    <row r="20" spans="1:24" ht="20.100000000000001" customHeight="1" x14ac:dyDescent="0.25">
      <c r="A20" s="70"/>
      <c r="B20" s="71"/>
      <c r="C20" s="71"/>
      <c r="D20" s="52" t="s">
        <v>55</v>
      </c>
      <c r="E20" s="52"/>
      <c r="F20" s="70"/>
      <c r="G20" s="70"/>
      <c r="H20" s="70"/>
      <c r="I20" s="55"/>
      <c r="J20" s="76"/>
      <c r="K20" s="70"/>
      <c r="L20" s="70"/>
      <c r="M20" s="70"/>
      <c r="N20" s="13" t="s">
        <v>65</v>
      </c>
      <c r="O20" s="13" t="s">
        <v>65</v>
      </c>
      <c r="P20" s="73" t="s">
        <v>65</v>
      </c>
      <c r="Q20" s="73"/>
      <c r="R20" s="73"/>
      <c r="S20" s="73"/>
      <c r="T20" s="73"/>
      <c r="U20" s="46"/>
      <c r="V20" s="13" t="s">
        <v>65</v>
      </c>
      <c r="W20" s="13" t="s">
        <v>65</v>
      </c>
      <c r="X20" s="64"/>
    </row>
    <row r="21" spans="1:24" ht="20.100000000000001" customHeight="1" x14ac:dyDescent="0.25">
      <c r="A21" s="72">
        <v>5</v>
      </c>
      <c r="B21" s="46" t="s">
        <v>84</v>
      </c>
      <c r="C21" s="46" t="s">
        <v>85</v>
      </c>
      <c r="D21" s="54" t="s">
        <v>72</v>
      </c>
      <c r="E21" s="20" t="s">
        <v>59</v>
      </c>
      <c r="F21" s="7" t="s">
        <v>76</v>
      </c>
      <c r="G21" s="30">
        <v>800</v>
      </c>
      <c r="H21" s="56">
        <f>ABS(E22)*10^6/(G21*G24^2*$K$16*$D$16)</f>
        <v>5.9064190906141872E-2</v>
      </c>
      <c r="I21" s="57">
        <f>$L$16*$N$16*(1-0.5*$L$16*$N$16)</f>
        <v>0.29417472000000006</v>
      </c>
      <c r="J21" s="46" t="str">
        <f>IF(H21&lt;=I21,"Cốt đơn","Cốt kép")</f>
        <v>Cốt đơn</v>
      </c>
      <c r="K21" s="56" t="str">
        <f>IF(J21="Cốt đơn","-",(H21-I21)/(1-G23/G24))</f>
        <v>-</v>
      </c>
      <c r="L21" s="57" t="str">
        <f>IF(J21="Cốt đơn","-",1-SQRT(1-2*I21))</f>
        <v>-</v>
      </c>
      <c r="M21" s="56">
        <f>IF(J21="Cốt đơn",1-SQRT(1-2*H21),K21+L21)</f>
        <v>6.0919802046855986E-2</v>
      </c>
      <c r="N21" s="59">
        <f>(M21*$K$16*$D$16*G21*G24/$E$16)/100</f>
        <v>40.652190037880644</v>
      </c>
      <c r="O21" s="56" t="str">
        <f>IF(J21="Cốt đơn","-",(K21*$K$16*$D$16*G21*G24/MIN($E$10*0.0035*(1-G23/($N$16*G24)),$E$16))/100)</f>
        <v>-</v>
      </c>
      <c r="P21" s="23">
        <v>9</v>
      </c>
      <c r="Q21" s="24">
        <v>32</v>
      </c>
      <c r="R21" s="23">
        <v>5</v>
      </c>
      <c r="S21" s="24">
        <v>32</v>
      </c>
      <c r="T21" s="45">
        <f t="shared" ref="T21:T28" si="0">(P21*Q21^2+R21*S21^2)*PI()/4/100</f>
        <v>112.59468070465819</v>
      </c>
      <c r="U21" s="7" t="str">
        <f>IF(N21&lt;T21,"OK","Not OK")</f>
        <v>OK</v>
      </c>
      <c r="V21" s="60">
        <f>MAX(0.26*($E$8/$E$9)*G21*G24/100,0.0013*G21*G24/100)</f>
        <v>21.35744</v>
      </c>
      <c r="W21" s="60">
        <f>0.04*G21*G22/100</f>
        <v>576</v>
      </c>
      <c r="X21" s="53">
        <f>T21/N21</f>
        <v>2.7697076246012795</v>
      </c>
    </row>
    <row r="22" spans="1:24" ht="20.100000000000001" customHeight="1" x14ac:dyDescent="0.25">
      <c r="A22" s="72"/>
      <c r="B22" s="46"/>
      <c r="C22" s="46"/>
      <c r="D22" s="55"/>
      <c r="E22" s="21">
        <v>-2913.2033999999999</v>
      </c>
      <c r="F22" s="7" t="s">
        <v>77</v>
      </c>
      <c r="G22" s="30">
        <v>1800</v>
      </c>
      <c r="H22" s="56"/>
      <c r="I22" s="63"/>
      <c r="J22" s="46"/>
      <c r="K22" s="56"/>
      <c r="L22" s="58"/>
      <c r="M22" s="56"/>
      <c r="N22" s="59"/>
      <c r="O22" s="56"/>
      <c r="P22" s="23"/>
      <c r="Q22" s="24"/>
      <c r="R22" s="23"/>
      <c r="S22" s="24"/>
      <c r="T22" s="45">
        <f t="shared" si="0"/>
        <v>0</v>
      </c>
      <c r="U22" s="7" t="str">
        <f>IF(O21="-","-",IF(O21&lt;T22,"OK","Not OK"))</f>
        <v>-</v>
      </c>
      <c r="V22" s="61"/>
      <c r="W22" s="61"/>
      <c r="X22" s="53"/>
    </row>
    <row r="23" spans="1:24" ht="20.100000000000001" customHeight="1" x14ac:dyDescent="0.25">
      <c r="A23" s="72"/>
      <c r="B23" s="46"/>
      <c r="C23" s="46"/>
      <c r="D23" s="54" t="s">
        <v>73</v>
      </c>
      <c r="E23" s="20" t="s">
        <v>59</v>
      </c>
      <c r="F23" s="7" t="s">
        <v>79</v>
      </c>
      <c r="G23" s="30">
        <v>100</v>
      </c>
      <c r="H23" s="56">
        <f>ABS(E24)*10^6/(G21*G24^2*$K$16*$H$16)</f>
        <v>0.17176686851211073</v>
      </c>
      <c r="I23" s="63"/>
      <c r="J23" s="46" t="str">
        <f>IF(H23&lt;=I21,"Cốt đơn","Cốt kép")</f>
        <v>Cốt đơn</v>
      </c>
      <c r="K23" s="56" t="str">
        <f>IF(J23="Cốt đơn","-",(H23-I21)/(1-G23/G24))</f>
        <v>-</v>
      </c>
      <c r="L23" s="57" t="str">
        <f>IF(J23="Cốt đơn","-",1-SQRT(1-2*I21))</f>
        <v>-</v>
      </c>
      <c r="M23" s="56">
        <f>IF(J23="Cốt đơn",1-SQRT(1-2*H23),K23+L23)</f>
        <v>0.18977394328756714</v>
      </c>
      <c r="N23" s="59">
        <f>(M23*$K$16*$H$16*G21*G24/$I$16)/100</f>
        <v>137.64936686458205</v>
      </c>
      <c r="O23" s="56" t="str">
        <f>IF(J23="Cốt đơn","-",(K23*$K$16*$H$16*G21*G24/MIN($E$10*0.0035*(1-G23/($N$16*G24)),$I$16))/100)</f>
        <v>-</v>
      </c>
      <c r="P23" s="23">
        <v>9</v>
      </c>
      <c r="Q23" s="24">
        <v>32</v>
      </c>
      <c r="R23" s="23">
        <v>5</v>
      </c>
      <c r="S23" s="24">
        <v>32</v>
      </c>
      <c r="T23" s="45">
        <f t="shared" si="0"/>
        <v>112.59468070465819</v>
      </c>
      <c r="U23" s="7" t="str">
        <f>IF(N23&lt;T23,"OK","Not OK")</f>
        <v>Not OK</v>
      </c>
      <c r="V23" s="61"/>
      <c r="W23" s="61"/>
      <c r="X23" s="53">
        <f>T23/N23</f>
        <v>0.81798182780911455</v>
      </c>
    </row>
    <row r="24" spans="1:24" ht="20.100000000000001" customHeight="1" x14ac:dyDescent="0.25">
      <c r="A24" s="72"/>
      <c r="B24" s="46"/>
      <c r="C24" s="46"/>
      <c r="D24" s="55"/>
      <c r="E24" s="21">
        <v>10590</v>
      </c>
      <c r="F24" s="7" t="s">
        <v>78</v>
      </c>
      <c r="G24" s="7">
        <f>G22-G23</f>
        <v>1700</v>
      </c>
      <c r="H24" s="56"/>
      <c r="I24" s="58"/>
      <c r="J24" s="46"/>
      <c r="K24" s="56"/>
      <c r="L24" s="58"/>
      <c r="M24" s="56"/>
      <c r="N24" s="59"/>
      <c r="O24" s="56"/>
      <c r="P24" s="23"/>
      <c r="Q24" s="24"/>
      <c r="R24" s="23"/>
      <c r="S24" s="24"/>
      <c r="T24" s="45">
        <f t="shared" si="0"/>
        <v>0</v>
      </c>
      <c r="U24" s="7" t="str">
        <f>IF(O23="-","-",IF(O23&lt;T24,"OK","Not OK"))</f>
        <v>-</v>
      </c>
      <c r="V24" s="62"/>
      <c r="W24" s="62"/>
      <c r="X24" s="53"/>
    </row>
    <row r="25" spans="1:24" ht="20.100000000000001" customHeight="1" x14ac:dyDescent="0.25">
      <c r="A25" s="72"/>
      <c r="B25" s="46"/>
      <c r="C25" s="46" t="s">
        <v>145</v>
      </c>
      <c r="D25" s="54" t="s">
        <v>72</v>
      </c>
      <c r="E25" s="20" t="s">
        <v>59</v>
      </c>
      <c r="F25" s="7" t="s">
        <v>76</v>
      </c>
      <c r="G25" s="30">
        <v>800</v>
      </c>
      <c r="H25" s="56">
        <f>ABS(E26)*10^6/(G25*G28^2*$K$16*$D$16)</f>
        <v>0.11556552768166091</v>
      </c>
      <c r="I25" s="57">
        <f>$L$16*$N$16*(1-0.5*$L$16*$N$16)</f>
        <v>0.29417472000000006</v>
      </c>
      <c r="J25" s="46" t="str">
        <f>IF(H25&lt;=I25,"Cốt đơn","Cốt kép")</f>
        <v>Cốt đơn</v>
      </c>
      <c r="K25" s="56" t="str">
        <f>IF(J25="Cốt đơn","-",(H25-I25)/(1-G27/G28))</f>
        <v>-</v>
      </c>
      <c r="L25" s="57" t="str">
        <f>IF(J25="Cốt đơn","-",1-SQRT(1-2*I25))</f>
        <v>-</v>
      </c>
      <c r="M25" s="56">
        <f>IF(J25="Cốt đơn",1-SQRT(1-2*H25),K25+L25)</f>
        <v>0.12314827670997974</v>
      </c>
      <c r="N25" s="59">
        <f>(M25*$K$16*$D$16*G25*G28/$E$16)/100</f>
        <v>82.177666037080868</v>
      </c>
      <c r="O25" s="56" t="str">
        <f>IF(J25="Cốt đơn","-",(K25*$K$16*$D$16*G25*G28/MIN($E$10*0.0035*(1-G27/($N$16*G28)),$E$16))/100)</f>
        <v>-</v>
      </c>
      <c r="P25" s="23">
        <v>9</v>
      </c>
      <c r="Q25" s="24">
        <v>32</v>
      </c>
      <c r="R25" s="23">
        <v>5</v>
      </c>
      <c r="S25" s="24">
        <v>32</v>
      </c>
      <c r="T25" s="45">
        <f t="shared" si="0"/>
        <v>112.59468070465819</v>
      </c>
      <c r="U25" s="7" t="str">
        <f>IF(N25&lt;T25,"OK","Not OK")</f>
        <v>OK</v>
      </c>
      <c r="V25" s="60">
        <f>MAX(0.26*($E$8/$E$9)*G25*G28/100,0.0013*G25*G28/100)</f>
        <v>21.35744</v>
      </c>
      <c r="W25" s="60">
        <f>0.04*G25*G26/100</f>
        <v>576</v>
      </c>
      <c r="X25" s="53">
        <f>T25/N25</f>
        <v>1.370137242080498</v>
      </c>
    </row>
    <row r="26" spans="1:24" ht="20.100000000000001" customHeight="1" x14ac:dyDescent="0.25">
      <c r="A26" s="72"/>
      <c r="B26" s="46"/>
      <c r="C26" s="46"/>
      <c r="D26" s="55"/>
      <c r="E26" s="21">
        <v>5700</v>
      </c>
      <c r="F26" s="7" t="s">
        <v>77</v>
      </c>
      <c r="G26" s="30">
        <v>1800</v>
      </c>
      <c r="H26" s="56"/>
      <c r="I26" s="63"/>
      <c r="J26" s="46"/>
      <c r="K26" s="56"/>
      <c r="L26" s="58"/>
      <c r="M26" s="56"/>
      <c r="N26" s="59"/>
      <c r="O26" s="56"/>
      <c r="P26" s="23"/>
      <c r="Q26" s="24"/>
      <c r="R26" s="23"/>
      <c r="S26" s="24"/>
      <c r="T26" s="45">
        <f t="shared" si="0"/>
        <v>0</v>
      </c>
      <c r="U26" s="7" t="str">
        <f>IF(O25="-","-",IF(O25&lt;T26,"OK","Not OK"))</f>
        <v>-</v>
      </c>
      <c r="V26" s="61"/>
      <c r="W26" s="61"/>
      <c r="X26" s="53"/>
    </row>
    <row r="27" spans="1:24" ht="20.100000000000001" customHeight="1" x14ac:dyDescent="0.25">
      <c r="A27" s="72"/>
      <c r="B27" s="46"/>
      <c r="C27" s="46"/>
      <c r="D27" s="54" t="s">
        <v>73</v>
      </c>
      <c r="E27" s="20" t="s">
        <v>59</v>
      </c>
      <c r="F27" s="7" t="s">
        <v>79</v>
      </c>
      <c r="G27" s="30">
        <v>100</v>
      </c>
      <c r="H27" s="56">
        <f>ABS(E28)*10^6/(G25*G28^2*$K$16*$H$16)</f>
        <v>0.17176686851211073</v>
      </c>
      <c r="I27" s="63"/>
      <c r="J27" s="46" t="str">
        <f>IF(H27&lt;=I25,"Cốt đơn","Cốt kép")</f>
        <v>Cốt đơn</v>
      </c>
      <c r="K27" s="56" t="str">
        <f>IF(J27="Cốt đơn","-",(H27-I25)/(1-G27/G28))</f>
        <v>-</v>
      </c>
      <c r="L27" s="57" t="str">
        <f>IF(J27="Cốt đơn","-",1-SQRT(1-2*I25))</f>
        <v>-</v>
      </c>
      <c r="M27" s="56">
        <f>IF(J27="Cốt đơn",1-SQRT(1-2*H27),K27+L27)</f>
        <v>0.18977394328756714</v>
      </c>
      <c r="N27" s="59">
        <f>(M27*$K$16*$H$16*G25*G28/$I$16)/100</f>
        <v>137.64936686458205</v>
      </c>
      <c r="O27" s="56" t="str">
        <f>IF(J27="Cốt đơn","-",(K27*$K$16*$H$16*G25*G28/MIN($E$10*0.0035*(1-G27/($N$16*G28)),$I$16))/100)</f>
        <v>-</v>
      </c>
      <c r="P27" s="23">
        <v>9</v>
      </c>
      <c r="Q27" s="24">
        <v>32</v>
      </c>
      <c r="R27" s="23">
        <v>5</v>
      </c>
      <c r="S27" s="24">
        <v>32</v>
      </c>
      <c r="T27" s="45">
        <f t="shared" si="0"/>
        <v>112.59468070465819</v>
      </c>
      <c r="U27" s="7" t="str">
        <f>IF(N27&lt;T27,"OK","Not OK")</f>
        <v>Not OK</v>
      </c>
      <c r="V27" s="61"/>
      <c r="W27" s="61"/>
      <c r="X27" s="53">
        <f>T27/N27</f>
        <v>0.81798182780911455</v>
      </c>
    </row>
    <row r="28" spans="1:24" ht="20.100000000000001" customHeight="1" x14ac:dyDescent="0.25">
      <c r="A28" s="72"/>
      <c r="B28" s="46"/>
      <c r="C28" s="46"/>
      <c r="D28" s="55"/>
      <c r="E28" s="21">
        <v>10590</v>
      </c>
      <c r="F28" s="7" t="s">
        <v>78</v>
      </c>
      <c r="G28" s="7">
        <f>G26-G27</f>
        <v>1700</v>
      </c>
      <c r="H28" s="56"/>
      <c r="I28" s="58"/>
      <c r="J28" s="46"/>
      <c r="K28" s="56"/>
      <c r="L28" s="58"/>
      <c r="M28" s="56"/>
      <c r="N28" s="59"/>
      <c r="O28" s="56"/>
      <c r="P28" s="23"/>
      <c r="Q28" s="24"/>
      <c r="R28" s="23"/>
      <c r="S28" s="24"/>
      <c r="T28" s="45">
        <f t="shared" si="0"/>
        <v>0</v>
      </c>
      <c r="U28" s="7" t="str">
        <f>IF(O27="-","-",IF(O27&lt;T28,"OK","Not OK"))</f>
        <v>-</v>
      </c>
      <c r="V28" s="62"/>
      <c r="W28" s="62"/>
      <c r="X28" s="53"/>
    </row>
    <row r="29" spans="1:24" ht="20.100000000000001" customHeight="1" x14ac:dyDescent="0.25">
      <c r="G29" s="31"/>
      <c r="H29" s="31"/>
    </row>
  </sheetData>
  <mergeCells count="87">
    <mergeCell ref="P20:T20"/>
    <mergeCell ref="U19:U20"/>
    <mergeCell ref="H21:H22"/>
    <mergeCell ref="J21:J22"/>
    <mergeCell ref="K21:K22"/>
    <mergeCell ref="K19:K20"/>
    <mergeCell ref="L19:L20"/>
    <mergeCell ref="M19:M20"/>
    <mergeCell ref="H19:H20"/>
    <mergeCell ref="I19:I20"/>
    <mergeCell ref="J19:J20"/>
    <mergeCell ref="A19:A20"/>
    <mergeCell ref="C21:C24"/>
    <mergeCell ref="J13:J15"/>
    <mergeCell ref="B21:B28"/>
    <mergeCell ref="A21:A28"/>
    <mergeCell ref="F19:G20"/>
    <mergeCell ref="C19:C20"/>
    <mergeCell ref="H23:H24"/>
    <mergeCell ref="I21:I24"/>
    <mergeCell ref="J23:J24"/>
    <mergeCell ref="D21:D22"/>
    <mergeCell ref="D23:D24"/>
    <mergeCell ref="D20:E20"/>
    <mergeCell ref="D19:E19"/>
    <mergeCell ref="B14:B15"/>
    <mergeCell ref="B13:E13"/>
    <mergeCell ref="K13:K15"/>
    <mergeCell ref="L13:L15"/>
    <mergeCell ref="M13:M15"/>
    <mergeCell ref="N13:N15"/>
    <mergeCell ref="B19:B20"/>
    <mergeCell ref="F13:I13"/>
    <mergeCell ref="F14:F15"/>
    <mergeCell ref="C14:C15"/>
    <mergeCell ref="G14:G15"/>
    <mergeCell ref="A1:B2"/>
    <mergeCell ref="A3:B3"/>
    <mergeCell ref="A4:B4"/>
    <mergeCell ref="A5:B5"/>
    <mergeCell ref="C3:J3"/>
    <mergeCell ref="C4:J4"/>
    <mergeCell ref="C5:J5"/>
    <mergeCell ref="C1:O2"/>
    <mergeCell ref="K5:L5"/>
    <mergeCell ref="K4:L4"/>
    <mergeCell ref="K3:L3"/>
    <mergeCell ref="M3:O3"/>
    <mergeCell ref="M4:O4"/>
    <mergeCell ref="M5:O5"/>
    <mergeCell ref="K25:K26"/>
    <mergeCell ref="V21:V24"/>
    <mergeCell ref="W21:W24"/>
    <mergeCell ref="X19:X20"/>
    <mergeCell ref="X21:X22"/>
    <mergeCell ref="X23:X24"/>
    <mergeCell ref="M23:M24"/>
    <mergeCell ref="N23:N24"/>
    <mergeCell ref="O23:O24"/>
    <mergeCell ref="L21:L22"/>
    <mergeCell ref="M21:M22"/>
    <mergeCell ref="N21:N22"/>
    <mergeCell ref="O21:O22"/>
    <mergeCell ref="K23:K24"/>
    <mergeCell ref="L23:L24"/>
    <mergeCell ref="P19:T19"/>
    <mergeCell ref="C25:C28"/>
    <mergeCell ref="D25:D26"/>
    <mergeCell ref="H25:H26"/>
    <mergeCell ref="I25:I28"/>
    <mergeCell ref="J25:J26"/>
    <mergeCell ref="X25:X26"/>
    <mergeCell ref="D27:D28"/>
    <mergeCell ref="H27:H28"/>
    <mergeCell ref="J27:J28"/>
    <mergeCell ref="K27:K28"/>
    <mergeCell ref="L27:L28"/>
    <mergeCell ref="M27:M28"/>
    <mergeCell ref="N27:N28"/>
    <mergeCell ref="O27:O28"/>
    <mergeCell ref="X27:X28"/>
    <mergeCell ref="L25:L26"/>
    <mergeCell ref="M25:M26"/>
    <mergeCell ref="N25:N26"/>
    <mergeCell ref="O25:O26"/>
    <mergeCell ref="V25:V28"/>
    <mergeCell ref="W25:W28"/>
  </mergeCells>
  <printOptions horizontalCentered="1"/>
  <pageMargins left="0.3" right="0.3" top="0.7" bottom="0.5" header="0.3" footer="0.3"/>
  <pageSetup paperSize="9" scale="70" orientation="landscape" r:id="rId1"/>
  <ignoredErrors>
    <ignoredError sqref="U22:U25 H23 J23:L23 H25 J25:L25 N23:O23 U26:U27 N25:O25" 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Data!$A$4:$A$20</xm:f>
          </x14:formula1>
          <xm:sqref>C7:C8</xm:sqref>
        </x14:dataValidation>
        <x14:dataValidation type="list" allowBlank="1" showInputMessage="1" showErrorMessage="1">
          <x14:formula1>
            <xm:f>Data!$A$25:$A$29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view="pageBreakPreview" topLeftCell="A13" zoomScaleNormal="100" zoomScaleSheetLayoutView="100" workbookViewId="0">
      <selection activeCell="F32" sqref="F32"/>
    </sheetView>
  </sheetViews>
  <sheetFormatPr defaultColWidth="10.7109375" defaultRowHeight="20.100000000000001" customHeight="1" x14ac:dyDescent="0.25"/>
  <cols>
    <col min="1" max="8" width="10.7109375" style="1"/>
    <col min="9" max="9" width="8.7109375" style="1" customWidth="1"/>
    <col min="10" max="10" width="8.140625" style="1" hidden="1" customWidth="1"/>
    <col min="11" max="11" width="10.7109375" style="1"/>
    <col min="12" max="12" width="8.7109375" style="1" customWidth="1"/>
    <col min="13" max="13" width="10.7109375" style="1"/>
    <col min="14" max="14" width="7.140625" style="1" hidden="1" customWidth="1"/>
    <col min="15" max="16" width="10.7109375" style="1"/>
    <col min="17" max="17" width="8.7109375" style="1" customWidth="1"/>
    <col min="18" max="19" width="10.7109375" style="1"/>
    <col min="20" max="20" width="11.7109375" style="1" customWidth="1"/>
    <col min="21" max="23" width="5.7109375" style="1" customWidth="1"/>
    <col min="24" max="16384" width="10.7109375" style="1"/>
  </cols>
  <sheetData>
    <row r="1" spans="1:15" ht="20.100000000000001" customHeight="1" x14ac:dyDescent="0.25">
      <c r="A1" s="52" t="s">
        <v>90</v>
      </c>
      <c r="B1" s="52"/>
      <c r="C1" s="65" t="s">
        <v>109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2" spans="1:15" ht="20.100000000000001" customHeight="1" x14ac:dyDescent="0.25">
      <c r="A2" s="52"/>
      <c r="B2" s="52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15" ht="20.100000000000001" customHeight="1" x14ac:dyDescent="0.25">
      <c r="A3" s="52" t="s">
        <v>92</v>
      </c>
      <c r="B3" s="52"/>
      <c r="C3" s="84" t="str">
        <f>'Cal-M'!C3:J3</f>
        <v>xxx</v>
      </c>
      <c r="D3" s="85"/>
      <c r="E3" s="85"/>
      <c r="F3" s="85"/>
      <c r="G3" s="85"/>
      <c r="H3" s="85"/>
      <c r="I3" s="85"/>
      <c r="J3" s="85"/>
      <c r="K3" s="52" t="s">
        <v>96</v>
      </c>
      <c r="L3" s="52"/>
      <c r="M3" s="86" t="str">
        <f>'Cal-M'!M3</f>
        <v>BMT</v>
      </c>
      <c r="N3" s="86"/>
      <c r="O3" s="86"/>
    </row>
    <row r="4" spans="1:15" ht="20.100000000000001" customHeight="1" x14ac:dyDescent="0.25">
      <c r="A4" s="52" t="s">
        <v>93</v>
      </c>
      <c r="B4" s="52"/>
      <c r="C4" s="84" t="str">
        <f>'Cal-M'!C4:J4</f>
        <v>xxx</v>
      </c>
      <c r="D4" s="85"/>
      <c r="E4" s="85"/>
      <c r="F4" s="85"/>
      <c r="G4" s="85"/>
      <c r="H4" s="85"/>
      <c r="I4" s="85"/>
      <c r="J4" s="85"/>
      <c r="K4" s="52" t="s">
        <v>97</v>
      </c>
      <c r="L4" s="52"/>
      <c r="M4" s="86" t="str">
        <f>'Cal-M'!M4</f>
        <v>BMT</v>
      </c>
      <c r="N4" s="86"/>
      <c r="O4" s="86"/>
    </row>
    <row r="5" spans="1:15" ht="20.100000000000001" customHeight="1" x14ac:dyDescent="0.25">
      <c r="A5" s="52" t="s">
        <v>94</v>
      </c>
      <c r="B5" s="52"/>
      <c r="C5" s="46" t="s">
        <v>95</v>
      </c>
      <c r="D5" s="46"/>
      <c r="E5" s="46"/>
      <c r="F5" s="46"/>
      <c r="G5" s="46"/>
      <c r="H5" s="46"/>
      <c r="I5" s="46"/>
      <c r="J5" s="46"/>
      <c r="K5" s="52" t="s">
        <v>98</v>
      </c>
      <c r="L5" s="52"/>
      <c r="M5" s="67">
        <f ca="1">TODAY()</f>
        <v>44811</v>
      </c>
      <c r="N5" s="46"/>
      <c r="O5" s="46"/>
    </row>
    <row r="6" spans="1:15" ht="20.100000000000001" customHeight="1" x14ac:dyDescent="0.25">
      <c r="A6" s="32" t="s">
        <v>47</v>
      </c>
    </row>
    <row r="7" spans="1:15" ht="20.100000000000001" customHeight="1" x14ac:dyDescent="0.25">
      <c r="A7" s="1" t="s">
        <v>48</v>
      </c>
      <c r="C7" s="34" t="str">
        <f>'Cal-M'!C7</f>
        <v>B40</v>
      </c>
      <c r="D7" s="17" t="s">
        <v>106</v>
      </c>
      <c r="E7" s="34">
        <f>'Cal-M'!E7</f>
        <v>32</v>
      </c>
      <c r="F7" s="16" t="s">
        <v>49</v>
      </c>
    </row>
    <row r="8" spans="1:15" ht="20.100000000000001" customHeight="1" x14ac:dyDescent="0.25">
      <c r="C8" s="34"/>
      <c r="D8" s="17" t="s">
        <v>122</v>
      </c>
      <c r="E8" s="34">
        <f>'Cal-M'!E8</f>
        <v>3.02</v>
      </c>
      <c r="F8" s="16" t="s">
        <v>49</v>
      </c>
    </row>
    <row r="9" spans="1:15" ht="20.100000000000001" customHeight="1" x14ac:dyDescent="0.25">
      <c r="A9" s="1" t="s">
        <v>52</v>
      </c>
      <c r="C9" s="15" t="s">
        <v>42</v>
      </c>
      <c r="D9" s="17" t="s">
        <v>110</v>
      </c>
      <c r="E9" s="12">
        <f>VLOOKUP(C9,Data!A25:C29,2,0)</f>
        <v>400</v>
      </c>
      <c r="F9" s="16" t="s">
        <v>49</v>
      </c>
    </row>
    <row r="10" spans="1:15" ht="20.100000000000001" customHeight="1" x14ac:dyDescent="0.25">
      <c r="C10" s="15"/>
      <c r="D10" s="17"/>
      <c r="E10" s="12"/>
      <c r="F10" s="16"/>
    </row>
    <row r="11" spans="1:15" ht="20.100000000000001" customHeight="1" x14ac:dyDescent="0.25">
      <c r="A11" s="32" t="s">
        <v>88</v>
      </c>
      <c r="D11" s="12"/>
      <c r="E11" s="12"/>
      <c r="F11" s="16"/>
      <c r="I11" s="16"/>
      <c r="K11" s="12"/>
      <c r="L11" s="12"/>
    </row>
    <row r="13" spans="1:15" ht="20.100000000000001" customHeight="1" x14ac:dyDescent="0.25">
      <c r="B13" s="74" t="s">
        <v>68</v>
      </c>
      <c r="C13" s="74"/>
      <c r="D13" s="74"/>
      <c r="E13" s="74"/>
      <c r="F13" s="74" t="s">
        <v>69</v>
      </c>
      <c r="G13" s="74"/>
      <c r="H13" s="74"/>
      <c r="I13" s="74"/>
      <c r="K13" s="70" t="s">
        <v>140</v>
      </c>
      <c r="L13" s="70" t="s">
        <v>118</v>
      </c>
      <c r="N13" s="37"/>
    </row>
    <row r="14" spans="1:15" ht="20.100000000000001" customHeight="1" x14ac:dyDescent="0.25">
      <c r="B14" s="70" t="s">
        <v>101</v>
      </c>
      <c r="C14" s="70" t="s">
        <v>102</v>
      </c>
      <c r="D14" s="20" t="s">
        <v>61</v>
      </c>
      <c r="E14" s="20" t="s">
        <v>111</v>
      </c>
      <c r="F14" s="70" t="s">
        <v>101</v>
      </c>
      <c r="G14" s="70" t="s">
        <v>102</v>
      </c>
      <c r="H14" s="20" t="s">
        <v>61</v>
      </c>
      <c r="I14" s="20" t="s">
        <v>111</v>
      </c>
      <c r="K14" s="70"/>
      <c r="L14" s="70"/>
      <c r="N14" s="37"/>
    </row>
    <row r="15" spans="1:15" ht="20.100000000000001" customHeight="1" x14ac:dyDescent="0.25">
      <c r="B15" s="70"/>
      <c r="C15" s="70"/>
      <c r="D15" s="13" t="s">
        <v>49</v>
      </c>
      <c r="E15" s="13" t="s">
        <v>49</v>
      </c>
      <c r="F15" s="70"/>
      <c r="G15" s="70"/>
      <c r="H15" s="13" t="s">
        <v>49</v>
      </c>
      <c r="I15" s="13" t="s">
        <v>49</v>
      </c>
      <c r="K15" s="70"/>
      <c r="L15" s="70"/>
      <c r="N15" s="37"/>
    </row>
    <row r="16" spans="1:15" ht="20.100000000000001" customHeight="1" x14ac:dyDescent="0.25">
      <c r="B16" s="7">
        <v>1.5</v>
      </c>
      <c r="C16" s="7">
        <v>1.1499999999999999</v>
      </c>
      <c r="D16" s="14">
        <f>$K$16*$E$7/$B$16</f>
        <v>21.333333333333332</v>
      </c>
      <c r="E16" s="14">
        <f>$E$9/$C$16</f>
        <v>347.82608695652175</v>
      </c>
      <c r="F16" s="7">
        <v>1.2</v>
      </c>
      <c r="G16" s="7">
        <v>1</v>
      </c>
      <c r="H16" s="14">
        <f>$K$16*$E$7/$F$16</f>
        <v>26.666666666666668</v>
      </c>
      <c r="I16" s="14">
        <f>$E$9/$G$16</f>
        <v>400</v>
      </c>
      <c r="K16" s="7">
        <v>1</v>
      </c>
      <c r="L16" s="22">
        <f>0.6*(1-($E$7/250))</f>
        <v>0.5232</v>
      </c>
      <c r="N16" s="25"/>
    </row>
    <row r="18" spans="1:24" ht="20.100000000000001" customHeight="1" x14ac:dyDescent="0.25">
      <c r="A18" s="32" t="s">
        <v>89</v>
      </c>
    </row>
    <row r="19" spans="1:24" ht="20.100000000000001" customHeight="1" x14ac:dyDescent="0.25">
      <c r="A19" s="70" t="s">
        <v>83</v>
      </c>
      <c r="B19" s="71" t="s">
        <v>82</v>
      </c>
      <c r="C19" s="71" t="s">
        <v>81</v>
      </c>
      <c r="D19" s="70" t="s">
        <v>53</v>
      </c>
      <c r="E19" s="70"/>
      <c r="F19" s="70"/>
      <c r="G19" s="70" t="s">
        <v>57</v>
      </c>
      <c r="H19" s="70"/>
      <c r="I19" s="70" t="s">
        <v>114</v>
      </c>
      <c r="J19" s="7" t="s">
        <v>115</v>
      </c>
      <c r="K19" s="20" t="s">
        <v>127</v>
      </c>
      <c r="L19" s="70" t="s">
        <v>128</v>
      </c>
      <c r="M19" s="20" t="s">
        <v>129</v>
      </c>
      <c r="N19" s="46" t="s">
        <v>116</v>
      </c>
      <c r="O19" s="20" t="s">
        <v>130</v>
      </c>
      <c r="P19" s="20" t="s">
        <v>117</v>
      </c>
      <c r="Q19" s="70" t="s">
        <v>119</v>
      </c>
      <c r="R19" s="20" t="s">
        <v>131</v>
      </c>
      <c r="S19" s="46" t="s">
        <v>97</v>
      </c>
      <c r="T19" s="20" t="s">
        <v>132</v>
      </c>
      <c r="U19" s="83" t="s">
        <v>74</v>
      </c>
      <c r="V19" s="83"/>
      <c r="W19" s="83"/>
      <c r="X19" s="46" t="s">
        <v>75</v>
      </c>
    </row>
    <row r="20" spans="1:24" ht="20.100000000000001" customHeight="1" x14ac:dyDescent="0.25">
      <c r="A20" s="70"/>
      <c r="B20" s="71"/>
      <c r="C20" s="71"/>
      <c r="D20" s="52" t="s">
        <v>56</v>
      </c>
      <c r="E20" s="52"/>
      <c r="F20" s="52"/>
      <c r="G20" s="70"/>
      <c r="H20" s="70"/>
      <c r="I20" s="70"/>
      <c r="J20" s="13" t="s">
        <v>58</v>
      </c>
      <c r="K20" s="13" t="s">
        <v>65</v>
      </c>
      <c r="L20" s="70"/>
      <c r="M20" s="13" t="s">
        <v>49</v>
      </c>
      <c r="N20" s="46"/>
      <c r="O20" s="35" t="s">
        <v>56</v>
      </c>
      <c r="P20" s="13" t="s">
        <v>58</v>
      </c>
      <c r="Q20" s="70"/>
      <c r="R20" s="35" t="s">
        <v>56</v>
      </c>
      <c r="S20" s="46"/>
      <c r="T20" s="36" t="s">
        <v>112</v>
      </c>
      <c r="U20" s="73" t="s">
        <v>112</v>
      </c>
      <c r="V20" s="73"/>
      <c r="W20" s="73"/>
      <c r="X20" s="46"/>
    </row>
    <row r="21" spans="1:24" ht="20.100000000000001" customHeight="1" x14ac:dyDescent="0.25">
      <c r="A21" s="72">
        <f>'Cal-M'!A21</f>
        <v>5</v>
      </c>
      <c r="B21" s="46" t="str">
        <f>'Cal-M'!B21</f>
        <v>B2-01</v>
      </c>
      <c r="C21" s="80" t="str">
        <f>'Cal-M'!C21</f>
        <v>Gối</v>
      </c>
      <c r="D21" s="54" t="s">
        <v>72</v>
      </c>
      <c r="E21" s="20" t="s">
        <v>60</v>
      </c>
      <c r="F21" s="20" t="s">
        <v>70</v>
      </c>
      <c r="G21" s="7" t="s">
        <v>76</v>
      </c>
      <c r="H21" s="38">
        <f>'Cal-M'!G21</f>
        <v>800</v>
      </c>
      <c r="I21" s="46">
        <f>0.18/$B$16</f>
        <v>0.12</v>
      </c>
      <c r="J21" s="46">
        <f>MIN(2,1+SQRT(200/H24))</f>
        <v>1.3429971702850176</v>
      </c>
      <c r="K21" s="59">
        <f>'Cal-M'!T21</f>
        <v>112.59468070465819</v>
      </c>
      <c r="L21" s="53">
        <f>K21*100/H21/H24</f>
        <v>8.279020640048396E-3</v>
      </c>
      <c r="M21" s="56">
        <f>MIN(0.2*$D$16,ABS(F22)*1000/H21/H22)</f>
        <v>0</v>
      </c>
      <c r="N21" s="56">
        <f>0.035*J21^1.5*$E$7^0.5</f>
        <v>0.30814539358442977</v>
      </c>
      <c r="O21" s="53">
        <f>(MAX((I21*J21*(100*L21*$E$7)^1/3+0.15*M21)*H21*H24,(N21+0.15*M21)*H21*H24))/1000</f>
        <v>1935.5435209664124</v>
      </c>
      <c r="P21" s="46">
        <f>0.9*H24</f>
        <v>1530</v>
      </c>
      <c r="Q21" s="79">
        <v>45</v>
      </c>
      <c r="R21" s="53">
        <f>($K$16*H21*P21*$L$16*$D$16/(_xlfn.COT(RADIANS(Q21))+TAN(RADIANS(Q21))))/1000</f>
        <v>6830.8991999999998</v>
      </c>
      <c r="S21" s="64" t="str">
        <f>IF(ABS(E22)&lt;O21,"Cốt đai cấu tạo",IF(ABS(E22)&gt;R21,"Tăng tiết diện","Cần bố trí cốt đai"))</f>
        <v>Cốt đai cấu tạo</v>
      </c>
      <c r="T21" s="77">
        <f>IF(S21="Cốt đai cấu tạo",H21*SIN(RADIANS(90))*0.08*SQRT($E$7)/$E$9,IF(S21="Tăng tiết diện","-",ABS(E22)*1000/(P21*$E$16*_xlfn.COT(RADIANS(Q21)))))</f>
        <v>0.90509667991878084</v>
      </c>
      <c r="U21" s="42">
        <v>5</v>
      </c>
      <c r="V21" s="43">
        <v>16</v>
      </c>
      <c r="W21" s="44">
        <v>100</v>
      </c>
      <c r="X21" s="46" t="str">
        <f>IF(T21="-","FALSE",IF(T21&lt;=U22,"OK","Not OK"))</f>
        <v>OK</v>
      </c>
    </row>
    <row r="22" spans="1:24" ht="20.100000000000001" customHeight="1" x14ac:dyDescent="0.25">
      <c r="A22" s="72"/>
      <c r="B22" s="46"/>
      <c r="C22" s="81"/>
      <c r="D22" s="55"/>
      <c r="E22" s="21">
        <v>211.35149999999999</v>
      </c>
      <c r="F22" s="21">
        <v>0</v>
      </c>
      <c r="G22" s="7" t="s">
        <v>77</v>
      </c>
      <c r="H22" s="38">
        <f>'Cal-M'!G22</f>
        <v>1800</v>
      </c>
      <c r="I22" s="46"/>
      <c r="J22" s="46"/>
      <c r="K22" s="59"/>
      <c r="L22" s="53"/>
      <c r="M22" s="56"/>
      <c r="N22" s="56"/>
      <c r="O22" s="53"/>
      <c r="P22" s="46"/>
      <c r="Q22" s="79"/>
      <c r="R22" s="53"/>
      <c r="S22" s="64"/>
      <c r="T22" s="78"/>
      <c r="U22" s="53">
        <f>U21*0.25*PI()*V21^2/W21</f>
        <v>10.053096491487338</v>
      </c>
      <c r="V22" s="53"/>
      <c r="W22" s="53"/>
      <c r="X22" s="46"/>
    </row>
    <row r="23" spans="1:24" ht="20.100000000000001" customHeight="1" x14ac:dyDescent="0.25">
      <c r="A23" s="72"/>
      <c r="B23" s="46"/>
      <c r="C23" s="81"/>
      <c r="D23" s="54" t="s">
        <v>73</v>
      </c>
      <c r="E23" s="20" t="s">
        <v>60</v>
      </c>
      <c r="F23" s="20" t="s">
        <v>70</v>
      </c>
      <c r="G23" s="7" t="s">
        <v>79</v>
      </c>
      <c r="H23" s="38">
        <f>'Cal-M'!G23</f>
        <v>100</v>
      </c>
      <c r="I23" s="46">
        <f>0.18/$F$16</f>
        <v>0.15</v>
      </c>
      <c r="J23" s="46"/>
      <c r="K23" s="59">
        <f>'Cal-M'!T23</f>
        <v>112.59468070465819</v>
      </c>
      <c r="L23" s="53">
        <f>K23*100/H21/H24</f>
        <v>8.279020640048396E-3</v>
      </c>
      <c r="M23" s="56">
        <f>MIN(0.2*$H$16,ABS(F24)*1000/H21/H22)</f>
        <v>0.1388888888888889</v>
      </c>
      <c r="N23" s="56"/>
      <c r="O23" s="53">
        <f>(MAX((I23*J21*(100*L23*$E$7)^1/3+0.15*M23)*H21*H24,(N21+0.15*M23)*H21*H24))/1000</f>
        <v>2447.7627345413489</v>
      </c>
      <c r="P23" s="46"/>
      <c r="Q23" s="79"/>
      <c r="R23" s="53">
        <f>($K$16*H21*P21*$L$16*$H$16/(_xlfn.COT(RADIANS(Q21))+TAN(RADIANS(Q21))))/1000</f>
        <v>8538.6240000000016</v>
      </c>
      <c r="S23" s="64" t="str">
        <f>IF(ABS(E24)&lt;O23,"Cốt đai cấu tạo",IF(ABS(E24)&gt;R23,"Tăng tiết diện","Cần bố trí cốt đai"))</f>
        <v>Cần bố trí cốt đai</v>
      </c>
      <c r="T23" s="53">
        <f>IF(S23="Cốt đai cấu tạo",H21*SIN(RADIANS(90))*0.08*SQRT($E$7)/$E$9,IF(S23="Tăng tiết diện","-",ABS(E24)*1000/(P21*$I$16*_xlfn.COT(RADIANS(Q21)))))</f>
        <v>7.6143790849673199</v>
      </c>
      <c r="U23" s="42">
        <v>5</v>
      </c>
      <c r="V23" s="43">
        <v>16</v>
      </c>
      <c r="W23" s="44">
        <v>100</v>
      </c>
      <c r="X23" s="46" t="str">
        <f>IF(T23="-","FALSE",IF(T23&lt;=U24,"OK","Not OK"))</f>
        <v>OK</v>
      </c>
    </row>
    <row r="24" spans="1:24" ht="20.100000000000001" customHeight="1" x14ac:dyDescent="0.25">
      <c r="A24" s="72"/>
      <c r="B24" s="46"/>
      <c r="C24" s="82"/>
      <c r="D24" s="55"/>
      <c r="E24" s="21">
        <v>4660</v>
      </c>
      <c r="F24" s="21">
        <v>200</v>
      </c>
      <c r="G24" s="7" t="s">
        <v>78</v>
      </c>
      <c r="H24" s="7">
        <f>H22-H23</f>
        <v>1700</v>
      </c>
      <c r="I24" s="46"/>
      <c r="J24" s="46"/>
      <c r="K24" s="59"/>
      <c r="L24" s="53"/>
      <c r="M24" s="56"/>
      <c r="N24" s="56"/>
      <c r="O24" s="53"/>
      <c r="P24" s="46"/>
      <c r="Q24" s="79"/>
      <c r="R24" s="53"/>
      <c r="S24" s="64"/>
      <c r="T24" s="53"/>
      <c r="U24" s="53">
        <f>U23*0.25*PI()*V23^2/W23</f>
        <v>10.053096491487338</v>
      </c>
      <c r="V24" s="53"/>
      <c r="W24" s="53"/>
      <c r="X24" s="46"/>
    </row>
    <row r="25" spans="1:24" ht="20.100000000000001" customHeight="1" x14ac:dyDescent="0.25">
      <c r="A25" s="72"/>
      <c r="B25" s="46"/>
      <c r="C25" s="46" t="s">
        <v>145</v>
      </c>
      <c r="D25" s="54" t="s">
        <v>72</v>
      </c>
      <c r="E25" s="20" t="s">
        <v>60</v>
      </c>
      <c r="F25" s="20" t="s">
        <v>70</v>
      </c>
      <c r="G25" s="7" t="s">
        <v>76</v>
      </c>
      <c r="H25" s="38">
        <f>'Cal-M'!G25</f>
        <v>800</v>
      </c>
      <c r="I25" s="46">
        <f>0.18/$B$16</f>
        <v>0.12</v>
      </c>
      <c r="J25" s="46">
        <f>MIN(2,1+SQRT(200/H28))</f>
        <v>1.3429971702850176</v>
      </c>
      <c r="K25" s="59">
        <f>'Cal-M'!T25</f>
        <v>112.59468070465819</v>
      </c>
      <c r="L25" s="53">
        <f>K25*100/H25/H28</f>
        <v>8.279020640048396E-3</v>
      </c>
      <c r="M25" s="56">
        <f>MIN(0.2*$D$16,ABS(F26)*1000/H25/H26)</f>
        <v>0</v>
      </c>
      <c r="N25" s="56">
        <f>0.035*J25^1.5*$E$7^0.5</f>
        <v>0.30814539358442977</v>
      </c>
      <c r="O25" s="53">
        <f>(MAX((I25*J25*(100*L25*$E$7)^1/3+0.15*M25)*H25*H28,(N25+0.15*M25)*H25*H28))/1000</f>
        <v>1935.5435209664124</v>
      </c>
      <c r="P25" s="46">
        <f>0.9*H28</f>
        <v>1530</v>
      </c>
      <c r="Q25" s="79">
        <v>45</v>
      </c>
      <c r="R25" s="53">
        <f>($K$16*H25*P25*$L$16*$D$16/(_xlfn.COT(RADIANS(Q25))+TAN(RADIANS(Q25))))/1000</f>
        <v>6830.8991999999998</v>
      </c>
      <c r="S25" s="64" t="str">
        <f>IF(ABS(E26)&lt;O25,"Cốt đai cấu tạo",IF(ABS(E26)&gt;R25,"Tăng tiết diện","Cần bố trí cốt đai"))</f>
        <v>Cốt đai cấu tạo</v>
      </c>
      <c r="T25" s="77">
        <f>IF(S25="Cốt đai cấu tạo",H25*SIN(RADIANS(90))*0.08*SQRT($E$7)/$E$9,IF(S25="Tăng tiết diện","-",ABS(E26)*1000/(P25*$E$16*_xlfn.COT(RADIANS(Q25)))))</f>
        <v>0.90509667991878084</v>
      </c>
      <c r="U25" s="42">
        <v>5</v>
      </c>
      <c r="V25" s="43">
        <v>16</v>
      </c>
      <c r="W25" s="44">
        <v>100</v>
      </c>
      <c r="X25" s="46" t="str">
        <f>IF(T25="-","FALSE",IF(T25&lt;=U26,"OK","Not OK"))</f>
        <v>OK</v>
      </c>
    </row>
    <row r="26" spans="1:24" ht="20.100000000000001" customHeight="1" x14ac:dyDescent="0.25">
      <c r="A26" s="72"/>
      <c r="B26" s="46"/>
      <c r="C26" s="46"/>
      <c r="D26" s="55"/>
      <c r="E26" s="21">
        <v>211.35149999999999</v>
      </c>
      <c r="F26" s="21">
        <v>0</v>
      </c>
      <c r="G26" s="7" t="s">
        <v>77</v>
      </c>
      <c r="H26" s="38">
        <f>'Cal-M'!G26</f>
        <v>1800</v>
      </c>
      <c r="I26" s="46"/>
      <c r="J26" s="46"/>
      <c r="K26" s="59"/>
      <c r="L26" s="53"/>
      <c r="M26" s="56"/>
      <c r="N26" s="56"/>
      <c r="O26" s="53"/>
      <c r="P26" s="46"/>
      <c r="Q26" s="79"/>
      <c r="R26" s="53"/>
      <c r="S26" s="64"/>
      <c r="T26" s="78"/>
      <c r="U26" s="53">
        <f>U25*0.25*PI()*V25^2/W25</f>
        <v>10.053096491487338</v>
      </c>
      <c r="V26" s="53"/>
      <c r="W26" s="53"/>
      <c r="X26" s="46"/>
    </row>
    <row r="27" spans="1:24" ht="20.100000000000001" customHeight="1" x14ac:dyDescent="0.25">
      <c r="A27" s="72"/>
      <c r="B27" s="46"/>
      <c r="C27" s="46"/>
      <c r="D27" s="54" t="s">
        <v>73</v>
      </c>
      <c r="E27" s="20" t="s">
        <v>60</v>
      </c>
      <c r="F27" s="20" t="s">
        <v>70</v>
      </c>
      <c r="G27" s="7" t="s">
        <v>79</v>
      </c>
      <c r="H27" s="38">
        <f>'Cal-M'!G27</f>
        <v>100</v>
      </c>
      <c r="I27" s="46">
        <f>0.18/$F$16</f>
        <v>0.15</v>
      </c>
      <c r="J27" s="46"/>
      <c r="K27" s="59">
        <f>'Cal-M'!T27</f>
        <v>112.59468070465819</v>
      </c>
      <c r="L27" s="53">
        <f>K27*100/H25/H28</f>
        <v>8.279020640048396E-3</v>
      </c>
      <c r="M27" s="56">
        <f>MIN(0.2*$H$16,ABS(F28)*1000/H25/H26)</f>
        <v>0.1388888888888889</v>
      </c>
      <c r="N27" s="56"/>
      <c r="O27" s="53">
        <f>(MAX((I27*J25*(100*L27*$E$7)^1/3+0.15*M27)*H25*H28,(N25+0.15*M27)*H25*H28))/1000</f>
        <v>2447.7627345413489</v>
      </c>
      <c r="P27" s="46"/>
      <c r="Q27" s="79"/>
      <c r="R27" s="53">
        <f>($K$16*H25*P25*$L$16*$H$16/(_xlfn.COT(RADIANS(Q25))+TAN(RADIANS(Q25))))/1000</f>
        <v>8538.6240000000016</v>
      </c>
      <c r="S27" s="64" t="str">
        <f>IF(ABS(E28)&lt;O27,"Cốt đai cấu tạo",IF(ABS(E28)&gt;R27,"Tăng tiết diện","Cần bố trí cốt đai"))</f>
        <v>Cần bố trí cốt đai</v>
      </c>
      <c r="T27" s="53">
        <f>IF(S27="Cốt đai cấu tạo",H25*SIN(RADIANS(90))*0.08*SQRT($E$7)/$E$9,IF(S27="Tăng tiết diện","-",ABS(E28)*1000/(P25*$I$16*_xlfn.COT(RADIANS(Q25)))))</f>
        <v>7.6143790849673199</v>
      </c>
      <c r="U27" s="42">
        <v>5</v>
      </c>
      <c r="V27" s="43">
        <v>16</v>
      </c>
      <c r="W27" s="44">
        <v>100</v>
      </c>
      <c r="X27" s="46" t="str">
        <f>IF(T27="-","FALSE",IF(T27&lt;=U28,"OK","Not OK"))</f>
        <v>OK</v>
      </c>
    </row>
    <row r="28" spans="1:24" ht="20.100000000000001" customHeight="1" x14ac:dyDescent="0.25">
      <c r="A28" s="72"/>
      <c r="B28" s="46"/>
      <c r="C28" s="46"/>
      <c r="D28" s="55"/>
      <c r="E28" s="21">
        <v>4660</v>
      </c>
      <c r="F28" s="21">
        <v>200</v>
      </c>
      <c r="G28" s="7" t="s">
        <v>78</v>
      </c>
      <c r="H28" s="7">
        <f>H26-H27</f>
        <v>1700</v>
      </c>
      <c r="I28" s="46"/>
      <c r="J28" s="46"/>
      <c r="K28" s="59"/>
      <c r="L28" s="53"/>
      <c r="M28" s="56"/>
      <c r="N28" s="56"/>
      <c r="O28" s="53"/>
      <c r="P28" s="46"/>
      <c r="Q28" s="79"/>
      <c r="R28" s="53"/>
      <c r="S28" s="64"/>
      <c r="T28" s="53"/>
      <c r="U28" s="53">
        <f>U27*0.25*PI()*V27^2/W27</f>
        <v>10.053096491487338</v>
      </c>
      <c r="V28" s="53"/>
      <c r="W28" s="53"/>
      <c r="X28" s="46"/>
    </row>
    <row r="32" spans="1:24" ht="20.100000000000001" customHeight="1" x14ac:dyDescent="0.25">
      <c r="M32" s="12"/>
    </row>
  </sheetData>
  <mergeCells count="92">
    <mergeCell ref="A1:B2"/>
    <mergeCell ref="C1:O2"/>
    <mergeCell ref="A3:B3"/>
    <mergeCell ref="C3:J3"/>
    <mergeCell ref="K3:L3"/>
    <mergeCell ref="M3:O3"/>
    <mergeCell ref="M4:O4"/>
    <mergeCell ref="A5:B5"/>
    <mergeCell ref="C5:J5"/>
    <mergeCell ref="K5:L5"/>
    <mergeCell ref="M5:O5"/>
    <mergeCell ref="B13:E13"/>
    <mergeCell ref="F13:I13"/>
    <mergeCell ref="K13:K15"/>
    <mergeCell ref="L13:L15"/>
    <mergeCell ref="A4:B4"/>
    <mergeCell ref="C4:J4"/>
    <mergeCell ref="K4:L4"/>
    <mergeCell ref="D23:D24"/>
    <mergeCell ref="I19:I20"/>
    <mergeCell ref="L19:L20"/>
    <mergeCell ref="B14:B15"/>
    <mergeCell ref="C14:C15"/>
    <mergeCell ref="F14:F15"/>
    <mergeCell ref="G14:G15"/>
    <mergeCell ref="G19:H20"/>
    <mergeCell ref="I21:I22"/>
    <mergeCell ref="K21:K22"/>
    <mergeCell ref="L21:L22"/>
    <mergeCell ref="M21:M22"/>
    <mergeCell ref="D21:D22"/>
    <mergeCell ref="O21:O22"/>
    <mergeCell ref="R21:R22"/>
    <mergeCell ref="N19:N20"/>
    <mergeCell ref="J21:J24"/>
    <mergeCell ref="N21:N24"/>
    <mergeCell ref="U19:W19"/>
    <mergeCell ref="U20:W20"/>
    <mergeCell ref="U22:W22"/>
    <mergeCell ref="P21:P24"/>
    <mergeCell ref="Q19:Q20"/>
    <mergeCell ref="Q21:Q24"/>
    <mergeCell ref="S23:S24"/>
    <mergeCell ref="T23:T24"/>
    <mergeCell ref="S19:S20"/>
    <mergeCell ref="S21:S22"/>
    <mergeCell ref="T21:T22"/>
    <mergeCell ref="U24:W24"/>
    <mergeCell ref="X23:X24"/>
    <mergeCell ref="D19:F19"/>
    <mergeCell ref="D20:F20"/>
    <mergeCell ref="A19:A20"/>
    <mergeCell ref="B19:B20"/>
    <mergeCell ref="C19:C20"/>
    <mergeCell ref="C21:C24"/>
    <mergeCell ref="X19:X20"/>
    <mergeCell ref="X21:X22"/>
    <mergeCell ref="I23:I24"/>
    <mergeCell ref="K23:K24"/>
    <mergeCell ref="L23:L24"/>
    <mergeCell ref="M23:M24"/>
    <mergeCell ref="O23:O24"/>
    <mergeCell ref="R23:R24"/>
    <mergeCell ref="S25:S26"/>
    <mergeCell ref="S27:S28"/>
    <mergeCell ref="D25:D26"/>
    <mergeCell ref="I25:I26"/>
    <mergeCell ref="J25:J28"/>
    <mergeCell ref="K25:K26"/>
    <mergeCell ref="L25:L26"/>
    <mergeCell ref="M25:M26"/>
    <mergeCell ref="N25:N28"/>
    <mergeCell ref="O25:O26"/>
    <mergeCell ref="P25:P28"/>
    <mergeCell ref="Q25:Q28"/>
    <mergeCell ref="R25:R26"/>
    <mergeCell ref="C25:C28"/>
    <mergeCell ref="B21:B28"/>
    <mergeCell ref="A21:A28"/>
    <mergeCell ref="T27:T28"/>
    <mergeCell ref="X27:X28"/>
    <mergeCell ref="U28:W28"/>
    <mergeCell ref="T25:T26"/>
    <mergeCell ref="X25:X26"/>
    <mergeCell ref="U26:W26"/>
    <mergeCell ref="D27:D28"/>
    <mergeCell ref="I27:I28"/>
    <mergeCell ref="K27:K28"/>
    <mergeCell ref="L27:L28"/>
    <mergeCell ref="M27:M28"/>
    <mergeCell ref="O27:O28"/>
    <mergeCell ref="R27:R28"/>
  </mergeCells>
  <printOptions horizontalCentered="1"/>
  <pageMargins left="0.25" right="0.25" top="0.7" bottom="0.5" header="0.3" footer="0.3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Data!$A$25:$A$29</xm:f>
          </x14:formula1>
          <xm:sqref>C9:C10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view="pageBreakPreview" zoomScaleNormal="100" zoomScaleSheetLayoutView="100" workbookViewId="0">
      <selection activeCell="P23" sqref="P23:P24"/>
    </sheetView>
  </sheetViews>
  <sheetFormatPr defaultColWidth="10.7109375" defaultRowHeight="20.100000000000001" customHeight="1" x14ac:dyDescent="0.25"/>
  <cols>
    <col min="1" max="9" width="10.7109375" style="1"/>
    <col min="10" max="10" width="12.7109375" style="1" customWidth="1"/>
    <col min="11" max="11" width="9.7109375" style="1" customWidth="1"/>
    <col min="12" max="13" width="10.7109375" style="1" customWidth="1"/>
    <col min="14" max="14" width="10.7109375" style="1"/>
    <col min="15" max="15" width="10.7109375" style="1" customWidth="1"/>
    <col min="16" max="17" width="10.7109375" style="1"/>
    <col min="18" max="18" width="11.7109375" style="1" customWidth="1"/>
    <col min="19" max="21" width="5.7109375" style="1" customWidth="1"/>
    <col min="22" max="23" width="8.7109375" style="1" customWidth="1"/>
    <col min="24" max="16384" width="10.7109375" style="1"/>
  </cols>
  <sheetData>
    <row r="1" spans="1:15" ht="20.100000000000001" customHeight="1" x14ac:dyDescent="0.25">
      <c r="A1" s="52" t="s">
        <v>90</v>
      </c>
      <c r="B1" s="52"/>
      <c r="C1" s="65" t="s">
        <v>143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2" spans="1:15" ht="20.100000000000001" customHeight="1" x14ac:dyDescent="0.25">
      <c r="A2" s="52"/>
      <c r="B2" s="52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15" ht="20.100000000000001" customHeight="1" x14ac:dyDescent="0.25">
      <c r="A3" s="52" t="s">
        <v>92</v>
      </c>
      <c r="B3" s="52"/>
      <c r="C3" s="84" t="str">
        <f>'Cal-M'!C3:J3</f>
        <v>xxx</v>
      </c>
      <c r="D3" s="85"/>
      <c r="E3" s="85"/>
      <c r="F3" s="85"/>
      <c r="G3" s="85"/>
      <c r="H3" s="85"/>
      <c r="I3" s="85"/>
      <c r="J3" s="85"/>
      <c r="K3" s="52" t="s">
        <v>96</v>
      </c>
      <c r="L3" s="52"/>
      <c r="M3" s="86" t="str">
        <f>'Cal-M'!M3</f>
        <v>BMT</v>
      </c>
      <c r="N3" s="86"/>
      <c r="O3" s="86"/>
    </row>
    <row r="4" spans="1:15" ht="20.100000000000001" customHeight="1" x14ac:dyDescent="0.25">
      <c r="A4" s="52" t="s">
        <v>93</v>
      </c>
      <c r="B4" s="52"/>
      <c r="C4" s="84" t="str">
        <f>'Cal-M'!C4:J4</f>
        <v>xxx</v>
      </c>
      <c r="D4" s="85"/>
      <c r="E4" s="85"/>
      <c r="F4" s="85"/>
      <c r="G4" s="85"/>
      <c r="H4" s="85"/>
      <c r="I4" s="85"/>
      <c r="J4" s="85"/>
      <c r="K4" s="52" t="s">
        <v>97</v>
      </c>
      <c r="L4" s="52"/>
      <c r="M4" s="86" t="str">
        <f>'Cal-M'!M4</f>
        <v>BMT</v>
      </c>
      <c r="N4" s="86"/>
      <c r="O4" s="86"/>
    </row>
    <row r="5" spans="1:15" ht="20.100000000000001" customHeight="1" x14ac:dyDescent="0.25">
      <c r="A5" s="52" t="s">
        <v>94</v>
      </c>
      <c r="B5" s="52"/>
      <c r="C5" s="46" t="s">
        <v>95</v>
      </c>
      <c r="D5" s="46"/>
      <c r="E5" s="46"/>
      <c r="F5" s="46"/>
      <c r="G5" s="46"/>
      <c r="H5" s="46"/>
      <c r="I5" s="46"/>
      <c r="J5" s="46"/>
      <c r="K5" s="52" t="s">
        <v>98</v>
      </c>
      <c r="L5" s="52"/>
      <c r="M5" s="67">
        <f ca="1">TODAY()</f>
        <v>44811</v>
      </c>
      <c r="N5" s="46"/>
      <c r="O5" s="46"/>
    </row>
    <row r="6" spans="1:15" ht="20.100000000000001" customHeight="1" x14ac:dyDescent="0.25">
      <c r="A6" s="32" t="s">
        <v>47</v>
      </c>
    </row>
    <row r="7" spans="1:15" ht="20.100000000000001" customHeight="1" x14ac:dyDescent="0.25">
      <c r="A7" s="1" t="s">
        <v>48</v>
      </c>
      <c r="C7" s="34" t="str">
        <f>'Cal-M'!C7</f>
        <v>B40</v>
      </c>
      <c r="D7" s="17" t="s">
        <v>106</v>
      </c>
      <c r="E7" s="34">
        <f>'Cal-M'!E7</f>
        <v>32</v>
      </c>
      <c r="F7" s="16" t="s">
        <v>49</v>
      </c>
    </row>
    <row r="8" spans="1:15" ht="20.100000000000001" customHeight="1" x14ac:dyDescent="0.25">
      <c r="C8" s="34"/>
      <c r="D8" s="17" t="s">
        <v>122</v>
      </c>
      <c r="E8" s="34">
        <f>'Cal-M'!E8</f>
        <v>3.02</v>
      </c>
      <c r="F8" s="16" t="s">
        <v>49</v>
      </c>
    </row>
    <row r="9" spans="1:15" ht="20.100000000000001" customHeight="1" x14ac:dyDescent="0.25">
      <c r="A9" s="1" t="s">
        <v>50</v>
      </c>
      <c r="C9" s="34" t="str">
        <f>'Cal-M'!C9</f>
        <v>CB500V</v>
      </c>
      <c r="D9" s="17" t="s">
        <v>107</v>
      </c>
      <c r="E9" s="34">
        <f>'Cal-M'!E9</f>
        <v>500</v>
      </c>
      <c r="F9" s="16" t="s">
        <v>49</v>
      </c>
    </row>
    <row r="10" spans="1:15" ht="20.100000000000001" customHeight="1" x14ac:dyDescent="0.25">
      <c r="A10" s="1" t="s">
        <v>52</v>
      </c>
      <c r="C10" s="15" t="s">
        <v>42</v>
      </c>
      <c r="D10" s="17" t="s">
        <v>110</v>
      </c>
      <c r="E10" s="12">
        <f>VLOOKUP(C10,Data!A25:C29,2,0)</f>
        <v>400</v>
      </c>
      <c r="F10" s="16" t="s">
        <v>49</v>
      </c>
    </row>
    <row r="11" spans="1:15" ht="20.100000000000001" customHeight="1" x14ac:dyDescent="0.25">
      <c r="A11" s="32" t="s">
        <v>88</v>
      </c>
      <c r="D11" s="12"/>
      <c r="E11" s="12"/>
      <c r="F11" s="16"/>
      <c r="I11" s="16"/>
      <c r="K11" s="12"/>
      <c r="L11" s="12"/>
    </row>
    <row r="13" spans="1:15" ht="20.100000000000001" customHeight="1" x14ac:dyDescent="0.25">
      <c r="B13" s="74" t="s">
        <v>68</v>
      </c>
      <c r="C13" s="74"/>
      <c r="D13" s="74"/>
      <c r="E13" s="74"/>
      <c r="F13" s="74"/>
      <c r="G13" s="74" t="s">
        <v>69</v>
      </c>
      <c r="H13" s="74"/>
      <c r="I13" s="74"/>
      <c r="J13" s="74"/>
      <c r="K13" s="74"/>
      <c r="L13" s="70" t="s">
        <v>113</v>
      </c>
      <c r="M13" s="70" t="s">
        <v>126</v>
      </c>
      <c r="N13" s="70" t="s">
        <v>118</v>
      </c>
    </row>
    <row r="14" spans="1:15" ht="20.100000000000001" customHeight="1" x14ac:dyDescent="0.25">
      <c r="B14" s="70" t="s">
        <v>101</v>
      </c>
      <c r="C14" s="70" t="s">
        <v>102</v>
      </c>
      <c r="D14" s="20" t="s">
        <v>61</v>
      </c>
      <c r="E14" s="20" t="s">
        <v>64</v>
      </c>
      <c r="F14" s="20" t="s">
        <v>111</v>
      </c>
      <c r="G14" s="70" t="s">
        <v>101</v>
      </c>
      <c r="H14" s="70" t="s">
        <v>102</v>
      </c>
      <c r="I14" s="20" t="s">
        <v>61</v>
      </c>
      <c r="J14" s="20" t="s">
        <v>64</v>
      </c>
      <c r="K14" s="20" t="s">
        <v>111</v>
      </c>
      <c r="L14" s="70"/>
      <c r="M14" s="70"/>
      <c r="N14" s="70"/>
    </row>
    <row r="15" spans="1:15" ht="20.100000000000001" customHeight="1" x14ac:dyDescent="0.25">
      <c r="B15" s="70"/>
      <c r="C15" s="70"/>
      <c r="D15" s="13" t="s">
        <v>49</v>
      </c>
      <c r="E15" s="13" t="s">
        <v>49</v>
      </c>
      <c r="F15" s="13" t="s">
        <v>49</v>
      </c>
      <c r="G15" s="70"/>
      <c r="H15" s="70"/>
      <c r="I15" s="13" t="s">
        <v>49</v>
      </c>
      <c r="J15" s="13" t="s">
        <v>49</v>
      </c>
      <c r="K15" s="13" t="s">
        <v>49</v>
      </c>
      <c r="L15" s="70"/>
      <c r="M15" s="70"/>
      <c r="N15" s="70"/>
    </row>
    <row r="16" spans="1:15" ht="20.100000000000001" customHeight="1" x14ac:dyDescent="0.25">
      <c r="B16" s="7">
        <v>1.5</v>
      </c>
      <c r="C16" s="7">
        <v>1.1499999999999999</v>
      </c>
      <c r="D16" s="14">
        <f>$L$16*$E$7/$B$16</f>
        <v>21.333333333333332</v>
      </c>
      <c r="E16" s="14">
        <f>E9/C16</f>
        <v>434.78260869565219</v>
      </c>
      <c r="F16" s="14">
        <f>$E$10/$C$16</f>
        <v>347.82608695652175</v>
      </c>
      <c r="G16" s="7">
        <v>1.2</v>
      </c>
      <c r="H16" s="7">
        <v>1</v>
      </c>
      <c r="I16" s="14">
        <f>$L$16*$E$7/$G$16</f>
        <v>26.666666666666668</v>
      </c>
      <c r="J16" s="14">
        <f>E9/H16</f>
        <v>500</v>
      </c>
      <c r="K16" s="14">
        <f>$E$10/$H$16</f>
        <v>400</v>
      </c>
      <c r="L16" s="7">
        <v>1</v>
      </c>
      <c r="M16" s="7">
        <v>1</v>
      </c>
      <c r="N16" s="22">
        <f>0.6*(1-($E$7/250))</f>
        <v>0.5232</v>
      </c>
    </row>
    <row r="18" spans="1:24" ht="20.100000000000001" customHeight="1" x14ac:dyDescent="0.25">
      <c r="A18" s="32" t="s">
        <v>89</v>
      </c>
    </row>
    <row r="19" spans="1:24" ht="20.100000000000001" customHeight="1" x14ac:dyDescent="0.25">
      <c r="A19" s="70" t="s">
        <v>83</v>
      </c>
      <c r="B19" s="71" t="s">
        <v>82</v>
      </c>
      <c r="C19" s="71" t="s">
        <v>81</v>
      </c>
      <c r="D19" s="70" t="s">
        <v>53</v>
      </c>
      <c r="E19" s="70"/>
      <c r="F19" s="70"/>
      <c r="G19" s="70" t="s">
        <v>57</v>
      </c>
      <c r="H19" s="70"/>
      <c r="I19" s="70"/>
      <c r="J19" s="70"/>
      <c r="K19" s="20" t="s">
        <v>133</v>
      </c>
      <c r="L19" s="20" t="s">
        <v>134</v>
      </c>
      <c r="M19" s="20" t="s">
        <v>130</v>
      </c>
      <c r="N19" s="20" t="s">
        <v>135</v>
      </c>
      <c r="O19" s="20" t="s">
        <v>131</v>
      </c>
      <c r="P19" s="46" t="s">
        <v>97</v>
      </c>
      <c r="Q19" s="20" t="s">
        <v>136</v>
      </c>
      <c r="R19" s="41" t="s">
        <v>137</v>
      </c>
      <c r="S19" s="46" t="s">
        <v>74</v>
      </c>
      <c r="T19" s="46"/>
      <c r="U19" s="46"/>
      <c r="V19" s="20" t="s">
        <v>127</v>
      </c>
      <c r="W19" s="20" t="s">
        <v>138</v>
      </c>
      <c r="X19" s="46" t="s">
        <v>75</v>
      </c>
    </row>
    <row r="20" spans="1:24" ht="20.100000000000001" customHeight="1" x14ac:dyDescent="0.25">
      <c r="A20" s="70"/>
      <c r="B20" s="71"/>
      <c r="C20" s="71"/>
      <c r="D20" s="52" t="s">
        <v>121</v>
      </c>
      <c r="E20" s="52"/>
      <c r="F20" s="52"/>
      <c r="G20" s="70"/>
      <c r="H20" s="70"/>
      <c r="I20" s="70"/>
      <c r="J20" s="70"/>
      <c r="K20" s="13" t="s">
        <v>49</v>
      </c>
      <c r="L20" s="13" t="s">
        <v>55</v>
      </c>
      <c r="M20" s="13" t="s">
        <v>56</v>
      </c>
      <c r="N20" s="13" t="s">
        <v>55</v>
      </c>
      <c r="O20" s="13" t="s">
        <v>56</v>
      </c>
      <c r="P20" s="46"/>
      <c r="Q20" s="13" t="s">
        <v>56</v>
      </c>
      <c r="R20" s="36" t="s">
        <v>112</v>
      </c>
      <c r="S20" s="73" t="s">
        <v>112</v>
      </c>
      <c r="T20" s="73"/>
      <c r="U20" s="73"/>
      <c r="V20" s="13" t="s">
        <v>65</v>
      </c>
      <c r="W20" s="13" t="s">
        <v>65</v>
      </c>
      <c r="X20" s="46"/>
    </row>
    <row r="21" spans="1:24" ht="20.100000000000001" customHeight="1" x14ac:dyDescent="0.25">
      <c r="A21" s="72">
        <f>'Cal-M'!A21</f>
        <v>5</v>
      </c>
      <c r="B21" s="46" t="str">
        <f>'Cal-M'!B21</f>
        <v>B2-01</v>
      </c>
      <c r="C21" s="46" t="str">
        <f>'Cal-M'!C21</f>
        <v>Gối</v>
      </c>
      <c r="D21" s="54" t="s">
        <v>72</v>
      </c>
      <c r="E21" s="20" t="s">
        <v>60</v>
      </c>
      <c r="F21" s="20" t="s">
        <v>71</v>
      </c>
      <c r="G21" s="29" t="s">
        <v>76</v>
      </c>
      <c r="H21" s="39">
        <f>'Cal-M'!G21</f>
        <v>800</v>
      </c>
      <c r="I21" s="7" t="s">
        <v>123</v>
      </c>
      <c r="J21" s="14">
        <f>(H21*H22)/(2*(H21+H22))</f>
        <v>276.92307692307691</v>
      </c>
      <c r="K21" s="53">
        <f>$M$16*0.7*$E$8/$B$16</f>
        <v>1.4093333333333333</v>
      </c>
      <c r="L21" s="53">
        <f>(K21*J21*2*J22)/10^6</f>
        <v>621.85662630860259</v>
      </c>
      <c r="M21" s="88">
        <f>'Cal-V'!O21</f>
        <v>1935.5435209664124</v>
      </c>
      <c r="N21" s="53">
        <f>(2*$N$16*$L$16*$D$16*J22*J21*SIN(RADIANS(J24))*COS(RADIANS(J24)))/10^6</f>
        <v>2462.4816415111518</v>
      </c>
      <c r="O21" s="88">
        <f>'Cal-V'!R21</f>
        <v>6830.8991999999998</v>
      </c>
      <c r="P21" s="89" t="str">
        <f>IF(((ABS(F22)/N21)+(ABS(E22)/O21))&gt;1,"Tăng tiết diện",IF(OR(L21&gt;ABS(F22),((ABS(F22)/L21)+(ABS(E22)/M21))&lt;=1),"Cốt đai cấu tạo","Cần bố trí cốt đai"))</f>
        <v>Cần bố trí cốt đai</v>
      </c>
      <c r="Q21" s="46">
        <f>IF(OR(P21="Cốt đai cấu tạo",P21="Tăng tiết diện"),"-",2*(H22-J21)*((ABS(F22)-((1-ABS(E22)/M21)*L21))*10^3/(2*J22)))</f>
        <v>1883.8885991249433</v>
      </c>
      <c r="R21" s="53">
        <f>IF(P21="Cốt đai cấu tạo",H21*SIN(RADIANS(90))*0.08*SQRT($E$7)/$E$10,IF(P21="Tăng tiết diện","-",Q21*10^3/(0.9*H24*$F$16*_xlfn.COT(RADIANS(J24)))))</f>
        <v>3.5399867467217074</v>
      </c>
      <c r="S21" s="42">
        <v>2</v>
      </c>
      <c r="T21" s="43">
        <v>16</v>
      </c>
      <c r="U21" s="44">
        <v>100</v>
      </c>
      <c r="V21" s="53">
        <f>IF(P21="Tăng tiết diện","-",((ABS(F22)*10^6*_xlfn.COT(RADIANS(J24))*J23)/(2*J22*$E$16))/100)</f>
        <v>90.933146752673778</v>
      </c>
      <c r="W21" s="87">
        <f>'Cal-M'!T21</f>
        <v>112.59468070465819</v>
      </c>
      <c r="X21" s="46" t="str">
        <f>IF(R21="-","FALSE",IF(AND(S22&gt;R21,W21&gt;V21),"OK","Not OK"))</f>
        <v>OK</v>
      </c>
    </row>
    <row r="22" spans="1:24" ht="20.100000000000001" customHeight="1" x14ac:dyDescent="0.25">
      <c r="A22" s="72"/>
      <c r="B22" s="46"/>
      <c r="C22" s="46"/>
      <c r="D22" s="55"/>
      <c r="E22" s="40">
        <f>'Cal-V'!E22</f>
        <v>211.35149999999999</v>
      </c>
      <c r="F22" s="21">
        <v>1539.3716999999999</v>
      </c>
      <c r="G22" s="7" t="s">
        <v>77</v>
      </c>
      <c r="H22" s="38">
        <f>'Cal-M'!G22</f>
        <v>1800</v>
      </c>
      <c r="I22" s="7" t="s">
        <v>124</v>
      </c>
      <c r="J22" s="14">
        <f>(H21-J21)*(H22-J21)</f>
        <v>796686.39053254446</v>
      </c>
      <c r="K22" s="53"/>
      <c r="L22" s="53"/>
      <c r="M22" s="88"/>
      <c r="N22" s="53"/>
      <c r="O22" s="88"/>
      <c r="P22" s="90"/>
      <c r="Q22" s="46"/>
      <c r="R22" s="53"/>
      <c r="S22" s="53">
        <f>S21*0.25*PI()*T21^2/U21</f>
        <v>4.0212385965949355</v>
      </c>
      <c r="T22" s="53"/>
      <c r="U22" s="53"/>
      <c r="V22" s="53"/>
      <c r="W22" s="87"/>
      <c r="X22" s="46"/>
    </row>
    <row r="23" spans="1:24" ht="20.100000000000001" customHeight="1" x14ac:dyDescent="0.25">
      <c r="A23" s="72"/>
      <c r="B23" s="46"/>
      <c r="C23" s="46"/>
      <c r="D23" s="54" t="s">
        <v>73</v>
      </c>
      <c r="E23" s="20" t="s">
        <v>60</v>
      </c>
      <c r="F23" s="20" t="s">
        <v>120</v>
      </c>
      <c r="G23" s="7" t="s">
        <v>79</v>
      </c>
      <c r="H23" s="38">
        <f>'Cal-M'!G23</f>
        <v>100</v>
      </c>
      <c r="I23" s="7" t="s">
        <v>125</v>
      </c>
      <c r="J23" s="14">
        <f>2*((H21-J21)+(H22-J21))</f>
        <v>4092.3076923076924</v>
      </c>
      <c r="K23" s="53">
        <f>$M$16*0.7*$E$8/$G$16</f>
        <v>1.7616666666666667</v>
      </c>
      <c r="L23" s="53">
        <f>(K23*J21*2*J22)/10^6</f>
        <v>777.32078288575326</v>
      </c>
      <c r="M23" s="88">
        <f>'Cal-V'!O23</f>
        <v>2447.7627345413489</v>
      </c>
      <c r="N23" s="53">
        <f>(2*$N$16*$L$16*$I$16*J22*J21*SIN(RADIANS(J24))*COS(RADIANS(J24)))/10^6</f>
        <v>3078.1020518889395</v>
      </c>
      <c r="O23" s="88">
        <f>'Cal-V'!R23</f>
        <v>8538.6240000000016</v>
      </c>
      <c r="P23" s="64" t="str">
        <f>IF(((ABS(F24)/N23)+(ABS(E24)/O23))&gt;1,"Tăng tiết diện",IF(OR(L23&gt;ABS(F24),((ABS(F24)/L23)+(ABS(E24)/M23))&lt;=1),"Cốt đai cấu tạo","Cần bố trí cốt đai"))</f>
        <v>Cốt đai cấu tạo</v>
      </c>
      <c r="Q23" s="46" t="str">
        <f>IF(OR(P23="Cốt đai cấu tạo",P23="Tăng tiết diện"),"-",2*(H22-J21)*((ABS(F24)-((1-ABS(E24)/M23)*L23))*10^3/(2*J22)))</f>
        <v>-</v>
      </c>
      <c r="R23" s="53">
        <f>IF(P23="Cốt đai cấu tạo",H21*SIN(RADIANS(90))*0.08*SQRT($E$7)/$E$10,IF(P23="Tăng tiết diện","-",Q23*10^3/(0.9*H24*$K$16*_xlfn.COT(RADIANS(J24)))))</f>
        <v>0.90509667991878084</v>
      </c>
      <c r="S23" s="42">
        <v>2</v>
      </c>
      <c r="T23" s="43">
        <v>16</v>
      </c>
      <c r="U23" s="44">
        <v>100</v>
      </c>
      <c r="V23" s="53">
        <f>IF(P23="Tăng tiết diện","-",((ABS(F24)*10^6*_xlfn.COT(RADIANS(J24))*J23)/(2*J22*$J$16))/100)</f>
        <v>25.683303624480089</v>
      </c>
      <c r="W23" s="87">
        <f>'Cal-M'!T23</f>
        <v>112.59468070465819</v>
      </c>
      <c r="X23" s="46" t="str">
        <f>IF(R23="-","FALSE",IF(AND(S24&gt;R23,W23&gt;V23),"OK","Not OK"))</f>
        <v>OK</v>
      </c>
    </row>
    <row r="24" spans="1:24" ht="20.100000000000001" customHeight="1" x14ac:dyDescent="0.25">
      <c r="A24" s="72"/>
      <c r="B24" s="46"/>
      <c r="C24" s="46"/>
      <c r="D24" s="55"/>
      <c r="E24" s="40">
        <f>'Cal-V'!E24</f>
        <v>4660</v>
      </c>
      <c r="F24" s="21">
        <v>500</v>
      </c>
      <c r="G24" s="7" t="s">
        <v>78</v>
      </c>
      <c r="H24" s="7">
        <f>H22-H23</f>
        <v>1700</v>
      </c>
      <c r="I24" s="7" t="s">
        <v>119</v>
      </c>
      <c r="J24" s="40">
        <f>'Cal-V'!Q21</f>
        <v>45</v>
      </c>
      <c r="K24" s="53"/>
      <c r="L24" s="53"/>
      <c r="M24" s="88"/>
      <c r="N24" s="53"/>
      <c r="O24" s="88"/>
      <c r="P24" s="64"/>
      <c r="Q24" s="46"/>
      <c r="R24" s="53"/>
      <c r="S24" s="53">
        <f>S23*0.25*PI()*T23^2/U23</f>
        <v>4.0212385965949355</v>
      </c>
      <c r="T24" s="53"/>
      <c r="U24" s="53"/>
      <c r="V24" s="53"/>
      <c r="W24" s="87"/>
      <c r="X24" s="46"/>
    </row>
    <row r="25" spans="1:24" ht="20.100000000000001" customHeight="1" x14ac:dyDescent="0.25">
      <c r="A25" s="72"/>
      <c r="B25" s="46"/>
      <c r="C25" s="46" t="str">
        <f>'Cal-M'!C25</f>
        <v>Nhịp</v>
      </c>
      <c r="D25" s="54" t="s">
        <v>72</v>
      </c>
      <c r="E25" s="20" t="s">
        <v>60</v>
      </c>
      <c r="F25" s="20" t="s">
        <v>71</v>
      </c>
      <c r="G25" s="29" t="s">
        <v>76</v>
      </c>
      <c r="H25" s="39">
        <f>'Cal-M'!G25</f>
        <v>800</v>
      </c>
      <c r="I25" s="7" t="s">
        <v>123</v>
      </c>
      <c r="J25" s="14">
        <f>(H25*H26)/(2*(H25+H26))</f>
        <v>276.92307692307691</v>
      </c>
      <c r="K25" s="53">
        <f>$M$16*0.7*$E$8/$B$16</f>
        <v>1.4093333333333333</v>
      </c>
      <c r="L25" s="53">
        <f>(K25*J25*2*J26)/10^6</f>
        <v>621.85662630860259</v>
      </c>
      <c r="M25" s="88">
        <f>'Cal-V'!O25</f>
        <v>1935.5435209664124</v>
      </c>
      <c r="N25" s="53">
        <f>(2*$N$16*$L$16*$D$16*J26*J25*SIN(RADIANS(J28))*COS(RADIANS(J28)))/10^6</f>
        <v>2462.4816415111518</v>
      </c>
      <c r="O25" s="88">
        <f>'Cal-V'!R25</f>
        <v>6830.8991999999998</v>
      </c>
      <c r="P25" s="89" t="str">
        <f>IF(((ABS(F26)/N25)+(ABS(E26)/O25))&gt;1,"Tăng tiết diện",IF(OR(L25&gt;ABS(F26),((ABS(F26)/L25)+(ABS(E26)/M25))&lt;=1),"Cốt đai cấu tạo","Cần bố trí cốt đai"))</f>
        <v>Cần bố trí cốt đai</v>
      </c>
      <c r="Q25" s="46">
        <f>IF(OR(P25="Cốt đai cấu tạo",P25="Tăng tiết diện"),"-",2*(H26-J25)*((ABS(F26)-((1-ABS(E26)/M25)*L25))*10^3/(2*J26)))</f>
        <v>1883.8885991249433</v>
      </c>
      <c r="R25" s="53">
        <f>IF(P25="Cốt đai cấu tạo",H25*SIN(RADIANS(90))*0.08*SQRT($E$7)/$E$10,IF(P25="Tăng tiết diện","-",Q25*10^3/(0.9*H28*$F$16*_xlfn.COT(RADIANS(J28)))))</f>
        <v>3.5399867467217074</v>
      </c>
      <c r="S25" s="42">
        <v>2</v>
      </c>
      <c r="T25" s="43">
        <v>16</v>
      </c>
      <c r="U25" s="44">
        <v>100</v>
      </c>
      <c r="V25" s="53">
        <f>IF(P25="Tăng tiết diện","-",((ABS(F26)*10^6*_xlfn.COT(RADIANS(J28))*J27)/(2*J26*$E$16))/100)</f>
        <v>90.933146752673778</v>
      </c>
      <c r="W25" s="87">
        <f>'Cal-M'!T25</f>
        <v>112.59468070465819</v>
      </c>
      <c r="X25" s="46" t="str">
        <f>IF(R25="-","FALSE",IF(AND(S26&gt;R25,W25&gt;V25),"OK","Not OK"))</f>
        <v>OK</v>
      </c>
    </row>
    <row r="26" spans="1:24" ht="20.100000000000001" customHeight="1" x14ac:dyDescent="0.25">
      <c r="A26" s="72"/>
      <c r="B26" s="46"/>
      <c r="C26" s="46"/>
      <c r="D26" s="55"/>
      <c r="E26" s="40">
        <f>'Cal-V'!E26</f>
        <v>211.35149999999999</v>
      </c>
      <c r="F26" s="21">
        <v>1539.3716999999999</v>
      </c>
      <c r="G26" s="7" t="s">
        <v>77</v>
      </c>
      <c r="H26" s="38">
        <f>'Cal-M'!G26</f>
        <v>1800</v>
      </c>
      <c r="I26" s="7" t="s">
        <v>124</v>
      </c>
      <c r="J26" s="14">
        <f>(H25-J25)*(H26-J25)</f>
        <v>796686.39053254446</v>
      </c>
      <c r="K26" s="53"/>
      <c r="L26" s="53"/>
      <c r="M26" s="88"/>
      <c r="N26" s="53"/>
      <c r="O26" s="88"/>
      <c r="P26" s="90"/>
      <c r="Q26" s="46"/>
      <c r="R26" s="53"/>
      <c r="S26" s="53">
        <f>S25*0.25*PI()*T25^2/U25</f>
        <v>4.0212385965949355</v>
      </c>
      <c r="T26" s="53"/>
      <c r="U26" s="53"/>
      <c r="V26" s="53"/>
      <c r="W26" s="87"/>
      <c r="X26" s="46"/>
    </row>
    <row r="27" spans="1:24" ht="20.100000000000001" customHeight="1" x14ac:dyDescent="0.25">
      <c r="A27" s="72"/>
      <c r="B27" s="46"/>
      <c r="C27" s="46"/>
      <c r="D27" s="54" t="s">
        <v>73</v>
      </c>
      <c r="E27" s="20" t="s">
        <v>60</v>
      </c>
      <c r="F27" s="20" t="s">
        <v>120</v>
      </c>
      <c r="G27" s="7" t="s">
        <v>79</v>
      </c>
      <c r="H27" s="38">
        <f>'Cal-M'!G27</f>
        <v>100</v>
      </c>
      <c r="I27" s="7" t="s">
        <v>125</v>
      </c>
      <c r="J27" s="14">
        <f>2*((H25-J25)+(H26-J25))</f>
        <v>4092.3076923076924</v>
      </c>
      <c r="K27" s="53">
        <f>$M$16*0.7*$E$8/$G$16</f>
        <v>1.7616666666666667</v>
      </c>
      <c r="L27" s="53">
        <f>(K27*J25*2*J26)/10^6</f>
        <v>777.32078288575326</v>
      </c>
      <c r="M27" s="88">
        <f>'Cal-V'!O27</f>
        <v>2447.7627345413489</v>
      </c>
      <c r="N27" s="53">
        <f>(2*$N$16*$L$16*$I$16*J26*J25*SIN(RADIANS(J28))*COS(RADIANS(J28)))/10^6</f>
        <v>3078.1020518889395</v>
      </c>
      <c r="O27" s="88">
        <f>'Cal-V'!R27</f>
        <v>8538.6240000000016</v>
      </c>
      <c r="P27" s="64" t="str">
        <f>IF(((ABS(F28)/N27)+(ABS(E28)/O27))&gt;1,"Tăng tiết diện",IF(OR(L27&gt;ABS(F28),((ABS(F28)/L27)+(ABS(E28)/M27))&lt;=1),"Cốt đai cấu tạo","Cần bố trí cốt đai"))</f>
        <v>Cốt đai cấu tạo</v>
      </c>
      <c r="Q27" s="46" t="str">
        <f>IF(OR(P27="Cốt đai cấu tạo",P27="Tăng tiết diện"),"-",2*(H26-J25)*((ABS(F28)-((1-ABS(E28)/M27)*L27))*10^3/(2*J26)))</f>
        <v>-</v>
      </c>
      <c r="R27" s="53">
        <f>IF(P27="Cốt đai cấu tạo",H25*SIN(RADIANS(90))*0.08*SQRT($E$7)/$E$10,IF(P27="Tăng tiết diện","-",Q27*10^3/(0.9*H28*$K$16*_xlfn.COT(RADIANS(J28)))))</f>
        <v>0.90509667991878084</v>
      </c>
      <c r="S27" s="42">
        <v>2</v>
      </c>
      <c r="T27" s="43">
        <v>16</v>
      </c>
      <c r="U27" s="44">
        <v>100</v>
      </c>
      <c r="V27" s="53">
        <f>IF(P27="Tăng tiết diện","-",((ABS(F28)*10^6*_xlfn.COT(RADIANS(J28))*J27)/(2*J26*$J$16))/100)</f>
        <v>25.683303624480089</v>
      </c>
      <c r="W27" s="87">
        <f>'Cal-M'!T27</f>
        <v>112.59468070465819</v>
      </c>
      <c r="X27" s="46" t="str">
        <f>IF(R27="-","FALSE",IF(AND(S28&gt;R27,W27&gt;V27),"OK","Not OK"))</f>
        <v>OK</v>
      </c>
    </row>
    <row r="28" spans="1:24" ht="20.100000000000001" customHeight="1" x14ac:dyDescent="0.25">
      <c r="A28" s="72"/>
      <c r="B28" s="46"/>
      <c r="C28" s="46"/>
      <c r="D28" s="55"/>
      <c r="E28" s="40">
        <f>'Cal-V'!E28</f>
        <v>4660</v>
      </c>
      <c r="F28" s="21">
        <v>500</v>
      </c>
      <c r="G28" s="7" t="s">
        <v>78</v>
      </c>
      <c r="H28" s="7">
        <f>H26-H27</f>
        <v>1700</v>
      </c>
      <c r="I28" s="7" t="s">
        <v>119</v>
      </c>
      <c r="J28" s="40">
        <f>'Cal-V'!Q25</f>
        <v>45</v>
      </c>
      <c r="K28" s="53"/>
      <c r="L28" s="53"/>
      <c r="M28" s="88"/>
      <c r="N28" s="53"/>
      <c r="O28" s="88"/>
      <c r="P28" s="64"/>
      <c r="Q28" s="46"/>
      <c r="R28" s="53"/>
      <c r="S28" s="53">
        <f>S27*0.25*PI()*T27^2/U27</f>
        <v>4.0212385965949355</v>
      </c>
      <c r="T28" s="53"/>
      <c r="U28" s="53"/>
      <c r="V28" s="53"/>
      <c r="W28" s="87"/>
      <c r="X28" s="46"/>
    </row>
    <row r="29" spans="1:24" ht="20.100000000000001" customHeight="1" x14ac:dyDescent="0.25">
      <c r="L29" s="12"/>
      <c r="M29" s="19"/>
    </row>
    <row r="30" spans="1:24" ht="20.100000000000001" customHeight="1" x14ac:dyDescent="0.25">
      <c r="L30" s="12"/>
      <c r="M30" s="19"/>
    </row>
  </sheetData>
  <mergeCells count="89">
    <mergeCell ref="A1:B2"/>
    <mergeCell ref="C1:O2"/>
    <mergeCell ref="A3:B3"/>
    <mergeCell ref="C3:J3"/>
    <mergeCell ref="K3:L3"/>
    <mergeCell ref="M3:O3"/>
    <mergeCell ref="A4:B4"/>
    <mergeCell ref="C4:J4"/>
    <mergeCell ref="K4:L4"/>
    <mergeCell ref="M4:O4"/>
    <mergeCell ref="A5:B5"/>
    <mergeCell ref="C5:J5"/>
    <mergeCell ref="K5:L5"/>
    <mergeCell ref="M5:O5"/>
    <mergeCell ref="L13:L15"/>
    <mergeCell ref="N13:N15"/>
    <mergeCell ref="B14:B15"/>
    <mergeCell ref="C14:C15"/>
    <mergeCell ref="G14:G15"/>
    <mergeCell ref="H14:H15"/>
    <mergeCell ref="M13:M15"/>
    <mergeCell ref="D20:F20"/>
    <mergeCell ref="D21:D22"/>
    <mergeCell ref="D23:D24"/>
    <mergeCell ref="B13:F13"/>
    <mergeCell ref="G13:K13"/>
    <mergeCell ref="G19:J20"/>
    <mergeCell ref="K21:K22"/>
    <mergeCell ref="R23:R24"/>
    <mergeCell ref="A19:A20"/>
    <mergeCell ref="B19:B20"/>
    <mergeCell ref="C19:C20"/>
    <mergeCell ref="C21:C24"/>
    <mergeCell ref="O21:O22"/>
    <mergeCell ref="N23:N24"/>
    <mergeCell ref="O23:O24"/>
    <mergeCell ref="P19:P20"/>
    <mergeCell ref="K23:K24"/>
    <mergeCell ref="L21:L22"/>
    <mergeCell ref="L23:L24"/>
    <mergeCell ref="M21:M22"/>
    <mergeCell ref="M23:M24"/>
    <mergeCell ref="N21:N22"/>
    <mergeCell ref="D19:F19"/>
    <mergeCell ref="W21:W22"/>
    <mergeCell ref="W23:W24"/>
    <mergeCell ref="P21:P22"/>
    <mergeCell ref="P23:P24"/>
    <mergeCell ref="X19:X20"/>
    <mergeCell ref="X21:X22"/>
    <mergeCell ref="X23:X24"/>
    <mergeCell ref="S19:U19"/>
    <mergeCell ref="S20:U20"/>
    <mergeCell ref="S22:U22"/>
    <mergeCell ref="S24:U24"/>
    <mergeCell ref="V21:V22"/>
    <mergeCell ref="V23:V24"/>
    <mergeCell ref="Q21:Q22"/>
    <mergeCell ref="Q23:Q24"/>
    <mergeCell ref="R21:R22"/>
    <mergeCell ref="V25:V26"/>
    <mergeCell ref="W25:W26"/>
    <mergeCell ref="C25:C28"/>
    <mergeCell ref="D25:D26"/>
    <mergeCell ref="K25:K26"/>
    <mergeCell ref="L25:L26"/>
    <mergeCell ref="M25:M26"/>
    <mergeCell ref="N25:N26"/>
    <mergeCell ref="Q27:Q28"/>
    <mergeCell ref="O25:O26"/>
    <mergeCell ref="P25:P26"/>
    <mergeCell ref="Q25:Q26"/>
    <mergeCell ref="R25:R26"/>
    <mergeCell ref="A21:A28"/>
    <mergeCell ref="R27:R28"/>
    <mergeCell ref="V27:V28"/>
    <mergeCell ref="W27:W28"/>
    <mergeCell ref="X27:X28"/>
    <mergeCell ref="S28:U28"/>
    <mergeCell ref="B21:B28"/>
    <mergeCell ref="X25:X26"/>
    <mergeCell ref="S26:U26"/>
    <mergeCell ref="D27:D28"/>
    <mergeCell ref="K27:K28"/>
    <mergeCell ref="L27:L28"/>
    <mergeCell ref="M27:M28"/>
    <mergeCell ref="N27:N28"/>
    <mergeCell ref="O27:O28"/>
    <mergeCell ref="P27:P28"/>
  </mergeCells>
  <printOptions horizontalCentered="1"/>
  <pageMargins left="0.2" right="0.2" top="0.7" bottom="0.5" header="0.3" footer="0.3"/>
  <pageSetup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Data!$A$25:$A$29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Data</vt:lpstr>
      <vt:lpstr>Sheet3</vt:lpstr>
      <vt:lpstr>Cal-M</vt:lpstr>
      <vt:lpstr>Cal-V</vt:lpstr>
      <vt:lpstr>Cal-T</vt:lpstr>
      <vt:lpstr>'Cal-M'!Print_Area</vt:lpstr>
      <vt:lpstr>'Cal-T'!Print_Area</vt:lpstr>
      <vt:lpstr>'Cal-V'!Print_Area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2020-04-01T08:04:11Z</cp:lastPrinted>
  <dcterms:created xsi:type="dcterms:W3CDTF">2020-03-31T06:44:37Z</dcterms:created>
  <dcterms:modified xsi:type="dcterms:W3CDTF">2022-09-07T09:13:43Z</dcterms:modified>
</cp:coreProperties>
</file>