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53\ts1\#Thu muc ca nhan\03. Vo Trung Hieu\1.USER\THAP TANG_DONG VINH\3.Thuc hien\ss b20-b22.5\Dam\"/>
    </mc:Choice>
  </mc:AlternateContent>
  <bookViews>
    <workbookView xWindow="0" yWindow="0" windowWidth="28800" windowHeight="12330"/>
  </bookViews>
  <sheets>
    <sheet name="D1-1 (2)" sheetId="3" r:id="rId1"/>
    <sheet name="D1-1" sheetId="1" r:id="rId2"/>
    <sheet name="DATA" sheetId="2" r:id="rId3"/>
  </sheets>
  <definedNames>
    <definedName name="_a01" localSheetId="0">'D1-1 (2)'!$E$12</definedName>
    <definedName name="_a01">'D1-1'!$E$12</definedName>
    <definedName name="_a02" localSheetId="0">'D1-1 (2)'!$E$13</definedName>
    <definedName name="_a02">'D1-1'!$E$13</definedName>
    <definedName name="_As1" localSheetId="0">'D1-1 (2)'!$F$14</definedName>
    <definedName name="_As1">'D1-1'!$F$14</definedName>
    <definedName name="_As2" localSheetId="0">'D1-1 (2)'!$F$15</definedName>
    <definedName name="_As2">'D1-1'!$F$15</definedName>
    <definedName name="_b" localSheetId="0">'D1-1 (2)'!$B$12</definedName>
    <definedName name="_b">'D1-1'!$B$12</definedName>
    <definedName name="_h" localSheetId="0">'D1-1 (2)'!$B$13</definedName>
    <definedName name="_h">'D1-1'!$B$13</definedName>
    <definedName name="_h01" localSheetId="0">'D1-1 (2)'!$H$12</definedName>
    <definedName name="_h01">'D1-1'!$H$12</definedName>
    <definedName name="_h02" localSheetId="0">'D1-1 (2)'!$H$13</definedName>
    <definedName name="_h02">'D1-1'!$H$13</definedName>
    <definedName name="_xlnm.Print_Area" localSheetId="1">'D1-1'!$A:$J</definedName>
    <definedName name="_xlnm.Print_Area" localSheetId="0">'D1-1 (2)'!$A:$J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F15" i="3"/>
  <c r="F14" i="3"/>
  <c r="H13" i="3"/>
  <c r="H12" i="3"/>
  <c r="B9" i="3"/>
  <c r="B8" i="3"/>
  <c r="B6" i="3"/>
  <c r="C10" i="3" s="1"/>
  <c r="E5" i="3"/>
  <c r="B5" i="3"/>
  <c r="E4" i="3"/>
  <c r="B4" i="3"/>
  <c r="C34" i="3" l="1"/>
  <c r="C33" i="3"/>
  <c r="B31" i="3" s="1"/>
  <c r="B16" i="3"/>
  <c r="D17" i="3" s="1"/>
  <c r="H32" i="3"/>
  <c r="D18" i="3"/>
  <c r="B29" i="3"/>
  <c r="B60" i="3" l="1"/>
  <c r="D61" i="3" s="1"/>
  <c r="B48" i="3"/>
  <c r="D49" i="3" s="1"/>
  <c r="B54" i="3"/>
  <c r="D55" i="3" s="1"/>
  <c r="B39" i="3"/>
  <c r="C38" i="3" s="1"/>
  <c r="B37" i="3" s="1"/>
  <c r="B43" i="3"/>
  <c r="F14" i="1"/>
  <c r="F15" i="1"/>
  <c r="B53" i="3" l="1"/>
  <c r="E56" i="3" s="1"/>
  <c r="B59" i="3"/>
  <c r="E62" i="3" s="1"/>
  <c r="B47" i="3"/>
  <c r="E50" i="3" s="1"/>
  <c r="A44" i="3"/>
  <c r="B25" i="1"/>
  <c r="B26" i="1"/>
  <c r="B24" i="1"/>
  <c r="E69" i="3" l="1"/>
  <c r="E66" i="3"/>
  <c r="B8" i="1"/>
  <c r="A70" i="3" l="1"/>
  <c r="G69" i="3"/>
  <c r="A67" i="3"/>
  <c r="G66" i="3"/>
  <c r="B9" i="1"/>
  <c r="E5" i="1"/>
  <c r="E4" i="1"/>
  <c r="B6" i="1"/>
  <c r="B5" i="1"/>
  <c r="B4" i="1"/>
  <c r="D5" i="2"/>
  <c r="C5" i="2"/>
  <c r="H12" i="1"/>
  <c r="H13" i="1"/>
  <c r="C34" i="1" l="1"/>
  <c r="C10" i="1"/>
  <c r="D18" i="1" s="1"/>
  <c r="C33" i="1"/>
  <c r="H32" i="1"/>
  <c r="B16" i="1" l="1"/>
  <c r="D17" i="1" s="1"/>
  <c r="B29" i="1"/>
  <c r="B31" i="1"/>
  <c r="B60" i="1" l="1"/>
  <c r="D61" i="1" s="1"/>
  <c r="B48" i="1"/>
  <c r="D49" i="1" s="1"/>
  <c r="B54" i="1"/>
  <c r="D55" i="1" s="1"/>
  <c r="B39" i="1"/>
  <c r="C38" i="1" s="1"/>
  <c r="B37" i="1" s="1"/>
  <c r="B43" i="1"/>
  <c r="B47" i="1" l="1"/>
  <c r="E50" i="1" s="1"/>
  <c r="B53" i="1"/>
  <c r="E56" i="1" s="1"/>
  <c r="B59" i="1"/>
  <c r="E62" i="1" s="1"/>
  <c r="A44" i="1"/>
  <c r="E66" i="1" l="1"/>
  <c r="A67" i="1" s="1"/>
  <c r="E69" i="1"/>
  <c r="G69" i="1" l="1"/>
  <c r="A70" i="1"/>
  <c r="G66" i="1"/>
</calcChain>
</file>

<file path=xl/sharedStrings.xml><?xml version="1.0" encoding="utf-8"?>
<sst xmlns="http://schemas.openxmlformats.org/spreadsheetml/2006/main" count="301" uniqueCount="116">
  <si>
    <t>1. Các thông số đầu vào</t>
  </si>
  <si>
    <t>a. Bê tông</t>
  </si>
  <si>
    <t>B30</t>
  </si>
  <si>
    <t>Mpa</t>
  </si>
  <si>
    <t xml:space="preserve">Rbt = </t>
  </si>
  <si>
    <t xml:space="preserve">Rb = </t>
  </si>
  <si>
    <t xml:space="preserve">Rb,n = </t>
  </si>
  <si>
    <t>Rbt,ser =</t>
  </si>
  <si>
    <t>b. Cốt thép</t>
  </si>
  <si>
    <t>CB300-V</t>
  </si>
  <si>
    <t>Eb =</t>
  </si>
  <si>
    <t>Rs =</t>
  </si>
  <si>
    <t xml:space="preserve">Es = </t>
  </si>
  <si>
    <t>c. Thông tin tiết diện</t>
  </si>
  <si>
    <t xml:space="preserve">b = </t>
  </si>
  <si>
    <t>mm</t>
  </si>
  <si>
    <t>h=</t>
  </si>
  <si>
    <t xml:space="preserve">a0 = </t>
  </si>
  <si>
    <t>a'0=</t>
  </si>
  <si>
    <t xml:space="preserve">As = </t>
  </si>
  <si>
    <t>D</t>
  </si>
  <si>
    <t>=</t>
  </si>
  <si>
    <t>h0 =</t>
  </si>
  <si>
    <t>h'0=</t>
  </si>
  <si>
    <t xml:space="preserve">A's = </t>
  </si>
  <si>
    <t xml:space="preserve">d. Momen tại tiết diện tính toán </t>
  </si>
  <si>
    <t>kN.m</t>
  </si>
  <si>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</si>
  <si>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</si>
  <si>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 xml:space="preserve"> = </t>
    </r>
  </si>
  <si>
    <r>
      <t>I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 xml:space="preserve"> = I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I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I'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</t>
    </r>
  </si>
  <si>
    <r>
      <t>A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 xml:space="preserve"> = A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A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A'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</t>
    </r>
  </si>
  <si>
    <r>
      <t>cm</t>
    </r>
    <r>
      <rPr>
        <vertAlign val="superscript"/>
        <sz val="11"/>
        <color indexed="8"/>
        <rFont val="Arial"/>
        <family val="2"/>
      </rPr>
      <t>2</t>
    </r>
  </si>
  <si>
    <r>
      <t>M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W</t>
    </r>
    <r>
      <rPr>
        <vertAlign val="subscript"/>
        <sz val="11"/>
        <color indexed="8"/>
        <rFont val="Arial"/>
        <family val="2"/>
      </rPr>
      <t>pl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>bt,ser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>.W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>bt.ser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>.I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 xml:space="preserve">bt,ser </t>
    </r>
    <r>
      <rPr>
        <sz val="11"/>
        <color indexed="8"/>
        <rFont val="Arial"/>
        <family val="2"/>
      </rPr>
      <t>/ y</t>
    </r>
    <r>
      <rPr>
        <vertAlign val="subscript"/>
        <sz val="11"/>
        <color indexed="8"/>
        <rFont val="Arial"/>
        <family val="2"/>
      </rPr>
      <t>t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>.I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.A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>bt,ser</t>
    </r>
    <r>
      <rPr>
        <sz val="11"/>
        <color indexed="8"/>
        <rFont val="Arial"/>
        <family val="2"/>
      </rPr>
      <t xml:space="preserve"> / S</t>
    </r>
    <r>
      <rPr>
        <vertAlign val="subscript"/>
        <sz val="11"/>
        <color indexed="8"/>
        <rFont val="Arial"/>
        <family val="2"/>
      </rPr>
      <t>t,red</t>
    </r>
  </si>
  <si>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 xml:space="preserve"> =</t>
    </r>
  </si>
  <si>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 xml:space="preserve"> =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b</t>
    </r>
    <r>
      <rPr>
        <sz val="11"/>
        <color indexed="8"/>
        <rFont val="Arial"/>
        <family val="2"/>
      </rPr>
      <t xml:space="preserve"> = </t>
    </r>
  </si>
  <si>
    <r>
      <t>S</t>
    </r>
    <r>
      <rPr>
        <vertAlign val="subscript"/>
        <sz val="11"/>
        <color indexed="8"/>
        <rFont val="Arial"/>
        <family val="2"/>
      </rPr>
      <t>t,red</t>
    </r>
    <r>
      <rPr>
        <sz val="11"/>
        <color indexed="8"/>
        <rFont val="Arial"/>
        <family val="2"/>
      </rPr>
      <t xml:space="preserve"> =</t>
    </r>
  </si>
  <si>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 xml:space="preserve">s </t>
    </r>
    <r>
      <rPr>
        <sz val="11"/>
        <color indexed="8"/>
        <rFont val="Arial"/>
        <family val="2"/>
      </rPr>
      <t>=</t>
    </r>
  </si>
  <si>
    <r>
      <t>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 xml:space="preserve"> = 0,5.A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1"/>
        <charset val="2"/>
      </rPr>
      <t>.d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 xml:space="preserve"> / A</t>
    </r>
    <r>
      <rPr>
        <vertAlign val="subscript"/>
        <sz val="11"/>
        <color indexed="8"/>
        <rFont val="Arial"/>
        <family val="2"/>
      </rPr>
      <t>s</t>
    </r>
  </si>
  <si>
    <r>
      <t>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 xml:space="preserve"> = </t>
    </r>
  </si>
  <si>
    <r>
      <t>A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2"/>
      </rPr>
      <t xml:space="preserve"> = b.h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</si>
  <si>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M.(h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-y</t>
    </r>
    <r>
      <rPr>
        <vertAlign val="subscript"/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>).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 xml:space="preserve"> / I</t>
    </r>
    <r>
      <rPr>
        <vertAlign val="subscript"/>
        <sz val="11"/>
        <color indexed="8"/>
        <rFont val="Arial"/>
        <family val="2"/>
      </rPr>
      <t xml:space="preserve">red </t>
    </r>
    <r>
      <rPr>
        <sz val="11"/>
        <color indexed="8"/>
        <rFont val="Arial"/>
        <family val="2"/>
      </rPr>
      <t>=</t>
    </r>
  </si>
  <si>
    <r>
      <t>y</t>
    </r>
    <r>
      <rPr>
        <vertAlign val="subscript"/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 xml:space="preserve"> = 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.(((</t>
    </r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>+</t>
    </r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>)</t>
    </r>
    <r>
      <rPr>
        <vertAlign val="super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>+2.(</t>
    </r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>+</t>
    </r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>.a'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/h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))</t>
    </r>
    <r>
      <rPr>
        <vertAlign val="superscript"/>
        <sz val="11"/>
        <color indexed="8"/>
        <rFont val="Arial"/>
        <family val="2"/>
      </rPr>
      <t>0.5</t>
    </r>
    <r>
      <rPr>
        <sz val="11"/>
        <color indexed="8"/>
        <rFont val="Arial"/>
        <family val="2"/>
      </rPr>
      <t>-(</t>
    </r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>+</t>
    </r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>))</t>
    </r>
  </si>
  <si>
    <t>(CT 196 TCVN 5574:2018)</t>
  </si>
  <si>
    <r>
      <t>y</t>
    </r>
    <r>
      <rPr>
        <vertAlign val="subscript"/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 xml:space="preserve"> =</t>
    </r>
  </si>
  <si>
    <r>
      <t>2. Tính a</t>
    </r>
    <r>
      <rPr>
        <b/>
        <vertAlign val="subscript"/>
        <sz val="11"/>
        <color indexed="8"/>
        <rFont val="Arial"/>
        <family val="2"/>
      </rPr>
      <t>crc1</t>
    </r>
  </si>
  <si>
    <t>B25</t>
  </si>
  <si>
    <t>CB400-V</t>
  </si>
  <si>
    <t>BE TONG</t>
  </si>
  <si>
    <t>STT</t>
  </si>
  <si>
    <t>Tên</t>
  </si>
  <si>
    <t>Rb (MPa)</t>
  </si>
  <si>
    <t>Rbt (MPa)</t>
  </si>
  <si>
    <t>Eb (MPa)</t>
  </si>
  <si>
    <t>B15</t>
  </si>
  <si>
    <t>B20</t>
  </si>
  <si>
    <t>B22.5</t>
  </si>
  <si>
    <t>B35</t>
  </si>
  <si>
    <t>B40</t>
  </si>
  <si>
    <t>B45</t>
  </si>
  <si>
    <t>B50</t>
  </si>
  <si>
    <t>B60</t>
  </si>
  <si>
    <t>COT THEP</t>
  </si>
  <si>
    <t>Rs (MPa)</t>
  </si>
  <si>
    <t>Rsc (MPa)</t>
  </si>
  <si>
    <t>Rsw (MPa)</t>
  </si>
  <si>
    <t>Es (MPa)</t>
  </si>
  <si>
    <t>A-I</t>
  </si>
  <si>
    <t>A-II</t>
  </si>
  <si>
    <t>A-III</t>
  </si>
  <si>
    <t>A-IV</t>
  </si>
  <si>
    <t>CB240-T</t>
  </si>
  <si>
    <t>CB500-V</t>
  </si>
  <si>
    <t>Rb,n
Rb,ser</t>
  </si>
  <si>
    <t>Rbt,n
Rbt,ser</t>
  </si>
  <si>
    <r>
      <t>m</t>
    </r>
    <r>
      <rPr>
        <vertAlign val="superscript"/>
        <sz val="11"/>
        <color indexed="8"/>
        <rFont val="Arial"/>
        <family val="2"/>
      </rPr>
      <t>4</t>
    </r>
  </si>
  <si>
    <r>
      <t>m</t>
    </r>
    <r>
      <rPr>
        <vertAlign val="superscript"/>
        <sz val="11"/>
        <color indexed="8"/>
        <rFont val="Arial"/>
        <family val="2"/>
      </rPr>
      <t>2</t>
    </r>
  </si>
  <si>
    <r>
      <t>M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</si>
  <si>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A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(b.h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) =</t>
    </r>
  </si>
  <si>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A'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(b.h'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) =</t>
    </r>
  </si>
  <si>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 xml:space="preserve"> =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b,red</t>
    </r>
    <r>
      <rPr>
        <sz val="11"/>
        <color indexed="8"/>
        <rFont val="Arial"/>
        <family val="2"/>
      </rPr>
      <t xml:space="preserve"> =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e</t>
    </r>
    <r>
      <rPr>
        <vertAlign val="subscript"/>
        <sz val="11"/>
        <color indexed="8"/>
        <rFont val="Arial"/>
        <family val="2"/>
      </rPr>
      <t>b1,red</t>
    </r>
    <r>
      <rPr>
        <sz val="11"/>
        <color indexed="8"/>
        <rFont val="Arial"/>
        <family val="2"/>
      </rPr>
      <t xml:space="preserve"> / R</t>
    </r>
    <r>
      <rPr>
        <vertAlign val="subscript"/>
        <sz val="11"/>
        <color indexed="8"/>
        <rFont val="Arial"/>
        <family val="2"/>
      </rPr>
      <t xml:space="preserve">b,n </t>
    </r>
    <r>
      <rPr>
        <sz val="11"/>
        <color indexed="8"/>
        <rFont val="Arial"/>
        <family val="2"/>
      </rPr>
      <t>= 0,0015.E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R</t>
    </r>
    <r>
      <rPr>
        <vertAlign val="subscript"/>
        <sz val="11"/>
        <color indexed="8"/>
        <rFont val="Arial"/>
        <family val="2"/>
      </rPr>
      <t xml:space="preserve">b,n </t>
    </r>
    <r>
      <rPr>
        <sz val="11"/>
        <color indexed="8"/>
        <rFont val="Arial"/>
        <family val="2"/>
      </rPr>
      <t>=</t>
    </r>
  </si>
  <si>
    <r>
      <t>M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 xml:space="preserve"> =</t>
    </r>
  </si>
  <si>
    <r>
      <t>M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 xml:space="preserve"> = </t>
    </r>
  </si>
  <si>
    <r>
      <t>M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 xml:space="preserve"> =</t>
    </r>
  </si>
  <si>
    <t>m</t>
  </si>
  <si>
    <r>
      <t>h</t>
    </r>
    <r>
      <rPr>
        <vertAlign val="subscript"/>
        <sz val="11"/>
        <color indexed="8"/>
        <rFont val="Arial"/>
        <family val="2"/>
      </rPr>
      <t xml:space="preserve">bt </t>
    </r>
    <r>
      <rPr>
        <sz val="11"/>
        <color indexed="8"/>
        <rFont val="Arial"/>
        <family val="2"/>
      </rPr>
      <t>=</t>
    </r>
  </si>
  <si>
    <r>
      <t>mm</t>
    </r>
    <r>
      <rPr>
        <vertAlign val="superscript"/>
        <sz val="11"/>
        <color indexed="8"/>
        <rFont val="Arial"/>
        <family val="2"/>
      </rPr>
      <t>2</t>
    </r>
  </si>
  <si>
    <r>
      <t>(10d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>;100mm) ≤ L ≤ (40d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>;400mm)</t>
    </r>
  </si>
  <si>
    <r>
      <t>(2a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1"/>
        <charset val="2"/>
      </rPr>
      <t>) ≤ h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1"/>
        <charset val="2"/>
      </rPr>
      <t xml:space="preserve"> ≤ (0,5h)</t>
    </r>
  </si>
  <si>
    <r>
      <t>a</t>
    </r>
    <r>
      <rPr>
        <vertAlign val="subscript"/>
        <sz val="11"/>
        <color indexed="8"/>
        <rFont val="Arial"/>
        <family val="2"/>
      </rPr>
      <t>crc1</t>
    </r>
    <r>
      <rPr>
        <sz val="11"/>
        <color indexed="8"/>
        <rFont val="Arial"/>
        <family val="2"/>
      </rPr>
      <t xml:space="preserve"> =</t>
    </r>
    <r>
      <rPr>
        <sz val="11"/>
        <color indexed="8"/>
        <rFont val="Symbol"/>
        <family val="1"/>
        <charset val="2"/>
      </rPr>
      <t xml:space="preserve"> 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Symbol"/>
        <family val="1"/>
        <charset val="2"/>
      </rPr>
      <t>.j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</t>
    </r>
  </si>
  <si>
    <r>
      <t>3. Tính a</t>
    </r>
    <r>
      <rPr>
        <b/>
        <vertAlign val="subscript"/>
        <sz val="11"/>
        <color indexed="8"/>
        <rFont val="Arial"/>
        <family val="2"/>
      </rPr>
      <t>crc2</t>
    </r>
  </si>
  <si>
    <r>
      <t>4. Tính a</t>
    </r>
    <r>
      <rPr>
        <b/>
        <vertAlign val="subscript"/>
        <sz val="11"/>
        <color indexed="8"/>
        <rFont val="Arial"/>
        <family val="2"/>
      </rPr>
      <t>crc3</t>
    </r>
  </si>
  <si>
    <r>
      <t>a</t>
    </r>
    <r>
      <rPr>
        <vertAlign val="subscript"/>
        <sz val="11"/>
        <color indexed="8"/>
        <rFont val="Arial"/>
        <family val="2"/>
      </rPr>
      <t>crc3</t>
    </r>
    <r>
      <rPr>
        <sz val="11"/>
        <color indexed="8"/>
        <rFont val="Arial"/>
        <family val="2"/>
      </rPr>
      <t xml:space="preserve"> =</t>
    </r>
    <r>
      <rPr>
        <sz val="11"/>
        <color indexed="8"/>
        <rFont val="Symbol"/>
        <family val="1"/>
        <charset val="2"/>
      </rPr>
      <t xml:space="preserve"> 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Symbol"/>
        <family val="1"/>
        <charset val="2"/>
      </rPr>
      <t>.j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</t>
    </r>
  </si>
  <si>
    <r>
      <t>a</t>
    </r>
    <r>
      <rPr>
        <vertAlign val="subscript"/>
        <sz val="11"/>
        <color indexed="8"/>
        <rFont val="Arial"/>
        <family val="2"/>
      </rPr>
      <t>crc2</t>
    </r>
    <r>
      <rPr>
        <sz val="11"/>
        <color indexed="8"/>
        <rFont val="Arial"/>
        <family val="2"/>
      </rPr>
      <t xml:space="preserve"> =</t>
    </r>
    <r>
      <rPr>
        <sz val="11"/>
        <color indexed="8"/>
        <rFont val="Symbol"/>
        <family val="1"/>
        <charset val="2"/>
      </rPr>
      <t xml:space="preserve"> 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Symbol"/>
        <family val="1"/>
        <charset val="2"/>
      </rPr>
      <t>.j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</t>
    </r>
  </si>
  <si>
    <t>5. Kết luận</t>
  </si>
  <si>
    <t>Bề rộng vết nứt dài hạn</t>
  </si>
  <si>
    <r>
      <t>a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a</t>
    </r>
    <r>
      <rPr>
        <vertAlign val="subscript"/>
        <sz val="11"/>
        <color indexed="8"/>
        <rFont val="Arial"/>
        <family val="2"/>
      </rPr>
      <t>crc1</t>
    </r>
    <r>
      <rPr>
        <sz val="11"/>
        <color indexed="8"/>
        <rFont val="Arial"/>
        <family val="2"/>
      </rPr>
      <t xml:space="preserve"> = </t>
    </r>
  </si>
  <si>
    <r>
      <t>[a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>] =</t>
    </r>
  </si>
  <si>
    <t>Bề rộng vết nứt ngắn hạn</t>
  </si>
  <si>
    <r>
      <t>a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a</t>
    </r>
    <r>
      <rPr>
        <vertAlign val="subscript"/>
        <sz val="11"/>
        <color indexed="8"/>
        <rFont val="Arial"/>
        <family val="2"/>
      </rPr>
      <t>crc1</t>
    </r>
    <r>
      <rPr>
        <sz val="11"/>
        <color indexed="8"/>
        <rFont val="Arial"/>
        <family val="2"/>
      </rPr>
      <t xml:space="preserve"> + a</t>
    </r>
    <r>
      <rPr>
        <vertAlign val="subscript"/>
        <sz val="11"/>
        <color indexed="8"/>
        <rFont val="Arial"/>
        <family val="2"/>
      </rPr>
      <t>crc2</t>
    </r>
    <r>
      <rPr>
        <sz val="11"/>
        <color indexed="8"/>
        <rFont val="Arial"/>
        <family val="2"/>
      </rPr>
      <t xml:space="preserve"> - a</t>
    </r>
    <r>
      <rPr>
        <vertAlign val="subscript"/>
        <sz val="11"/>
        <color indexed="8"/>
        <rFont val="Arial"/>
        <family val="2"/>
      </rPr>
      <t>crc3</t>
    </r>
    <r>
      <rPr>
        <sz val="11"/>
        <color indexed="8"/>
        <rFont val="Arial"/>
        <family val="2"/>
      </rPr>
      <t xml:space="preserve"> = </t>
    </r>
  </si>
  <si>
    <t>(Mục 8.2.2.2.4 TCVN 5574:2018)</t>
  </si>
  <si>
    <t>(CT 162 TCVN 5574:2018)</t>
  </si>
  <si>
    <t>(CT 163 TCVN 5574:2018)</t>
  </si>
  <si>
    <t>(Tác dụng ngắn hạn của 1TT+1.HT)</t>
  </si>
  <si>
    <r>
      <t xml:space="preserve">(Giả thiết hoạt tải dài hạn chiếm </t>
    </r>
    <r>
      <rPr>
        <i/>
        <sz val="11"/>
        <color indexed="8"/>
        <rFont val="Symbol"/>
        <family val="1"/>
        <charset val="2"/>
      </rPr>
      <t>y</t>
    </r>
    <r>
      <rPr>
        <i/>
        <sz val="11"/>
        <color indexed="8"/>
        <rFont val="Arial"/>
        <family val="2"/>
      </rPr>
      <t xml:space="preserve"> tải toàn phần)</t>
    </r>
  </si>
  <si>
    <r>
      <t>(Tác dụng dài hạn của 1TT+</t>
    </r>
    <r>
      <rPr>
        <i/>
        <sz val="11"/>
        <color indexed="8"/>
        <rFont val="Symbol"/>
        <family val="1"/>
        <charset val="2"/>
      </rPr>
      <t>y</t>
    </r>
    <r>
      <rPr>
        <i/>
        <sz val="11"/>
        <color indexed="8"/>
        <rFont val="Arial"/>
        <family val="2"/>
      </rPr>
      <t>HT)</t>
    </r>
  </si>
  <si>
    <r>
      <t>(Tác dụng ngắn hạn của 1TT+</t>
    </r>
    <r>
      <rPr>
        <i/>
        <sz val="11"/>
        <color indexed="8"/>
        <rFont val="Symbol"/>
        <family val="1"/>
        <charset val="2"/>
      </rPr>
      <t>y</t>
    </r>
    <r>
      <rPr>
        <i/>
        <sz val="11"/>
        <color indexed="8"/>
        <rFont val="Arial"/>
        <family val="2"/>
      </rPr>
      <t>.HT)</t>
    </r>
  </si>
  <si>
    <r>
      <t xml:space="preserve">TÍNH TOÁN SỰ HÌNH THÀNH VÀ MỞ RỘNG VẾT NỨT
</t>
    </r>
    <r>
      <rPr>
        <i/>
        <sz val="11"/>
        <rFont val="Arial"/>
        <family val="2"/>
      </rPr>
      <t>(THEO TCVN 5574:2018)</t>
    </r>
  </si>
  <si>
    <t>e. Kiểm tra điều kiện hình thành vết nứt</t>
  </si>
  <si>
    <r>
      <t>m</t>
    </r>
    <r>
      <rPr>
        <vertAlign val="superscript"/>
        <sz val="11"/>
        <color theme="1"/>
        <rFont val="Arial"/>
        <family val="2"/>
      </rPr>
      <t>3</t>
    </r>
  </si>
  <si>
    <r>
      <t>I</t>
    </r>
    <r>
      <rPr>
        <vertAlign val="subscript"/>
        <sz val="11"/>
        <color theme="1"/>
        <rFont val="Arial"/>
        <family val="2"/>
      </rPr>
      <t>red</t>
    </r>
    <r>
      <rPr>
        <sz val="11"/>
        <color theme="1"/>
        <rFont val="Arial"/>
        <family val="1"/>
        <charset val="2"/>
      </rPr>
      <t xml:space="preserve"> =</t>
    </r>
  </si>
  <si>
    <r>
      <t>Momen do tĩnh tải gây ra M</t>
    </r>
    <r>
      <rPr>
        <vertAlign val="subscript"/>
        <sz val="11"/>
        <color theme="1"/>
        <rFont val="Arial"/>
        <family val="2"/>
      </rPr>
      <t>tt</t>
    </r>
    <r>
      <rPr>
        <sz val="11"/>
        <color theme="1"/>
        <rFont val="Arial"/>
        <family val="2"/>
      </rPr>
      <t xml:space="preserve"> =</t>
    </r>
  </si>
  <si>
    <r>
      <t>Momen do hoạt tải gây ra M</t>
    </r>
    <r>
      <rPr>
        <vertAlign val="subscript"/>
        <sz val="11"/>
        <color theme="1"/>
        <rFont val="Arial"/>
        <family val="2"/>
      </rPr>
      <t>ht</t>
    </r>
    <r>
      <rPr>
        <sz val="11"/>
        <color theme="1"/>
        <rFont val="Arial"/>
        <family val="2"/>
      </rPr>
      <t xml:space="preserve"> =</t>
    </r>
  </si>
  <si>
    <r>
      <t xml:space="preserve">Hệ số </t>
    </r>
    <r>
      <rPr>
        <sz val="11"/>
        <color theme="1"/>
        <rFont val="Symbol"/>
        <family val="1"/>
        <charset val="2"/>
      </rPr>
      <t>y =</t>
    </r>
  </si>
  <si>
    <r>
      <t>kN/m</t>
    </r>
    <r>
      <rPr>
        <vertAlign val="superscript"/>
        <sz val="11"/>
        <color theme="1"/>
        <rFont val="Arial"/>
        <family val="2"/>
      </rPr>
      <t>2</t>
    </r>
  </si>
  <si>
    <r>
      <t>y</t>
    </r>
    <r>
      <rPr>
        <vertAlign val="subscript"/>
        <sz val="11"/>
        <rFont val="Arial"/>
        <family val="2"/>
      </rPr>
      <t xml:space="preserve">t </t>
    </r>
    <r>
      <rPr>
        <sz val="11"/>
        <rFont val="Arial"/>
        <family val="2"/>
      </rPr>
      <t xml:space="preserve">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</si>
</sst>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indexed="8"/>
      <name val="Symbol"/>
      <family val="1"/>
      <charset val="2"/>
    </font>
    <font>
      <sz val="11"/>
      <color indexed="8"/>
      <name val="Arial"/>
      <family val="1"/>
      <charset val="2"/>
    </font>
    <font>
      <vertAlign val="subscript"/>
      <sz val="11"/>
      <color indexed="8"/>
      <name val="Arial"/>
      <family val="2"/>
    </font>
    <font>
      <vertAlign val="superscript"/>
      <sz val="11"/>
      <color indexed="8"/>
      <name val="Arial"/>
      <family val="2"/>
    </font>
    <font>
      <b/>
      <vertAlign val="subscript"/>
      <sz val="11"/>
      <color indexed="8"/>
      <name val="Arial"/>
      <family val="2"/>
    </font>
    <font>
      <sz val="11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1"/>
      <charset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4" tint="-0.249977111117893"/>
      <name val="Arial"/>
      <family val="2"/>
    </font>
    <font>
      <i/>
      <sz val="11"/>
      <name val="Arial"/>
      <family val="2"/>
    </font>
    <font>
      <vertAlign val="superscript"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16"/>
      <name val="Arial"/>
      <family val="2"/>
    </font>
    <font>
      <sz val="11"/>
      <color theme="1"/>
      <name val="Symbol"/>
      <family val="1"/>
      <charset val="2"/>
    </font>
    <font>
      <vertAlign val="subscript"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6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1" fillId="0" borderId="0" xfId="0" applyFont="1"/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2" borderId="0" xfId="0" applyFont="1" applyFill="1"/>
    <xf numFmtId="0" fontId="7" fillId="2" borderId="0" xfId="0" applyFont="1" applyFill="1"/>
    <xf numFmtId="0" fontId="14" fillId="3" borderId="0" xfId="0" applyFont="1" applyFill="1"/>
    <xf numFmtId="0" fontId="11" fillId="3" borderId="0" xfId="0" applyFont="1" applyFill="1"/>
    <xf numFmtId="0" fontId="12" fillId="3" borderId="0" xfId="0" applyFont="1" applyFill="1" applyAlignment="1">
      <alignment horizontal="right"/>
    </xf>
    <xf numFmtId="0" fontId="13" fillId="3" borderId="0" xfId="0" applyFont="1" applyFill="1"/>
    <xf numFmtId="2" fontId="11" fillId="3" borderId="0" xfId="0" applyNumberFormat="1" applyFont="1" applyFill="1"/>
    <xf numFmtId="0" fontId="12" fillId="3" borderId="0" xfId="0" applyFont="1" applyFill="1"/>
    <xf numFmtId="0" fontId="11" fillId="3" borderId="0" xfId="0" applyFont="1" applyFill="1" applyAlignment="1">
      <alignment horizontal="center"/>
    </xf>
    <xf numFmtId="2" fontId="7" fillId="3" borderId="0" xfId="0" applyNumberFormat="1" applyFont="1" applyFill="1"/>
    <xf numFmtId="0" fontId="11" fillId="3" borderId="0" xfId="0" applyFont="1" applyFill="1" applyAlignment="1">
      <alignment vertical="center"/>
    </xf>
    <xf numFmtId="0" fontId="7" fillId="3" borderId="0" xfId="0" applyFont="1" applyFill="1"/>
    <xf numFmtId="166" fontId="7" fillId="3" borderId="0" xfId="0" applyNumberFormat="1" applyFont="1" applyFill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vertical="center"/>
    </xf>
    <xf numFmtId="164" fontId="11" fillId="3" borderId="0" xfId="0" applyNumberFormat="1" applyFont="1" applyFill="1"/>
    <xf numFmtId="0" fontId="15" fillId="3" borderId="0" xfId="0" applyFont="1" applyFill="1"/>
    <xf numFmtId="165" fontId="11" fillId="3" borderId="0" xfId="0" applyNumberFormat="1" applyFont="1" applyFill="1"/>
    <xf numFmtId="0" fontId="11" fillId="3" borderId="0" xfId="0" applyFont="1" applyFill="1" applyAlignment="1">
      <alignment horizontal="right" vertical="center"/>
    </xf>
    <xf numFmtId="0" fontId="11" fillId="3" borderId="0" xfId="0" applyFont="1" applyFill="1" applyAlignment="1">
      <alignment horizontal="right"/>
    </xf>
    <xf numFmtId="0" fontId="16" fillId="3" borderId="0" xfId="0" applyFont="1" applyFill="1"/>
    <xf numFmtId="0" fontId="20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Normal="100" zoomScaleSheetLayoutView="100" workbookViewId="0">
      <selection activeCell="N19" sqref="N19"/>
    </sheetView>
  </sheetViews>
  <sheetFormatPr defaultColWidth="8.7109375" defaultRowHeight="20.100000000000001" customHeight="1"/>
  <cols>
    <col min="1" max="1" width="8.7109375" style="1"/>
    <col min="2" max="2" width="8.7109375" style="1" customWidth="1"/>
    <col min="3" max="3" width="8.7109375" style="1"/>
    <col min="4" max="4" width="8.7109375" style="1" customWidth="1"/>
    <col min="5" max="6" width="8.7109375" style="1"/>
    <col min="7" max="7" width="8.7109375" style="1" customWidth="1"/>
    <col min="8" max="10" width="8.7109375" style="1"/>
    <col min="11" max="11" width="2.140625" style="4" customWidth="1"/>
    <col min="12" max="12" width="9.42578125" style="1" bestFit="1" customWidth="1"/>
    <col min="13" max="16384" width="8.7109375" style="1"/>
  </cols>
  <sheetData>
    <row r="1" spans="1:11" ht="51" customHeight="1">
      <c r="A1" s="25" t="s">
        <v>107</v>
      </c>
      <c r="B1" s="26"/>
      <c r="C1" s="26"/>
      <c r="D1" s="26"/>
      <c r="E1" s="26"/>
      <c r="F1" s="26"/>
      <c r="G1" s="26"/>
      <c r="H1" s="26"/>
      <c r="I1" s="26"/>
      <c r="J1" s="26"/>
    </row>
    <row r="2" spans="1:11" ht="20.100000000000001" customHeight="1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</row>
    <row r="3" spans="1:11" ht="20.100000000000001" customHeight="1">
      <c r="A3" s="6" t="s">
        <v>1</v>
      </c>
      <c r="B3" s="7"/>
      <c r="C3" s="8" t="s">
        <v>56</v>
      </c>
      <c r="D3" s="7"/>
      <c r="E3" s="7"/>
      <c r="F3" s="7"/>
      <c r="G3" s="7"/>
      <c r="H3" s="7"/>
      <c r="I3" s="7"/>
      <c r="J3" s="7"/>
    </row>
    <row r="4" spans="1:11" ht="20.100000000000001" customHeight="1">
      <c r="A4" s="7" t="s">
        <v>5</v>
      </c>
      <c r="B4" s="7">
        <f>VLOOKUP($C$3,DATA!$B$3:$G$12,4,0)</f>
        <v>13</v>
      </c>
      <c r="C4" s="7" t="s">
        <v>3</v>
      </c>
      <c r="D4" s="7" t="s">
        <v>6</v>
      </c>
      <c r="E4" s="7">
        <f>VLOOKUP($C$3,DATA!$B$3:$G$12,2,0)</f>
        <v>16.75</v>
      </c>
      <c r="F4" s="7" t="s">
        <v>3</v>
      </c>
      <c r="G4" s="7"/>
      <c r="H4" s="7"/>
      <c r="I4" s="7"/>
      <c r="J4" s="7"/>
    </row>
    <row r="5" spans="1:11" ht="20.100000000000001" customHeight="1">
      <c r="A5" s="7" t="s">
        <v>4</v>
      </c>
      <c r="B5" s="7">
        <f>VLOOKUP($C$3,DATA!$B$3:$G$12,5,0)</f>
        <v>1</v>
      </c>
      <c r="C5" s="7" t="s">
        <v>3</v>
      </c>
      <c r="D5" s="7" t="s">
        <v>7</v>
      </c>
      <c r="E5" s="7">
        <f>VLOOKUP($C$3,DATA!$B$3:$G$12,3,0)</f>
        <v>1.4500000000000002</v>
      </c>
      <c r="F5" s="7" t="s">
        <v>3</v>
      </c>
      <c r="G5" s="7"/>
      <c r="H5" s="7"/>
      <c r="I5" s="7"/>
      <c r="J5" s="7"/>
    </row>
    <row r="6" spans="1:11" ht="20.100000000000001" customHeight="1">
      <c r="A6" s="7" t="s">
        <v>10</v>
      </c>
      <c r="B6" s="7">
        <f>VLOOKUP($C$3,DATA!$B$3:$G$12,6,0)</f>
        <v>29000</v>
      </c>
      <c r="C6" s="7" t="s">
        <v>3</v>
      </c>
      <c r="D6" s="7"/>
      <c r="E6" s="7"/>
      <c r="F6" s="7"/>
      <c r="G6" s="7"/>
      <c r="H6" s="7"/>
      <c r="I6" s="7"/>
      <c r="J6" s="7"/>
    </row>
    <row r="7" spans="1:11" ht="20.100000000000001" customHeight="1">
      <c r="A7" s="6" t="s">
        <v>8</v>
      </c>
      <c r="B7" s="7"/>
      <c r="C7" s="8" t="s">
        <v>47</v>
      </c>
      <c r="D7" s="7"/>
      <c r="E7" s="7"/>
      <c r="F7" s="7"/>
      <c r="G7" s="7"/>
      <c r="H7" s="7"/>
      <c r="I7" s="7"/>
      <c r="J7" s="7"/>
    </row>
    <row r="8" spans="1:11" ht="20.100000000000001" customHeight="1">
      <c r="A8" s="7" t="s">
        <v>11</v>
      </c>
      <c r="B8" s="7">
        <f>VLOOKUP($C$7,DATA!$B$16:$F$23,2,0)</f>
        <v>350</v>
      </c>
      <c r="C8" s="7" t="s">
        <v>3</v>
      </c>
      <c r="D8" s="7"/>
      <c r="E8" s="7"/>
      <c r="F8" s="7"/>
      <c r="G8" s="7"/>
      <c r="H8" s="7"/>
      <c r="I8" s="7"/>
      <c r="J8" s="7"/>
    </row>
    <row r="9" spans="1:11" ht="20.100000000000001" customHeight="1">
      <c r="A9" s="7" t="s">
        <v>12</v>
      </c>
      <c r="B9" s="7">
        <f>VLOOKUP($C$7,DATA!$B$16:$F$23,5,0)</f>
        <v>200000</v>
      </c>
      <c r="C9" s="7" t="s">
        <v>3</v>
      </c>
      <c r="D9" s="7"/>
      <c r="E9" s="7"/>
      <c r="F9" s="7"/>
      <c r="G9" s="7"/>
      <c r="H9" s="7"/>
      <c r="I9" s="7"/>
      <c r="J9" s="7"/>
    </row>
    <row r="10" spans="1:11" ht="20.100000000000001" customHeight="1">
      <c r="A10" s="9" t="s">
        <v>35</v>
      </c>
      <c r="B10" s="7"/>
      <c r="C10" s="10">
        <f>B9/B6</f>
        <v>6.8965517241379306</v>
      </c>
      <c r="D10" s="7"/>
      <c r="E10" s="7"/>
      <c r="F10" s="7"/>
      <c r="G10" s="7"/>
      <c r="H10" s="7"/>
      <c r="I10" s="7"/>
      <c r="J10" s="7"/>
    </row>
    <row r="11" spans="1:11" ht="20.100000000000001" customHeight="1">
      <c r="A11" s="6" t="s">
        <v>13</v>
      </c>
      <c r="B11" s="7"/>
      <c r="C11" s="7"/>
      <c r="D11" s="7"/>
      <c r="E11" s="7"/>
      <c r="F11" s="7"/>
      <c r="G11" s="7"/>
      <c r="H11" s="7"/>
      <c r="I11" s="7"/>
      <c r="J11" s="7"/>
    </row>
    <row r="12" spans="1:11" ht="20.100000000000001" customHeight="1">
      <c r="A12" s="7" t="s">
        <v>14</v>
      </c>
      <c r="B12" s="11">
        <v>220</v>
      </c>
      <c r="C12" s="7" t="s">
        <v>15</v>
      </c>
      <c r="D12" s="7" t="s">
        <v>17</v>
      </c>
      <c r="E12" s="11">
        <v>34</v>
      </c>
      <c r="F12" s="7" t="s">
        <v>15</v>
      </c>
      <c r="G12" s="7" t="s">
        <v>22</v>
      </c>
      <c r="H12" s="11">
        <f>B13-E12</f>
        <v>416</v>
      </c>
      <c r="I12" s="7" t="s">
        <v>15</v>
      </c>
      <c r="J12" s="7"/>
    </row>
    <row r="13" spans="1:11" ht="20.100000000000001" customHeight="1">
      <c r="A13" s="7" t="s">
        <v>16</v>
      </c>
      <c r="B13" s="11">
        <v>450</v>
      </c>
      <c r="C13" s="7" t="s">
        <v>15</v>
      </c>
      <c r="D13" s="7" t="s">
        <v>18</v>
      </c>
      <c r="E13" s="11">
        <v>34</v>
      </c>
      <c r="F13" s="7" t="s">
        <v>15</v>
      </c>
      <c r="G13" s="7" t="s">
        <v>23</v>
      </c>
      <c r="H13" s="11">
        <f>B13-E13</f>
        <v>416</v>
      </c>
      <c r="I13" s="7" t="s">
        <v>15</v>
      </c>
      <c r="J13" s="7"/>
    </row>
    <row r="14" spans="1:11" ht="20.100000000000001" customHeight="1">
      <c r="A14" s="7" t="s">
        <v>19</v>
      </c>
      <c r="B14" s="11">
        <v>4</v>
      </c>
      <c r="C14" s="12" t="s">
        <v>20</v>
      </c>
      <c r="D14" s="11">
        <v>18</v>
      </c>
      <c r="E14" s="7" t="s">
        <v>21</v>
      </c>
      <c r="F14" s="13">
        <f>B14*PI()*(D14/10)^2/4</f>
        <v>10.178760197630931</v>
      </c>
      <c r="G14" s="14" t="s">
        <v>32</v>
      </c>
      <c r="H14" s="7"/>
      <c r="I14" s="7"/>
      <c r="J14" s="7"/>
    </row>
    <row r="15" spans="1:11" ht="20.100000000000001" customHeight="1">
      <c r="A15" s="7" t="s">
        <v>24</v>
      </c>
      <c r="B15" s="11">
        <v>2</v>
      </c>
      <c r="C15" s="12" t="s">
        <v>20</v>
      </c>
      <c r="D15" s="11">
        <v>16</v>
      </c>
      <c r="E15" s="7" t="s">
        <v>21</v>
      </c>
      <c r="F15" s="13">
        <f>B15*PI()*(D15/10)^2/4</f>
        <v>4.0212385965949355</v>
      </c>
      <c r="G15" s="14" t="s">
        <v>32</v>
      </c>
      <c r="H15" s="7"/>
      <c r="I15" s="7"/>
      <c r="J15" s="7"/>
    </row>
    <row r="16" spans="1:11" ht="20.100000000000001" customHeight="1">
      <c r="A16" s="15" t="s">
        <v>115</v>
      </c>
      <c r="B16" s="16">
        <f>(_b*_h^2/2+C10*_As2*_a02+C10*_As1*_h01)/(_b*_h+C10*_As2+_As1*C10)</f>
        <v>225.08184774558754</v>
      </c>
      <c r="C16" s="17" t="s">
        <v>15</v>
      </c>
      <c r="D16" s="15"/>
      <c r="E16" s="15"/>
      <c r="F16" s="13"/>
      <c r="G16" s="18"/>
      <c r="H16" s="15"/>
      <c r="I16" s="15"/>
      <c r="J16" s="15"/>
      <c r="K16" s="5"/>
    </row>
    <row r="17" spans="1:10" ht="20.100000000000001" customHeight="1">
      <c r="A17" s="7" t="s">
        <v>30</v>
      </c>
      <c r="B17" s="7"/>
      <c r="C17" s="7"/>
      <c r="D17" s="19">
        <f>(B12*B13^3/12+_b*_h*(_h/2-B16)^2+C10*(F14*100*(_h01-B16)^2)+C10*(F15*100*(B16-_a02)^2))/1000^4</f>
        <v>2.0277551329034166E-3</v>
      </c>
      <c r="E17" s="14" t="s">
        <v>75</v>
      </c>
      <c r="F17" s="7"/>
      <c r="G17" s="20" t="s">
        <v>101</v>
      </c>
      <c r="H17" s="7"/>
      <c r="I17" s="7"/>
      <c r="J17" s="7"/>
    </row>
    <row r="18" spans="1:10" ht="20.100000000000001" customHeight="1">
      <c r="A18" s="7" t="s">
        <v>31</v>
      </c>
      <c r="B18" s="7"/>
      <c r="C18" s="7"/>
      <c r="D18" s="19">
        <f>(B12*B13+C10*F14*100+C10*F15*100)/1000^2</f>
        <v>0.10879310261670749</v>
      </c>
      <c r="E18" s="14" t="s">
        <v>76</v>
      </c>
      <c r="F18" s="7"/>
      <c r="G18" s="20" t="s">
        <v>102</v>
      </c>
      <c r="H18" s="7"/>
      <c r="I18" s="7"/>
      <c r="J18" s="7"/>
    </row>
    <row r="19" spans="1:10" ht="20.100000000000001" customHeight="1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ht="20.100000000000001" customHeight="1">
      <c r="A20" s="6" t="s">
        <v>25</v>
      </c>
      <c r="B20" s="7"/>
      <c r="C20" s="7"/>
      <c r="D20" s="7"/>
      <c r="E20" s="20" t="s">
        <v>104</v>
      </c>
      <c r="F20" s="7"/>
      <c r="G20" s="7"/>
      <c r="H20" s="7"/>
      <c r="I20" s="7"/>
      <c r="J20" s="7"/>
    </row>
    <row r="21" spans="1:10" ht="20.100000000000001" customHeight="1">
      <c r="A21" s="7" t="s">
        <v>111</v>
      </c>
      <c r="B21" s="7"/>
      <c r="C21" s="7"/>
      <c r="D21" s="7"/>
      <c r="E21" s="11">
        <v>47.47</v>
      </c>
      <c r="F21" s="7" t="s">
        <v>26</v>
      </c>
      <c r="G21" s="7"/>
      <c r="H21" s="7"/>
      <c r="I21" s="7"/>
      <c r="J21" s="7"/>
    </row>
    <row r="22" spans="1:10" ht="20.100000000000001" customHeight="1">
      <c r="A22" s="7" t="s">
        <v>112</v>
      </c>
      <c r="B22" s="7"/>
      <c r="C22" s="7"/>
      <c r="D22" s="7"/>
      <c r="E22" s="11">
        <v>11.6</v>
      </c>
      <c r="F22" s="7" t="s">
        <v>26</v>
      </c>
      <c r="G22" s="7"/>
      <c r="H22" s="7"/>
      <c r="I22" s="7"/>
      <c r="J22" s="7"/>
    </row>
    <row r="23" spans="1:10" ht="20.100000000000001" customHeight="1">
      <c r="A23" s="7" t="s">
        <v>113</v>
      </c>
      <c r="B23" s="7"/>
      <c r="C23" s="11">
        <v>0.3</v>
      </c>
      <c r="D23" s="7"/>
      <c r="E23" s="20"/>
      <c r="F23" s="7"/>
      <c r="G23" s="7"/>
      <c r="H23" s="7"/>
      <c r="I23" s="7"/>
      <c r="J23" s="7"/>
    </row>
    <row r="24" spans="1:10" ht="20.100000000000001" customHeight="1">
      <c r="A24" s="7" t="s">
        <v>81</v>
      </c>
      <c r="B24" s="15">
        <f>E21+C23*E22</f>
        <v>50.949999999999996</v>
      </c>
      <c r="C24" s="7" t="s">
        <v>26</v>
      </c>
      <c r="D24" s="20" t="s">
        <v>105</v>
      </c>
      <c r="E24" s="7"/>
      <c r="F24" s="7"/>
      <c r="G24" s="7"/>
      <c r="H24" s="7"/>
      <c r="I24" s="7"/>
      <c r="J24" s="7"/>
    </row>
    <row r="25" spans="1:10" ht="20.100000000000001" customHeight="1">
      <c r="A25" s="7" t="s">
        <v>82</v>
      </c>
      <c r="B25" s="15">
        <f>E21+E22</f>
        <v>59.07</v>
      </c>
      <c r="C25" s="7" t="s">
        <v>26</v>
      </c>
      <c r="D25" s="20" t="s">
        <v>103</v>
      </c>
      <c r="E25" s="7"/>
      <c r="F25" s="7"/>
      <c r="G25" s="7"/>
      <c r="H25" s="7"/>
      <c r="I25" s="7"/>
      <c r="J25" s="7"/>
    </row>
    <row r="26" spans="1:10" ht="20.100000000000001" customHeight="1">
      <c r="A26" s="7" t="s">
        <v>83</v>
      </c>
      <c r="B26" s="15">
        <f>E21+C23*E22</f>
        <v>50.949999999999996</v>
      </c>
      <c r="C26" s="7" t="s">
        <v>26</v>
      </c>
      <c r="D26" s="20" t="s">
        <v>106</v>
      </c>
      <c r="E26" s="7"/>
      <c r="F26" s="7"/>
      <c r="G26" s="7"/>
      <c r="H26" s="7"/>
      <c r="I26" s="7"/>
      <c r="J26" s="7"/>
    </row>
    <row r="27" spans="1:10" ht="20.100000000000001" customHeight="1">
      <c r="A27" s="6" t="s">
        <v>108</v>
      </c>
      <c r="B27" s="7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>
      <c r="A28" s="9" t="s">
        <v>34</v>
      </c>
      <c r="B28" s="7">
        <v>1.3</v>
      </c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>
      <c r="A29" s="7" t="s">
        <v>36</v>
      </c>
      <c r="B29" s="21">
        <f>(_b*_h*_h/2+C10*_As1*100*_a01+C10*_As2*100*(_h-_a02))/1000^3</f>
        <v>2.3667353864070997E-2</v>
      </c>
      <c r="C29" s="22" t="s">
        <v>109</v>
      </c>
      <c r="D29" s="7"/>
      <c r="E29" s="7"/>
      <c r="F29" s="7"/>
      <c r="G29" s="7"/>
      <c r="H29" s="7"/>
      <c r="I29" s="7"/>
      <c r="J29" s="7"/>
    </row>
    <row r="30" spans="1:10" ht="20.100000000000001" customHeight="1">
      <c r="A30" s="7" t="s">
        <v>42</v>
      </c>
      <c r="B30" s="7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>
      <c r="A31" s="7" t="s">
        <v>44</v>
      </c>
      <c r="B31" s="10">
        <f>_h01*(((C33*H32+C34*H32)^2+2*(C33*H32+C34*H32*_a02/_h01))^0.5-(C33*H32+C34*H32))</f>
        <v>175.14567094446141</v>
      </c>
      <c r="C31" s="7" t="s">
        <v>15</v>
      </c>
      <c r="D31" s="7"/>
      <c r="E31" s="7"/>
      <c r="F31" s="7"/>
      <c r="G31" s="7"/>
      <c r="H31" s="20" t="s">
        <v>43</v>
      </c>
      <c r="I31" s="7"/>
      <c r="J31" s="7"/>
    </row>
    <row r="32" spans="1:10" ht="20.100000000000001" customHeight="1">
      <c r="A32" s="9" t="s">
        <v>80</v>
      </c>
      <c r="B32" s="7"/>
      <c r="C32" s="7"/>
      <c r="D32" s="7"/>
      <c r="E32" s="7"/>
      <c r="F32" s="7"/>
      <c r="G32" s="7"/>
      <c r="H32" s="10">
        <f>0.0015*$B$9/$E$4</f>
        <v>17.910447761194028</v>
      </c>
      <c r="I32" s="7"/>
      <c r="J32" s="7"/>
    </row>
    <row r="33" spans="1:10" ht="20.100000000000001" customHeight="1">
      <c r="A33" s="9" t="s">
        <v>78</v>
      </c>
      <c r="B33" s="7"/>
      <c r="C33" s="19">
        <f>$F$14/($B$12*$H$12/100)</f>
        <v>1.112189706908974E-2</v>
      </c>
      <c r="D33" s="7"/>
      <c r="E33" s="7"/>
      <c r="F33" s="7"/>
      <c r="G33" s="7"/>
      <c r="H33" s="7"/>
      <c r="I33" s="7"/>
      <c r="J33" s="7"/>
    </row>
    <row r="34" spans="1:10" ht="20.100000000000001" customHeight="1">
      <c r="A34" s="9" t="s">
        <v>79</v>
      </c>
      <c r="B34" s="7"/>
      <c r="C34" s="19">
        <f>$F$15/($B$12*$H$13/100)</f>
        <v>4.3938358791465642E-3</v>
      </c>
      <c r="D34" s="7"/>
      <c r="E34" s="7"/>
      <c r="F34" s="7"/>
      <c r="G34" s="7"/>
      <c r="H34" s="7"/>
      <c r="I34" s="7"/>
      <c r="J34" s="7"/>
    </row>
    <row r="35" spans="1:10" ht="20.100000000000001" customHeight="1">
      <c r="A35" s="9" t="s">
        <v>38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ht="20.100000000000001" customHeight="1">
      <c r="A36" s="9" t="s">
        <v>87</v>
      </c>
      <c r="B36" s="7"/>
      <c r="C36" s="7"/>
      <c r="D36" s="7"/>
      <c r="E36" s="7"/>
      <c r="F36" s="7"/>
      <c r="G36" s="7"/>
      <c r="H36" s="7"/>
      <c r="I36" s="7"/>
      <c r="J36" s="7"/>
    </row>
    <row r="37" spans="1:10" ht="20.100000000000001" customHeight="1">
      <c r="A37" s="9" t="s">
        <v>39</v>
      </c>
      <c r="B37" s="7">
        <f>MIN(MIN(40*MAX(D14,D15),400),MAX(MAX(10*MAX(D14,D15),100),C38*MAX(D14,D15)*0.5/(_As1*100)))/1000</f>
        <v>0.4</v>
      </c>
      <c r="C37" s="7" t="s">
        <v>84</v>
      </c>
      <c r="D37" s="7"/>
      <c r="E37" s="7"/>
      <c r="F37" s="7"/>
      <c r="G37" s="7"/>
      <c r="H37" s="7"/>
      <c r="I37" s="7"/>
      <c r="J37" s="7"/>
    </row>
    <row r="38" spans="1:10" ht="20.100000000000001" customHeight="1">
      <c r="A38" s="7" t="s">
        <v>40</v>
      </c>
      <c r="B38" s="7"/>
      <c r="C38" s="7">
        <f>_b*B39</f>
        <v>49500</v>
      </c>
      <c r="D38" s="14" t="s">
        <v>86</v>
      </c>
      <c r="E38" s="7"/>
      <c r="F38" s="7"/>
      <c r="G38" s="7"/>
      <c r="H38" s="7"/>
      <c r="I38" s="7"/>
      <c r="J38" s="7"/>
    </row>
    <row r="39" spans="1:10" ht="20.100000000000001" customHeight="1">
      <c r="A39" s="7" t="s">
        <v>85</v>
      </c>
      <c r="B39" s="7">
        <f>MIN(MAX((_h-B31),2*_a01),0.5*_h)</f>
        <v>225</v>
      </c>
      <c r="C39" s="7" t="s">
        <v>15</v>
      </c>
      <c r="D39" s="7"/>
      <c r="E39" s="7"/>
      <c r="F39" s="7"/>
      <c r="G39" s="7"/>
      <c r="H39" s="7"/>
      <c r="I39" s="7"/>
      <c r="J39" s="7"/>
    </row>
    <row r="40" spans="1:10" ht="20.100000000000001" customHeight="1">
      <c r="A40" s="9" t="s">
        <v>88</v>
      </c>
      <c r="B40" s="7"/>
      <c r="C40" s="7"/>
      <c r="D40" s="7"/>
      <c r="E40" s="7"/>
      <c r="F40" s="7"/>
      <c r="G40" s="7"/>
      <c r="H40" s="7"/>
      <c r="I40" s="7"/>
      <c r="J40" s="7"/>
    </row>
    <row r="41" spans="1:10" ht="20.100000000000001" customHeight="1">
      <c r="A41" s="7" t="s">
        <v>33</v>
      </c>
      <c r="B41" s="7"/>
      <c r="C41" s="7"/>
      <c r="D41" s="7"/>
      <c r="E41" s="7"/>
      <c r="F41" s="7"/>
      <c r="G41" s="7"/>
      <c r="H41" s="7"/>
      <c r="I41" s="7"/>
      <c r="J41" s="7"/>
    </row>
    <row r="42" spans="1:10" ht="20.100000000000001" customHeight="1">
      <c r="A42" s="7"/>
      <c r="B42" s="7"/>
      <c r="C42" s="7"/>
      <c r="D42" s="7"/>
      <c r="E42" s="7"/>
      <c r="F42" s="7"/>
      <c r="G42" s="20" t="s">
        <v>100</v>
      </c>
      <c r="H42" s="7"/>
      <c r="I42" s="7"/>
      <c r="J42" s="7"/>
    </row>
    <row r="43" spans="1:10" ht="20.100000000000001" customHeight="1">
      <c r="A43" s="7" t="s">
        <v>77</v>
      </c>
      <c r="B43" s="10">
        <f>B28*$D$18*$D$17*$E$5*1000/B29</f>
        <v>17.570273512195698</v>
      </c>
      <c r="C43" s="23" t="s">
        <v>26</v>
      </c>
      <c r="D43" s="7"/>
      <c r="E43" s="7"/>
      <c r="F43" s="7"/>
      <c r="G43" s="7"/>
      <c r="H43" s="7"/>
      <c r="I43" s="7"/>
      <c r="J43" s="7"/>
    </row>
    <row r="44" spans="1:10" ht="20.100000000000001" customHeight="1">
      <c r="A44" s="24" t="str">
        <f>IF(B43&gt;=B25,"Không thỏa mãn điều kiện hình thành vết nứt","Thỏa mãn điều hiện hình thành vết nứt")</f>
        <v>Thỏa mãn điều hiện hình thành vết nứt</v>
      </c>
      <c r="B44" s="7"/>
      <c r="C44" s="7"/>
      <c r="D44" s="7"/>
      <c r="E44" s="7"/>
      <c r="F44" s="7"/>
      <c r="G44" s="7"/>
      <c r="H44" s="7"/>
      <c r="I44" s="7"/>
      <c r="J44" s="7"/>
    </row>
    <row r="45" spans="1:10" ht="20.100000000000001" customHeight="1">
      <c r="A45" s="6" t="s">
        <v>45</v>
      </c>
      <c r="B45" s="7"/>
      <c r="C45" s="7"/>
      <c r="D45" s="7"/>
      <c r="E45" s="7"/>
      <c r="F45" s="7"/>
      <c r="G45" s="7"/>
      <c r="H45" s="7"/>
      <c r="I45" s="7"/>
      <c r="J45" s="7"/>
    </row>
    <row r="46" spans="1:10" ht="20.100000000000001" customHeight="1">
      <c r="A46" s="9" t="s">
        <v>27</v>
      </c>
      <c r="B46" s="11">
        <v>1.4</v>
      </c>
      <c r="C46" s="9" t="s">
        <v>28</v>
      </c>
      <c r="D46" s="11">
        <v>0.5</v>
      </c>
      <c r="E46" s="9" t="s">
        <v>29</v>
      </c>
      <c r="F46" s="11">
        <v>1</v>
      </c>
      <c r="G46" s="7"/>
      <c r="H46" s="7"/>
      <c r="I46" s="7"/>
      <c r="J46" s="7"/>
    </row>
    <row r="47" spans="1:10" ht="20.100000000000001" customHeight="1">
      <c r="A47" s="9" t="s">
        <v>37</v>
      </c>
      <c r="B47" s="7">
        <f>1-0.8*$B$43/B24</f>
        <v>0.72411739333156899</v>
      </c>
      <c r="C47" s="7"/>
      <c r="D47" s="7"/>
      <c r="E47" s="7"/>
      <c r="F47" s="7"/>
      <c r="G47" s="7"/>
      <c r="H47" s="7"/>
      <c r="I47" s="7"/>
      <c r="J47" s="7"/>
    </row>
    <row r="48" spans="1:10" ht="20.100000000000001" customHeight="1">
      <c r="A48" s="9" t="s">
        <v>110</v>
      </c>
      <c r="B48" s="19">
        <f>(_b*B31^3/3+_As1*100*H32*(_h01-B31)^2+_As2*100*H32*(B31-_a02)^2)/1000^4</f>
        <v>1.5950591459147527E-3</v>
      </c>
      <c r="C48" s="14" t="s">
        <v>75</v>
      </c>
      <c r="D48" s="7"/>
      <c r="E48" s="7"/>
      <c r="F48" s="7"/>
      <c r="G48" s="7"/>
      <c r="H48" s="7"/>
      <c r="I48" s="7"/>
      <c r="J48" s="7"/>
    </row>
    <row r="49" spans="1:10" ht="20.100000000000001" customHeight="1">
      <c r="A49" s="9" t="s">
        <v>41</v>
      </c>
      <c r="B49" s="7"/>
      <c r="C49" s="7"/>
      <c r="D49" s="7">
        <f>B24*(_h01-$B$31)/1000*$H$32/B48</f>
        <v>137793.36203797162</v>
      </c>
      <c r="E49" s="14" t="s">
        <v>114</v>
      </c>
      <c r="F49" s="7"/>
      <c r="G49" s="7"/>
      <c r="H49" s="7"/>
      <c r="I49" s="7"/>
      <c r="J49" s="7"/>
    </row>
    <row r="50" spans="1:10" ht="20.100000000000001" customHeight="1">
      <c r="A50" s="7" t="s">
        <v>89</v>
      </c>
      <c r="B50" s="7"/>
      <c r="C50" s="7"/>
      <c r="D50" s="7"/>
      <c r="E50" s="21">
        <f>IF(B43&gt;=B25,0,B46*D46*F46*B47*$B$37*D49/($B$9*1000)*1000)</f>
        <v>0.13968999819226083</v>
      </c>
      <c r="F50" s="7" t="s">
        <v>15</v>
      </c>
      <c r="G50" s="7"/>
      <c r="H50" s="7"/>
      <c r="I50" s="7"/>
      <c r="J50" s="7"/>
    </row>
    <row r="51" spans="1:10" ht="20.100000000000001" customHeight="1">
      <c r="A51" s="6" t="s">
        <v>90</v>
      </c>
      <c r="B51" s="7"/>
      <c r="C51" s="7"/>
      <c r="D51" s="7"/>
      <c r="E51" s="7"/>
      <c r="F51" s="7"/>
      <c r="G51" s="7"/>
      <c r="H51" s="7"/>
      <c r="I51" s="7"/>
      <c r="J51" s="7"/>
    </row>
    <row r="52" spans="1:10" ht="20.100000000000001" customHeight="1">
      <c r="A52" s="9" t="s">
        <v>27</v>
      </c>
      <c r="B52" s="11">
        <v>1</v>
      </c>
      <c r="C52" s="9" t="s">
        <v>28</v>
      </c>
      <c r="D52" s="11">
        <v>0.5</v>
      </c>
      <c r="E52" s="9" t="s">
        <v>29</v>
      </c>
      <c r="F52" s="11">
        <v>1</v>
      </c>
      <c r="G52" s="7"/>
      <c r="H52" s="7"/>
      <c r="I52" s="7"/>
      <c r="J52" s="7"/>
    </row>
    <row r="53" spans="1:10" ht="20.100000000000001" customHeight="1">
      <c r="A53" s="9" t="s">
        <v>37</v>
      </c>
      <c r="B53" s="7">
        <f>1-0.8*$B$43/B25</f>
        <v>0.76204132707369965</v>
      </c>
      <c r="C53" s="9"/>
      <c r="D53" s="11"/>
      <c r="E53" s="9"/>
      <c r="F53" s="11"/>
      <c r="G53" s="7"/>
      <c r="H53" s="7"/>
      <c r="I53" s="7"/>
      <c r="J53" s="7"/>
    </row>
    <row r="54" spans="1:10" ht="20.100000000000001" customHeight="1">
      <c r="A54" s="9" t="s">
        <v>110</v>
      </c>
      <c r="B54" s="19">
        <f>(_b*B31^3/3+_As1*100*H32*(_h01-B31)^2+_As2*100*H32*(B31-_a02)^2)/1000^4</f>
        <v>1.5950591459147527E-3</v>
      </c>
      <c r="C54" s="14" t="s">
        <v>75</v>
      </c>
      <c r="D54" s="11"/>
      <c r="E54" s="9"/>
      <c r="F54" s="11"/>
      <c r="G54" s="7"/>
      <c r="H54" s="7"/>
      <c r="I54" s="7"/>
      <c r="J54" s="7"/>
    </row>
    <row r="55" spans="1:10" ht="20.100000000000001" customHeight="1">
      <c r="A55" s="9" t="s">
        <v>41</v>
      </c>
      <c r="B55" s="7"/>
      <c r="C55" s="7"/>
      <c r="D55" s="7">
        <f>B25*(_h01-$B$31)/1000*$H$32/B54</f>
        <v>159753.75653744818</v>
      </c>
      <c r="E55" s="14" t="s">
        <v>114</v>
      </c>
      <c r="F55" s="7"/>
      <c r="G55" s="7"/>
      <c r="H55" s="7"/>
      <c r="I55" s="7"/>
      <c r="J55" s="7"/>
    </row>
    <row r="56" spans="1:10" ht="20.100000000000001" customHeight="1">
      <c r="A56" s="7" t="s">
        <v>93</v>
      </c>
      <c r="B56" s="7"/>
      <c r="C56" s="7"/>
      <c r="D56" s="7"/>
      <c r="E56" s="21">
        <f>IF(B43&gt;=B25,0,B52*D52*F52*B53*$B$37*D55/($B$9*1000)*1000)</f>
        <v>0.12173896463680574</v>
      </c>
      <c r="F56" s="7" t="s">
        <v>15</v>
      </c>
      <c r="G56" s="7"/>
      <c r="H56" s="7"/>
      <c r="I56" s="7"/>
      <c r="J56" s="7"/>
    </row>
    <row r="57" spans="1:10" ht="20.100000000000001" customHeight="1">
      <c r="A57" s="6" t="s">
        <v>91</v>
      </c>
      <c r="B57" s="7"/>
      <c r="C57" s="7"/>
      <c r="D57" s="7"/>
      <c r="E57" s="7"/>
      <c r="F57" s="7"/>
      <c r="G57" s="7"/>
      <c r="H57" s="7"/>
      <c r="I57" s="7"/>
      <c r="J57" s="7"/>
    </row>
    <row r="58" spans="1:10" ht="20.100000000000001" customHeight="1">
      <c r="A58" s="9" t="s">
        <v>27</v>
      </c>
      <c r="B58" s="11">
        <v>1</v>
      </c>
      <c r="C58" s="9" t="s">
        <v>28</v>
      </c>
      <c r="D58" s="11">
        <v>0.5</v>
      </c>
      <c r="E58" s="9" t="s">
        <v>29</v>
      </c>
      <c r="F58" s="11">
        <v>1</v>
      </c>
      <c r="G58" s="7"/>
      <c r="H58" s="7"/>
      <c r="I58" s="7"/>
      <c r="J58" s="7"/>
    </row>
    <row r="59" spans="1:10" ht="20.100000000000001" customHeight="1">
      <c r="A59" s="9" t="s">
        <v>37</v>
      </c>
      <c r="B59" s="7">
        <f>1-0.8*$B$43/B26</f>
        <v>0.72411739333156899</v>
      </c>
      <c r="C59" s="7"/>
      <c r="D59" s="7"/>
      <c r="E59" s="7"/>
      <c r="F59" s="7"/>
      <c r="G59" s="7"/>
      <c r="H59" s="7"/>
      <c r="I59" s="7"/>
      <c r="J59" s="7"/>
    </row>
    <row r="60" spans="1:10" ht="20.100000000000001" customHeight="1">
      <c r="A60" s="9" t="s">
        <v>110</v>
      </c>
      <c r="B60" s="19">
        <f>(_b*B31^3/3+_As1*100*H32*(_h01-B31)^2+_As2*100*H32*(B31-_a02)^2)/1000^4</f>
        <v>1.5950591459147527E-3</v>
      </c>
      <c r="C60" s="14" t="s">
        <v>75</v>
      </c>
      <c r="D60" s="7"/>
      <c r="E60" s="7"/>
      <c r="F60" s="7"/>
      <c r="G60" s="7"/>
      <c r="H60" s="7"/>
      <c r="I60" s="7"/>
      <c r="J60" s="7"/>
    </row>
    <row r="61" spans="1:10" ht="20.100000000000001" customHeight="1">
      <c r="A61" s="9" t="s">
        <v>41</v>
      </c>
      <c r="B61" s="7"/>
      <c r="C61" s="7"/>
      <c r="D61" s="7">
        <f>B26*(_h01-$B$31)/1000*$H$32/B60</f>
        <v>137793.36203797162</v>
      </c>
      <c r="E61" s="14" t="s">
        <v>114</v>
      </c>
      <c r="F61" s="7"/>
      <c r="G61" s="7"/>
      <c r="H61" s="7"/>
      <c r="I61" s="7"/>
      <c r="J61" s="7"/>
    </row>
    <row r="62" spans="1:10" ht="20.100000000000001" customHeight="1">
      <c r="A62" s="7" t="s">
        <v>92</v>
      </c>
      <c r="B62" s="7"/>
      <c r="C62" s="7"/>
      <c r="D62" s="7"/>
      <c r="E62" s="21">
        <f>IF(B43&gt;=B25,0,B58*D58*F58*B59*$B$37*D61/($B$9*1000)*1000)</f>
        <v>9.9778570137329187E-2</v>
      </c>
      <c r="F62" s="7" t="s">
        <v>15</v>
      </c>
      <c r="G62" s="7"/>
      <c r="H62" s="7"/>
      <c r="I62" s="7"/>
      <c r="J62" s="7"/>
    </row>
    <row r="63" spans="1:10" ht="20.100000000000001" customHeight="1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spans="1:10" ht="20.100000000000001" customHeight="1">
      <c r="A64" s="6" t="s">
        <v>94</v>
      </c>
      <c r="B64" s="7"/>
      <c r="C64" s="7"/>
      <c r="D64" s="7"/>
      <c r="E64" s="7"/>
      <c r="F64" s="7"/>
      <c r="G64" s="7"/>
      <c r="H64" s="7"/>
      <c r="I64" s="7"/>
      <c r="J64" s="7"/>
    </row>
    <row r="65" spans="1:10" ht="20.100000000000001" customHeight="1">
      <c r="A65" s="7" t="s">
        <v>98</v>
      </c>
      <c r="B65" s="7"/>
      <c r="C65" s="7"/>
      <c r="D65" s="7"/>
      <c r="E65" s="7"/>
      <c r="F65" s="7"/>
      <c r="G65" s="7"/>
      <c r="H65" s="7"/>
      <c r="I65" s="7"/>
      <c r="J65" s="7"/>
    </row>
    <row r="66" spans="1:10" ht="20.100000000000001" customHeight="1">
      <c r="A66" s="7"/>
      <c r="B66" s="7"/>
      <c r="C66" s="7" t="s">
        <v>96</v>
      </c>
      <c r="D66" s="7"/>
      <c r="E66" s="21">
        <f>E50</f>
        <v>0.13968999819226083</v>
      </c>
      <c r="F66" s="7" t="s">
        <v>15</v>
      </c>
      <c r="G66" s="12" t="str">
        <f>IF(E66&lt;=I66,"&lt;","&gt;")</f>
        <v>&lt;</v>
      </c>
      <c r="H66" s="7" t="s">
        <v>97</v>
      </c>
      <c r="I66" s="7">
        <v>0.15</v>
      </c>
      <c r="J66" s="7" t="s">
        <v>15</v>
      </c>
    </row>
    <row r="67" spans="1:10" ht="20.100000000000001" customHeight="1">
      <c r="A67" s="24" t="str">
        <f>IF(E66&lt;I66,"Đảm bảo điều kiện bề rộng vết nứt ngắn hạn (Bảng 17 TCVN 5574:2018)","Không đảm bảo điều kiện bề rộng vết nứt ngắn hạn (Bảng 17 TCVN 5574:2018)")</f>
        <v>Đảm bảo điều kiện bề rộng vết nứt ngắn hạn (Bảng 17 TCVN 5574:2018)</v>
      </c>
      <c r="B67" s="7"/>
      <c r="C67" s="7"/>
      <c r="D67" s="7"/>
      <c r="E67" s="21"/>
      <c r="F67" s="7"/>
      <c r="G67" s="7"/>
      <c r="H67" s="7"/>
      <c r="I67" s="7"/>
      <c r="J67" s="7"/>
    </row>
    <row r="68" spans="1:10" ht="20.100000000000001" customHeight="1">
      <c r="A68" s="7" t="s">
        <v>95</v>
      </c>
      <c r="B68" s="7"/>
      <c r="C68" s="7"/>
      <c r="D68" s="7"/>
      <c r="E68" s="7"/>
      <c r="F68" s="7"/>
      <c r="G68" s="7"/>
      <c r="H68" s="7"/>
      <c r="I68" s="7"/>
      <c r="J68" s="7"/>
    </row>
    <row r="69" spans="1:10" ht="20.100000000000001" customHeight="1">
      <c r="A69" s="7"/>
      <c r="B69" s="7" t="s">
        <v>99</v>
      </c>
      <c r="C69" s="7"/>
      <c r="D69" s="7"/>
      <c r="E69" s="21">
        <f>E50+E56-E62</f>
        <v>0.16165039269173739</v>
      </c>
      <c r="F69" s="7" t="s">
        <v>15</v>
      </c>
      <c r="G69" s="12" t="str">
        <f>IF(E69&lt;I69,"&lt;","&gt;")</f>
        <v>&gt;</v>
      </c>
      <c r="H69" s="7" t="s">
        <v>97</v>
      </c>
      <c r="I69" s="7">
        <v>0.15</v>
      </c>
      <c r="J69" s="7" t="s">
        <v>15</v>
      </c>
    </row>
    <row r="70" spans="1:10" ht="20.100000000000001" customHeight="1">
      <c r="A70" s="24" t="str">
        <f>IF(E69&lt;I69,"Đảm bảo điều kiện bề rộng vết nứt dài hạn (Bảng 17 TCVN 5574:2018)","Không đảm bảo điều kiện bề rộng vết nứt dài hạn (Bảng 17 TCVN 5574:2018)")</f>
        <v>Không đảm bảo điều kiện bề rộng vết nứt dài hạn (Bảng 17 TCVN 5574:2018)</v>
      </c>
      <c r="B70" s="7"/>
      <c r="C70" s="7"/>
      <c r="D70" s="7"/>
      <c r="E70" s="7"/>
      <c r="F70" s="7"/>
      <c r="G70" s="7"/>
      <c r="H70" s="7"/>
      <c r="I70" s="7"/>
      <c r="J70" s="7"/>
    </row>
  </sheetData>
  <mergeCells count="1">
    <mergeCell ref="A1:J1"/>
  </mergeCells>
  <printOptions gridLines="1"/>
  <pageMargins left="1" right="0.3" top="0.8" bottom="0.75" header="0.3" footer="0.3"/>
  <pageSetup paperSize="9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DATA!$B$16:$B$23</xm:f>
          </x14:formula1>
          <xm:sqref>C7</xm:sqref>
        </x14:dataValidation>
        <x14:dataValidation type="list" allowBlank="1" showInputMessage="1" showErrorMessage="1">
          <x14:formula1>
            <xm:f>DATA!$B$3:$B$12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70"/>
  <sheetViews>
    <sheetView view="pageBreakPreview" topLeftCell="A49" zoomScaleNormal="100" zoomScaleSheetLayoutView="100" workbookViewId="0">
      <selection activeCell="F73" sqref="F73"/>
    </sheetView>
  </sheetViews>
  <sheetFormatPr defaultColWidth="8.7109375" defaultRowHeight="20.100000000000001" customHeight="1"/>
  <cols>
    <col min="1" max="1" width="8.7109375" style="1"/>
    <col min="2" max="2" width="8.7109375" style="1" customWidth="1"/>
    <col min="3" max="3" width="8.7109375" style="1"/>
    <col min="4" max="4" width="8.7109375" style="1" customWidth="1"/>
    <col min="5" max="6" width="8.7109375" style="1"/>
    <col min="7" max="7" width="8.7109375" style="1" customWidth="1"/>
    <col min="8" max="10" width="8.7109375" style="1"/>
    <col min="11" max="11" width="2.140625" style="4" customWidth="1"/>
    <col min="12" max="12" width="9.42578125" style="1" bestFit="1" customWidth="1"/>
    <col min="13" max="16384" width="8.7109375" style="1"/>
  </cols>
  <sheetData>
    <row r="1" spans="1:11" ht="51" customHeight="1">
      <c r="A1" s="25" t="s">
        <v>107</v>
      </c>
      <c r="B1" s="26"/>
      <c r="C1" s="26"/>
      <c r="D1" s="26"/>
      <c r="E1" s="26"/>
      <c r="F1" s="26"/>
      <c r="G1" s="26"/>
      <c r="H1" s="26"/>
      <c r="I1" s="26"/>
      <c r="J1" s="26"/>
    </row>
    <row r="2" spans="1:11" ht="20.100000000000001" customHeight="1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</row>
    <row r="3" spans="1:11" ht="20.100000000000001" customHeight="1">
      <c r="A3" s="6" t="s">
        <v>1</v>
      </c>
      <c r="B3" s="7"/>
      <c r="C3" s="8" t="s">
        <v>55</v>
      </c>
      <c r="D3" s="7"/>
      <c r="E3" s="7"/>
      <c r="F3" s="7"/>
      <c r="G3" s="7"/>
      <c r="H3" s="7"/>
      <c r="I3" s="7"/>
      <c r="J3" s="7"/>
    </row>
    <row r="4" spans="1:11" ht="20.100000000000001" customHeight="1">
      <c r="A4" s="7" t="s">
        <v>5</v>
      </c>
      <c r="B4" s="7">
        <f>VLOOKUP($C$3,DATA!$B$3:$G$12,4,0)</f>
        <v>11.5</v>
      </c>
      <c r="C4" s="7" t="s">
        <v>3</v>
      </c>
      <c r="D4" s="7" t="s">
        <v>6</v>
      </c>
      <c r="E4" s="7">
        <f>VLOOKUP($C$3,DATA!$B$3:$G$12,2,0)</f>
        <v>15</v>
      </c>
      <c r="F4" s="7" t="s">
        <v>3</v>
      </c>
      <c r="G4" s="7"/>
      <c r="H4" s="7"/>
      <c r="I4" s="7"/>
      <c r="J4" s="7"/>
    </row>
    <row r="5" spans="1:11" ht="20.100000000000001" customHeight="1">
      <c r="A5" s="7" t="s">
        <v>4</v>
      </c>
      <c r="B5" s="7">
        <f>VLOOKUP($C$3,DATA!$B$3:$G$12,5,0)</f>
        <v>0.9</v>
      </c>
      <c r="C5" s="7" t="s">
        <v>3</v>
      </c>
      <c r="D5" s="7" t="s">
        <v>7</v>
      </c>
      <c r="E5" s="7">
        <f>VLOOKUP($C$3,DATA!$B$3:$G$12,3,0)</f>
        <v>1.35</v>
      </c>
      <c r="F5" s="7" t="s">
        <v>3</v>
      </c>
      <c r="G5" s="7"/>
      <c r="H5" s="7"/>
      <c r="I5" s="7"/>
      <c r="J5" s="7"/>
    </row>
    <row r="6" spans="1:11" ht="20.100000000000001" customHeight="1">
      <c r="A6" s="7" t="s">
        <v>10</v>
      </c>
      <c r="B6" s="7">
        <f>VLOOKUP($C$3,DATA!$B$3:$G$12,6,0)</f>
        <v>27500</v>
      </c>
      <c r="C6" s="7" t="s">
        <v>3</v>
      </c>
      <c r="D6" s="7"/>
      <c r="E6" s="7"/>
      <c r="F6" s="7"/>
      <c r="G6" s="7"/>
      <c r="H6" s="7"/>
      <c r="I6" s="7"/>
      <c r="J6" s="7"/>
    </row>
    <row r="7" spans="1:11" ht="20.100000000000001" customHeight="1">
      <c r="A7" s="6" t="s">
        <v>8</v>
      </c>
      <c r="B7" s="7"/>
      <c r="C7" s="8" t="s">
        <v>47</v>
      </c>
      <c r="D7" s="7"/>
      <c r="E7" s="7"/>
      <c r="F7" s="7"/>
      <c r="G7" s="7"/>
      <c r="H7" s="7"/>
      <c r="I7" s="7"/>
      <c r="J7" s="7"/>
    </row>
    <row r="8" spans="1:11" ht="20.100000000000001" customHeight="1">
      <c r="A8" s="7" t="s">
        <v>11</v>
      </c>
      <c r="B8" s="7">
        <f>VLOOKUP($C$7,DATA!$B$16:$F$23,2,0)</f>
        <v>350</v>
      </c>
      <c r="C8" s="7" t="s">
        <v>3</v>
      </c>
      <c r="D8" s="7"/>
      <c r="E8" s="7"/>
      <c r="F8" s="7"/>
      <c r="G8" s="7"/>
      <c r="H8" s="7"/>
      <c r="I8" s="7"/>
      <c r="J8" s="7"/>
    </row>
    <row r="9" spans="1:11" ht="20.100000000000001" customHeight="1">
      <c r="A9" s="7" t="s">
        <v>12</v>
      </c>
      <c r="B9" s="7">
        <f>VLOOKUP($C$7,DATA!$B$16:$F$23,5,0)</f>
        <v>200000</v>
      </c>
      <c r="C9" s="7" t="s">
        <v>3</v>
      </c>
      <c r="D9" s="7"/>
      <c r="E9" s="7"/>
      <c r="F9" s="7"/>
      <c r="G9" s="7"/>
      <c r="H9" s="7"/>
      <c r="I9" s="7"/>
      <c r="J9" s="7"/>
    </row>
    <row r="10" spans="1:11" ht="20.100000000000001" customHeight="1">
      <c r="A10" s="9" t="s">
        <v>35</v>
      </c>
      <c r="B10" s="7"/>
      <c r="C10" s="10">
        <f>B9/B6</f>
        <v>7.2727272727272725</v>
      </c>
      <c r="D10" s="7"/>
      <c r="E10" s="7"/>
      <c r="F10" s="7"/>
      <c r="G10" s="7"/>
      <c r="H10" s="7"/>
      <c r="I10" s="7"/>
      <c r="J10" s="7"/>
    </row>
    <row r="11" spans="1:11" ht="20.100000000000001" customHeight="1">
      <c r="A11" s="6" t="s">
        <v>13</v>
      </c>
      <c r="B11" s="7"/>
      <c r="C11" s="7"/>
      <c r="D11" s="7"/>
      <c r="E11" s="7"/>
      <c r="F11" s="7"/>
      <c r="G11" s="7"/>
      <c r="H11" s="7"/>
      <c r="I11" s="7"/>
      <c r="J11" s="7"/>
    </row>
    <row r="12" spans="1:11" ht="20.100000000000001" customHeight="1">
      <c r="A12" s="7" t="s">
        <v>14</v>
      </c>
      <c r="B12" s="11">
        <v>220</v>
      </c>
      <c r="C12" s="7" t="s">
        <v>15</v>
      </c>
      <c r="D12" s="7" t="s">
        <v>17</v>
      </c>
      <c r="E12" s="11">
        <v>39</v>
      </c>
      <c r="F12" s="7" t="s">
        <v>15</v>
      </c>
      <c r="G12" s="7" t="s">
        <v>22</v>
      </c>
      <c r="H12" s="11">
        <f>B13-E12</f>
        <v>411</v>
      </c>
      <c r="I12" s="7" t="s">
        <v>15</v>
      </c>
      <c r="J12" s="7"/>
    </row>
    <row r="13" spans="1:11" ht="20.100000000000001" customHeight="1">
      <c r="A13" s="7" t="s">
        <v>16</v>
      </c>
      <c r="B13" s="11">
        <v>450</v>
      </c>
      <c r="C13" s="7" t="s">
        <v>15</v>
      </c>
      <c r="D13" s="7" t="s">
        <v>18</v>
      </c>
      <c r="E13" s="11">
        <v>39</v>
      </c>
      <c r="F13" s="7" t="s">
        <v>15</v>
      </c>
      <c r="G13" s="7" t="s">
        <v>23</v>
      </c>
      <c r="H13" s="11">
        <f>B13-E13</f>
        <v>411</v>
      </c>
      <c r="I13" s="7" t="s">
        <v>15</v>
      </c>
      <c r="J13" s="7"/>
    </row>
    <row r="14" spans="1:11" ht="20.100000000000001" customHeight="1">
      <c r="A14" s="7" t="s">
        <v>19</v>
      </c>
      <c r="B14" s="11">
        <v>3</v>
      </c>
      <c r="C14" s="12" t="s">
        <v>20</v>
      </c>
      <c r="D14" s="11">
        <v>18</v>
      </c>
      <c r="E14" s="7" t="s">
        <v>21</v>
      </c>
      <c r="F14" s="13">
        <f>B14*PI()*(D14/10)^2/4</f>
        <v>7.6340701482231976</v>
      </c>
      <c r="G14" s="14" t="s">
        <v>32</v>
      </c>
      <c r="H14" s="7"/>
      <c r="I14" s="7"/>
      <c r="J14" s="7"/>
    </row>
    <row r="15" spans="1:11" ht="20.100000000000001" customHeight="1">
      <c r="A15" s="7" t="s">
        <v>24</v>
      </c>
      <c r="B15" s="11">
        <v>2</v>
      </c>
      <c r="C15" s="12" t="s">
        <v>20</v>
      </c>
      <c r="D15" s="11">
        <v>18</v>
      </c>
      <c r="E15" s="7" t="s">
        <v>21</v>
      </c>
      <c r="F15" s="13">
        <f>B15*PI()*(D15/10)^2/4</f>
        <v>5.0893800988154654</v>
      </c>
      <c r="G15" s="14" t="s">
        <v>32</v>
      </c>
      <c r="H15" s="7"/>
      <c r="I15" s="7"/>
      <c r="J15" s="7"/>
    </row>
    <row r="16" spans="1:11" ht="20.100000000000001" customHeight="1">
      <c r="A16" s="15" t="s">
        <v>115</v>
      </c>
      <c r="B16" s="16">
        <f>(_b*_h^2/2+C10*_As2*_a02+C10*_As1*_h01)/(_b*_h+C10*_As2+_As1*C10)</f>
        <v>225.03473795133843</v>
      </c>
      <c r="C16" s="17" t="s">
        <v>15</v>
      </c>
      <c r="D16" s="15"/>
      <c r="E16" s="15"/>
      <c r="F16" s="13"/>
      <c r="G16" s="18"/>
      <c r="H16" s="15"/>
      <c r="I16" s="15"/>
      <c r="J16" s="15"/>
      <c r="K16" s="5"/>
    </row>
    <row r="17" spans="1:10" ht="20.100000000000001" customHeight="1">
      <c r="A17" s="7" t="s">
        <v>30</v>
      </c>
      <c r="B17" s="7"/>
      <c r="C17" s="7"/>
      <c r="D17" s="19">
        <f>(B12*B13^3/12+_b*_h*(_h/2-B16)^2+C10*(F14*100*(_h01-B16)^2)+C10*(F15*100*(B16-_a02)^2))/1000^4</f>
        <v>1.9907324767731104E-3</v>
      </c>
      <c r="E17" s="14" t="s">
        <v>75</v>
      </c>
      <c r="F17" s="7"/>
      <c r="G17" s="20" t="s">
        <v>101</v>
      </c>
      <c r="H17" s="7"/>
      <c r="I17" s="7"/>
      <c r="J17" s="7"/>
    </row>
    <row r="18" spans="1:10" ht="20.100000000000001" customHeight="1">
      <c r="A18" s="7" t="s">
        <v>31</v>
      </c>
      <c r="B18" s="7"/>
      <c r="C18" s="7"/>
      <c r="D18" s="19">
        <f>(B12*B13+C10*F14*100+C10*F15*100)/1000^2</f>
        <v>0.10825341836148267</v>
      </c>
      <c r="E18" s="14" t="s">
        <v>76</v>
      </c>
      <c r="F18" s="7"/>
      <c r="G18" s="20" t="s">
        <v>102</v>
      </c>
      <c r="H18" s="7"/>
      <c r="I18" s="7"/>
      <c r="J18" s="7"/>
    </row>
    <row r="19" spans="1:10" ht="20.100000000000001" customHeight="1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ht="20.100000000000001" customHeight="1">
      <c r="A20" s="6" t="s">
        <v>25</v>
      </c>
      <c r="B20" s="7"/>
      <c r="C20" s="7"/>
      <c r="D20" s="7"/>
      <c r="E20" s="20" t="s">
        <v>104</v>
      </c>
      <c r="F20" s="7"/>
      <c r="G20" s="7"/>
      <c r="H20" s="7"/>
      <c r="I20" s="7"/>
      <c r="J20" s="7"/>
    </row>
    <row r="21" spans="1:10" ht="20.100000000000001" customHeight="1">
      <c r="A21" s="7" t="s">
        <v>111</v>
      </c>
      <c r="B21" s="7"/>
      <c r="C21" s="7"/>
      <c r="D21" s="7"/>
      <c r="E21" s="11">
        <v>47.47</v>
      </c>
      <c r="F21" s="7" t="s">
        <v>26</v>
      </c>
      <c r="G21" s="7"/>
      <c r="H21" s="7"/>
      <c r="I21" s="7"/>
      <c r="J21" s="7"/>
    </row>
    <row r="22" spans="1:10" ht="20.100000000000001" customHeight="1">
      <c r="A22" s="7" t="s">
        <v>112</v>
      </c>
      <c r="B22" s="7"/>
      <c r="C22" s="7"/>
      <c r="D22" s="7"/>
      <c r="E22" s="11">
        <v>11.6</v>
      </c>
      <c r="F22" s="7" t="s">
        <v>26</v>
      </c>
      <c r="G22" s="7"/>
      <c r="H22" s="7"/>
      <c r="I22" s="7"/>
      <c r="J22" s="7"/>
    </row>
    <row r="23" spans="1:10" ht="20.100000000000001" customHeight="1">
      <c r="A23" s="7" t="s">
        <v>113</v>
      </c>
      <c r="B23" s="7"/>
      <c r="C23" s="11">
        <v>0.3</v>
      </c>
      <c r="D23" s="7"/>
      <c r="E23" s="20"/>
      <c r="F23" s="7"/>
      <c r="G23" s="7"/>
      <c r="H23" s="7"/>
      <c r="I23" s="7"/>
      <c r="J23" s="7"/>
    </row>
    <row r="24" spans="1:10" ht="20.100000000000001" customHeight="1">
      <c r="A24" s="7" t="s">
        <v>81</v>
      </c>
      <c r="B24" s="15">
        <f>E21+C23*E22</f>
        <v>50.949999999999996</v>
      </c>
      <c r="C24" s="7" t="s">
        <v>26</v>
      </c>
      <c r="D24" s="20" t="s">
        <v>105</v>
      </c>
      <c r="E24" s="7"/>
      <c r="F24" s="7"/>
      <c r="G24" s="7"/>
      <c r="H24" s="7"/>
      <c r="I24" s="7"/>
      <c r="J24" s="7"/>
    </row>
    <row r="25" spans="1:10" ht="20.100000000000001" customHeight="1">
      <c r="A25" s="7" t="s">
        <v>82</v>
      </c>
      <c r="B25" s="15">
        <f>E21+E22</f>
        <v>59.07</v>
      </c>
      <c r="C25" s="7" t="s">
        <v>26</v>
      </c>
      <c r="D25" s="20" t="s">
        <v>103</v>
      </c>
      <c r="E25" s="7"/>
      <c r="F25" s="7"/>
      <c r="G25" s="7"/>
      <c r="H25" s="7"/>
      <c r="I25" s="7"/>
      <c r="J25" s="7"/>
    </row>
    <row r="26" spans="1:10" ht="20.100000000000001" customHeight="1">
      <c r="A26" s="7" t="s">
        <v>83</v>
      </c>
      <c r="B26" s="15">
        <f>E21+C23*E22</f>
        <v>50.949999999999996</v>
      </c>
      <c r="C26" s="7" t="s">
        <v>26</v>
      </c>
      <c r="D26" s="20" t="s">
        <v>106</v>
      </c>
      <c r="E26" s="7"/>
      <c r="F26" s="7"/>
      <c r="G26" s="7"/>
      <c r="H26" s="7"/>
      <c r="I26" s="7"/>
      <c r="J26" s="7"/>
    </row>
    <row r="27" spans="1:10" ht="20.100000000000001" customHeight="1">
      <c r="A27" s="6" t="s">
        <v>108</v>
      </c>
      <c r="B27" s="7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>
      <c r="A28" s="9" t="s">
        <v>34</v>
      </c>
      <c r="B28" s="7">
        <v>1.3</v>
      </c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>
      <c r="A29" s="7" t="s">
        <v>36</v>
      </c>
      <c r="B29" s="21">
        <f>(_b*_h*_h/2+C10*_As1*100*_a01+C10*_As2*100*(_h-_a02))/1000^3</f>
        <v>2.4012791968286443E-2</v>
      </c>
      <c r="C29" s="22" t="s">
        <v>109</v>
      </c>
      <c r="D29" s="7"/>
      <c r="E29" s="7"/>
      <c r="F29" s="7"/>
      <c r="G29" s="7"/>
      <c r="H29" s="7"/>
      <c r="I29" s="7"/>
      <c r="J29" s="7"/>
    </row>
    <row r="30" spans="1:10" ht="20.100000000000001" customHeight="1">
      <c r="A30" s="7" t="s">
        <v>42</v>
      </c>
      <c r="B30" s="7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>
      <c r="A31" s="7" t="s">
        <v>44</v>
      </c>
      <c r="B31" s="10">
        <f>_h01*(((C33*H32+C34*H32)^2+2*(C33*H32+C34*H32*_a02/_h01))^0.5-(C33*H32+C34*H32))</f>
        <v>156.42633695755038</v>
      </c>
      <c r="C31" s="7" t="s">
        <v>15</v>
      </c>
      <c r="D31" s="7"/>
      <c r="E31" s="7"/>
      <c r="F31" s="7"/>
      <c r="G31" s="7"/>
      <c r="H31" s="20" t="s">
        <v>43</v>
      </c>
      <c r="I31" s="7"/>
      <c r="J31" s="7"/>
    </row>
    <row r="32" spans="1:10" ht="20.100000000000001" customHeight="1">
      <c r="A32" s="9" t="s">
        <v>80</v>
      </c>
      <c r="B32" s="7"/>
      <c r="C32" s="7"/>
      <c r="D32" s="7"/>
      <c r="E32" s="7"/>
      <c r="F32" s="7"/>
      <c r="G32" s="7"/>
      <c r="H32" s="10">
        <f>0.0015*$B$9/$E$4</f>
        <v>20</v>
      </c>
      <c r="I32" s="7"/>
      <c r="J32" s="7"/>
    </row>
    <row r="33" spans="1:10" ht="20.100000000000001" customHeight="1">
      <c r="A33" s="9" t="s">
        <v>78</v>
      </c>
      <c r="B33" s="7"/>
      <c r="C33" s="19">
        <f>$F$14/($B$12*$H$12/100)</f>
        <v>8.442899964856445E-3</v>
      </c>
      <c r="D33" s="7"/>
      <c r="E33" s="7"/>
      <c r="F33" s="7"/>
      <c r="G33" s="7"/>
      <c r="H33" s="7"/>
      <c r="I33" s="7"/>
      <c r="J33" s="7"/>
    </row>
    <row r="34" spans="1:10" ht="20.100000000000001" customHeight="1">
      <c r="A34" s="9" t="s">
        <v>79</v>
      </c>
      <c r="B34" s="7"/>
      <c r="C34" s="19">
        <f>$F$15/($B$12*$H$13/100)</f>
        <v>5.6285999765709636E-3</v>
      </c>
      <c r="D34" s="7"/>
      <c r="E34" s="7"/>
      <c r="F34" s="7"/>
      <c r="G34" s="7"/>
      <c r="H34" s="7"/>
      <c r="I34" s="7"/>
      <c r="J34" s="7"/>
    </row>
    <row r="35" spans="1:10" ht="20.100000000000001" customHeight="1">
      <c r="A35" s="9" t="s">
        <v>38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ht="20.100000000000001" customHeight="1">
      <c r="A36" s="9" t="s">
        <v>87</v>
      </c>
      <c r="B36" s="7"/>
      <c r="C36" s="7"/>
      <c r="D36" s="7"/>
      <c r="E36" s="7"/>
      <c r="F36" s="7"/>
      <c r="G36" s="7"/>
      <c r="H36" s="7"/>
      <c r="I36" s="7"/>
      <c r="J36" s="7"/>
    </row>
    <row r="37" spans="1:10" ht="20.100000000000001" customHeight="1">
      <c r="A37" s="9" t="s">
        <v>39</v>
      </c>
      <c r="B37" s="7">
        <f>MIN(MIN(40*MAX(D14,D15),400),MAX(MAX(10*MAX(D14,D15),100),C38*MAX(D14,D15)*0.5/(_As1*100)))/1000</f>
        <v>0.4</v>
      </c>
      <c r="C37" s="7" t="s">
        <v>84</v>
      </c>
      <c r="D37" s="7"/>
      <c r="E37" s="7"/>
      <c r="F37" s="7"/>
      <c r="G37" s="7"/>
      <c r="H37" s="7"/>
      <c r="I37" s="7"/>
      <c r="J37" s="7"/>
    </row>
    <row r="38" spans="1:10" ht="20.100000000000001" customHeight="1">
      <c r="A38" s="7" t="s">
        <v>40</v>
      </c>
      <c r="B38" s="7"/>
      <c r="C38" s="7">
        <f>_b*B39</f>
        <v>49500</v>
      </c>
      <c r="D38" s="14" t="s">
        <v>86</v>
      </c>
      <c r="E38" s="7"/>
      <c r="F38" s="7"/>
      <c r="G38" s="7"/>
      <c r="H38" s="7"/>
      <c r="I38" s="7"/>
      <c r="J38" s="7"/>
    </row>
    <row r="39" spans="1:10" ht="20.100000000000001" customHeight="1">
      <c r="A39" s="7" t="s">
        <v>85</v>
      </c>
      <c r="B39" s="7">
        <f>MIN(MAX((_h-B31),2*_a01),0.5*_h)</f>
        <v>225</v>
      </c>
      <c r="C39" s="7" t="s">
        <v>15</v>
      </c>
      <c r="D39" s="7"/>
      <c r="E39" s="7"/>
      <c r="F39" s="7"/>
      <c r="G39" s="7"/>
      <c r="H39" s="7"/>
      <c r="I39" s="7"/>
      <c r="J39" s="7"/>
    </row>
    <row r="40" spans="1:10" ht="20.100000000000001" customHeight="1">
      <c r="A40" s="9" t="s">
        <v>88</v>
      </c>
      <c r="B40" s="7"/>
      <c r="C40" s="7"/>
      <c r="D40" s="7"/>
      <c r="E40" s="7"/>
      <c r="F40" s="7"/>
      <c r="G40" s="7"/>
      <c r="H40" s="7"/>
      <c r="I40" s="7"/>
      <c r="J40" s="7"/>
    </row>
    <row r="41" spans="1:10" ht="20.100000000000001" customHeight="1">
      <c r="A41" s="7" t="s">
        <v>33</v>
      </c>
      <c r="B41" s="7"/>
      <c r="C41" s="7"/>
      <c r="D41" s="7"/>
      <c r="E41" s="7"/>
      <c r="F41" s="7"/>
      <c r="G41" s="7"/>
      <c r="H41" s="7"/>
      <c r="I41" s="7"/>
      <c r="J41" s="7"/>
    </row>
    <row r="42" spans="1:10" ht="20.100000000000001" customHeight="1">
      <c r="A42" s="7"/>
      <c r="B42" s="7"/>
      <c r="C42" s="7"/>
      <c r="D42" s="7"/>
      <c r="E42" s="7"/>
      <c r="F42" s="7"/>
      <c r="G42" s="20" t="s">
        <v>100</v>
      </c>
      <c r="H42" s="7"/>
      <c r="I42" s="7"/>
      <c r="J42" s="7"/>
    </row>
    <row r="43" spans="1:10" ht="20.100000000000001" customHeight="1">
      <c r="A43" s="7" t="s">
        <v>77</v>
      </c>
      <c r="B43" s="10">
        <f>B28*$D$18*$D$17*$E$5*1000/B29</f>
        <v>15.7503055401517</v>
      </c>
      <c r="C43" s="23" t="s">
        <v>26</v>
      </c>
      <c r="D43" s="7"/>
      <c r="E43" s="7"/>
      <c r="F43" s="7"/>
      <c r="G43" s="7"/>
      <c r="H43" s="7"/>
      <c r="I43" s="7"/>
      <c r="J43" s="7"/>
    </row>
    <row r="44" spans="1:10" ht="20.100000000000001" customHeight="1">
      <c r="A44" s="24" t="str">
        <f>IF(B43&gt;=B25,"Không thỏa mãn điều kiện hình thành vết nứt","Thỏa mãn điều hiện hình thành vết nứt")</f>
        <v>Thỏa mãn điều hiện hình thành vết nứt</v>
      </c>
      <c r="B44" s="7"/>
      <c r="C44" s="7"/>
      <c r="D44" s="7"/>
      <c r="E44" s="7"/>
      <c r="F44" s="7"/>
      <c r="G44" s="7"/>
      <c r="H44" s="7"/>
      <c r="I44" s="7"/>
      <c r="J44" s="7"/>
    </row>
    <row r="45" spans="1:10" ht="20.100000000000001" customHeight="1">
      <c r="A45" s="6" t="s">
        <v>45</v>
      </c>
      <c r="B45" s="7"/>
      <c r="C45" s="7"/>
      <c r="D45" s="7"/>
      <c r="E45" s="7"/>
      <c r="F45" s="7"/>
      <c r="G45" s="7"/>
      <c r="H45" s="7"/>
      <c r="I45" s="7"/>
      <c r="J45" s="7"/>
    </row>
    <row r="46" spans="1:10" ht="20.100000000000001" customHeight="1">
      <c r="A46" s="9" t="s">
        <v>27</v>
      </c>
      <c r="B46" s="11">
        <v>1.4</v>
      </c>
      <c r="C46" s="9" t="s">
        <v>28</v>
      </c>
      <c r="D46" s="11">
        <v>0.5</v>
      </c>
      <c r="E46" s="9" t="s">
        <v>29</v>
      </c>
      <c r="F46" s="11">
        <v>1</v>
      </c>
      <c r="G46" s="7"/>
      <c r="H46" s="7"/>
      <c r="I46" s="7"/>
      <c r="J46" s="7"/>
    </row>
    <row r="47" spans="1:10" ht="20.100000000000001" customHeight="1">
      <c r="A47" s="9" t="s">
        <v>37</v>
      </c>
      <c r="B47" s="7">
        <f>1-0.8*$B$43/B24</f>
        <v>0.75269392674933533</v>
      </c>
      <c r="C47" s="7"/>
      <c r="D47" s="7"/>
      <c r="E47" s="7"/>
      <c r="F47" s="7"/>
      <c r="G47" s="7"/>
      <c r="H47" s="7"/>
      <c r="I47" s="7"/>
      <c r="J47" s="7"/>
    </row>
    <row r="48" spans="1:10" ht="20.100000000000001" customHeight="1">
      <c r="A48" s="9" t="s">
        <v>110</v>
      </c>
      <c r="B48" s="19">
        <f>(_b*B31^3/3+_As1*100*H32*(_h01-B31)^2+_As2*100*H32*(B31-_a02)^2)/1000^4</f>
        <v>1.4105408363330788E-3</v>
      </c>
      <c r="C48" s="14" t="s">
        <v>75</v>
      </c>
      <c r="D48" s="7"/>
      <c r="E48" s="7"/>
      <c r="F48" s="7"/>
      <c r="G48" s="7"/>
      <c r="H48" s="7"/>
      <c r="I48" s="7"/>
      <c r="J48" s="7"/>
    </row>
    <row r="49" spans="1:10" ht="20.100000000000001" customHeight="1">
      <c r="A49" s="9" t="s">
        <v>41</v>
      </c>
      <c r="B49" s="7"/>
      <c r="C49" s="7"/>
      <c r="D49" s="7">
        <f>B24*(_h01-$B$31)/1000*$H$32/B48</f>
        <v>183908.58028232236</v>
      </c>
      <c r="E49" s="14" t="s">
        <v>114</v>
      </c>
      <c r="F49" s="7"/>
      <c r="G49" s="7"/>
      <c r="H49" s="7"/>
      <c r="I49" s="7"/>
      <c r="J49" s="7"/>
    </row>
    <row r="50" spans="1:10" ht="20.100000000000001" customHeight="1">
      <c r="A50" s="7" t="s">
        <v>89</v>
      </c>
      <c r="B50" s="7"/>
      <c r="C50" s="7"/>
      <c r="D50" s="7"/>
      <c r="E50" s="21">
        <f>IF(B43&gt;=B25,0,B46*D46*F46*B47*$B$37*D49/($B$9*1000)*1000)</f>
        <v>0.19379762003783524</v>
      </c>
      <c r="F50" s="7" t="s">
        <v>15</v>
      </c>
      <c r="G50" s="7"/>
      <c r="H50" s="7"/>
      <c r="I50" s="7"/>
      <c r="J50" s="7"/>
    </row>
    <row r="51" spans="1:10" ht="20.100000000000001" customHeight="1">
      <c r="A51" s="6" t="s">
        <v>90</v>
      </c>
      <c r="B51" s="7"/>
      <c r="C51" s="7"/>
      <c r="D51" s="7"/>
      <c r="E51" s="7"/>
      <c r="F51" s="7"/>
      <c r="G51" s="7"/>
      <c r="H51" s="7"/>
      <c r="I51" s="7"/>
      <c r="J51" s="7"/>
    </row>
    <row r="52" spans="1:10" ht="20.100000000000001" customHeight="1">
      <c r="A52" s="9" t="s">
        <v>27</v>
      </c>
      <c r="B52" s="11">
        <v>1</v>
      </c>
      <c r="C52" s="9" t="s">
        <v>28</v>
      </c>
      <c r="D52" s="11">
        <v>0.5</v>
      </c>
      <c r="E52" s="9" t="s">
        <v>29</v>
      </c>
      <c r="F52" s="11">
        <v>1</v>
      </c>
      <c r="G52" s="7"/>
      <c r="H52" s="7"/>
      <c r="I52" s="7"/>
      <c r="J52" s="7"/>
    </row>
    <row r="53" spans="1:10" ht="20.100000000000001" customHeight="1">
      <c r="A53" s="9" t="s">
        <v>37</v>
      </c>
      <c r="B53" s="7">
        <f>1-0.8*$B$43/B25</f>
        <v>0.78668961516638969</v>
      </c>
      <c r="C53" s="9"/>
      <c r="D53" s="11"/>
      <c r="E53" s="9"/>
      <c r="F53" s="11"/>
      <c r="G53" s="7"/>
      <c r="H53" s="7"/>
      <c r="I53" s="7"/>
      <c r="J53" s="7"/>
    </row>
    <row r="54" spans="1:10" ht="20.100000000000001" customHeight="1">
      <c r="A54" s="9" t="s">
        <v>110</v>
      </c>
      <c r="B54" s="19">
        <f>(_b*B31^3/3+_As1*100*H32*(_h01-B31)^2+_As2*100*H32*(B31-_a02)^2)/1000^4</f>
        <v>1.4105408363330788E-3</v>
      </c>
      <c r="C54" s="14" t="s">
        <v>75</v>
      </c>
      <c r="D54" s="11"/>
      <c r="E54" s="9"/>
      <c r="F54" s="11"/>
      <c r="G54" s="7"/>
      <c r="H54" s="7"/>
      <c r="I54" s="7"/>
      <c r="J54" s="7"/>
    </row>
    <row r="55" spans="1:10" ht="20.100000000000001" customHeight="1">
      <c r="A55" s="9" t="s">
        <v>41</v>
      </c>
      <c r="B55" s="7"/>
      <c r="C55" s="7"/>
      <c r="D55" s="7">
        <f>B25*(_h01-$B$31)/1000*$H$32/B54</f>
        <v>213218.44626647266</v>
      </c>
      <c r="E55" s="14" t="s">
        <v>114</v>
      </c>
      <c r="F55" s="7"/>
      <c r="G55" s="7"/>
      <c r="H55" s="7"/>
      <c r="I55" s="7"/>
      <c r="J55" s="7"/>
    </row>
    <row r="56" spans="1:10" ht="20.100000000000001" customHeight="1">
      <c r="A56" s="7" t="s">
        <v>93</v>
      </c>
      <c r="B56" s="7"/>
      <c r="C56" s="7"/>
      <c r="D56" s="7"/>
      <c r="E56" s="21">
        <f>IF(B43&gt;=B25,0,B52*D52*F52*B53*$B$37*D55/($B$9*1000)*1000)</f>
        <v>0.16773673743974693</v>
      </c>
      <c r="F56" s="7" t="s">
        <v>15</v>
      </c>
      <c r="G56" s="7"/>
      <c r="H56" s="7"/>
      <c r="I56" s="7"/>
      <c r="J56" s="7"/>
    </row>
    <row r="57" spans="1:10" ht="20.100000000000001" customHeight="1">
      <c r="A57" s="6" t="s">
        <v>91</v>
      </c>
      <c r="B57" s="7"/>
      <c r="C57" s="7"/>
      <c r="D57" s="7"/>
      <c r="E57" s="7"/>
      <c r="F57" s="7"/>
      <c r="G57" s="7"/>
      <c r="H57" s="7"/>
      <c r="I57" s="7"/>
      <c r="J57" s="7"/>
    </row>
    <row r="58" spans="1:10" ht="20.100000000000001" customHeight="1">
      <c r="A58" s="9" t="s">
        <v>27</v>
      </c>
      <c r="B58" s="11">
        <v>1</v>
      </c>
      <c r="C58" s="9" t="s">
        <v>28</v>
      </c>
      <c r="D58" s="11">
        <v>0.5</v>
      </c>
      <c r="E58" s="9" t="s">
        <v>29</v>
      </c>
      <c r="F58" s="11">
        <v>1</v>
      </c>
      <c r="G58" s="7"/>
      <c r="H58" s="7"/>
      <c r="I58" s="7"/>
      <c r="J58" s="7"/>
    </row>
    <row r="59" spans="1:10" ht="20.100000000000001" customHeight="1">
      <c r="A59" s="9" t="s">
        <v>37</v>
      </c>
      <c r="B59" s="7">
        <f>1-0.8*$B$43/B26</f>
        <v>0.75269392674933533</v>
      </c>
      <c r="C59" s="7"/>
      <c r="D59" s="7"/>
      <c r="E59" s="7"/>
      <c r="F59" s="7"/>
      <c r="G59" s="7"/>
      <c r="H59" s="7"/>
      <c r="I59" s="7"/>
      <c r="J59" s="7"/>
    </row>
    <row r="60" spans="1:10" ht="20.100000000000001" customHeight="1">
      <c r="A60" s="9" t="s">
        <v>110</v>
      </c>
      <c r="B60" s="19">
        <f>(_b*B31^3/3+_As1*100*H32*(_h01-B31)^2+_As2*100*H32*(B31-_a02)^2)/1000^4</f>
        <v>1.4105408363330788E-3</v>
      </c>
      <c r="C60" s="14" t="s">
        <v>75</v>
      </c>
      <c r="D60" s="7"/>
      <c r="E60" s="7"/>
      <c r="F60" s="7"/>
      <c r="G60" s="7"/>
      <c r="H60" s="7"/>
      <c r="I60" s="7"/>
      <c r="J60" s="7"/>
    </row>
    <row r="61" spans="1:10" ht="20.100000000000001" customHeight="1">
      <c r="A61" s="9" t="s">
        <v>41</v>
      </c>
      <c r="B61" s="7"/>
      <c r="C61" s="7"/>
      <c r="D61" s="7">
        <f>B26*(_h01-$B$31)/1000*$H$32/B60</f>
        <v>183908.58028232236</v>
      </c>
      <c r="E61" s="14" t="s">
        <v>114</v>
      </c>
      <c r="F61" s="7"/>
      <c r="G61" s="7"/>
      <c r="H61" s="7"/>
      <c r="I61" s="7"/>
      <c r="J61" s="7"/>
    </row>
    <row r="62" spans="1:10" ht="20.100000000000001" customHeight="1">
      <c r="A62" s="7" t="s">
        <v>92</v>
      </c>
      <c r="B62" s="7"/>
      <c r="C62" s="7"/>
      <c r="D62" s="7"/>
      <c r="E62" s="21">
        <f>IF(B43&gt;=B25,0,B58*D58*F58*B59*$B$37*D61/($B$9*1000)*1000)</f>
        <v>0.13842687145559662</v>
      </c>
      <c r="F62" s="7" t="s">
        <v>15</v>
      </c>
      <c r="G62" s="7"/>
      <c r="H62" s="7"/>
      <c r="I62" s="7"/>
      <c r="J62" s="7"/>
    </row>
    <row r="63" spans="1:10" ht="20.100000000000001" customHeight="1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spans="1:10" ht="20.100000000000001" customHeight="1">
      <c r="A64" s="6" t="s">
        <v>94</v>
      </c>
      <c r="B64" s="7"/>
      <c r="C64" s="7"/>
      <c r="D64" s="7"/>
      <c r="E64" s="7"/>
      <c r="F64" s="7"/>
      <c r="G64" s="7"/>
      <c r="H64" s="7"/>
      <c r="I64" s="7"/>
      <c r="J64" s="7"/>
    </row>
    <row r="65" spans="1:10" ht="20.100000000000001" customHeight="1">
      <c r="A65" s="7" t="s">
        <v>98</v>
      </c>
      <c r="B65" s="7"/>
      <c r="C65" s="7"/>
      <c r="D65" s="7"/>
      <c r="E65" s="7"/>
      <c r="F65" s="7"/>
      <c r="G65" s="7"/>
      <c r="H65" s="7"/>
      <c r="I65" s="7"/>
      <c r="J65" s="7"/>
    </row>
    <row r="66" spans="1:10" ht="20.100000000000001" customHeight="1">
      <c r="A66" s="7"/>
      <c r="B66" s="7"/>
      <c r="C66" s="7" t="s">
        <v>96</v>
      </c>
      <c r="D66" s="7"/>
      <c r="E66" s="21">
        <f>E50</f>
        <v>0.19379762003783524</v>
      </c>
      <c r="F66" s="7" t="s">
        <v>15</v>
      </c>
      <c r="G66" s="12" t="str">
        <f>IF(E66&lt;=I66,"&lt;","&gt;")</f>
        <v>&gt;</v>
      </c>
      <c r="H66" s="7" t="s">
        <v>97</v>
      </c>
      <c r="I66" s="7">
        <v>0.15</v>
      </c>
      <c r="J66" s="7" t="s">
        <v>15</v>
      </c>
    </row>
    <row r="67" spans="1:10" ht="20.100000000000001" customHeight="1">
      <c r="A67" s="24" t="str">
        <f>IF(E66&lt;I66,"Đảm bảo điều kiện bề rộng vết nứt ngắn hạn (Bảng 17 TCVN 5574:2018)","Không đảm bảo điều kiện bề rộng vết nứt ngắn hạn (Bảng 17 TCVN 5574:2018)")</f>
        <v>Không đảm bảo điều kiện bề rộng vết nứt ngắn hạn (Bảng 17 TCVN 5574:2018)</v>
      </c>
      <c r="B67" s="7"/>
      <c r="C67" s="7"/>
      <c r="D67" s="7"/>
      <c r="E67" s="21"/>
      <c r="F67" s="7"/>
      <c r="G67" s="7"/>
      <c r="H67" s="7"/>
      <c r="I67" s="7"/>
      <c r="J67" s="7"/>
    </row>
    <row r="68" spans="1:10" ht="20.100000000000001" customHeight="1">
      <c r="A68" s="7" t="s">
        <v>95</v>
      </c>
      <c r="B68" s="7"/>
      <c r="C68" s="7"/>
      <c r="D68" s="7"/>
      <c r="E68" s="7"/>
      <c r="F68" s="7"/>
      <c r="G68" s="7"/>
      <c r="H68" s="7"/>
      <c r="I68" s="7"/>
      <c r="J68" s="7"/>
    </row>
    <row r="69" spans="1:10" ht="20.100000000000001" customHeight="1">
      <c r="A69" s="7"/>
      <c r="B69" s="7" t="s">
        <v>99</v>
      </c>
      <c r="C69" s="7"/>
      <c r="D69" s="7"/>
      <c r="E69" s="21">
        <f>E50+E56-E62</f>
        <v>0.22310748602198555</v>
      </c>
      <c r="F69" s="7" t="s">
        <v>15</v>
      </c>
      <c r="G69" s="12" t="str">
        <f>IF(E69&lt;I69,"&lt;","&gt;")</f>
        <v>&gt;</v>
      </c>
      <c r="H69" s="7" t="s">
        <v>97</v>
      </c>
      <c r="I69" s="7">
        <v>0.15</v>
      </c>
      <c r="J69" s="7" t="s">
        <v>15</v>
      </c>
    </row>
    <row r="70" spans="1:10" ht="20.100000000000001" customHeight="1">
      <c r="A70" s="24" t="str">
        <f>IF(E69&lt;I69,"Đảm bảo điều kiện bề rộng vết nứt dài hạn (Bảng 17 TCVN 5574:2018)","Không đảm bảo điều kiện bề rộng vết nứt dài hạn (Bảng 17 TCVN 5574:2018)")</f>
        <v>Không đảm bảo điều kiện bề rộng vết nứt dài hạn (Bảng 17 TCVN 5574:2018)</v>
      </c>
      <c r="B70" s="7"/>
      <c r="C70" s="7"/>
      <c r="D70" s="7"/>
      <c r="E70" s="7"/>
      <c r="F70" s="7"/>
      <c r="G70" s="7"/>
      <c r="H70" s="7"/>
      <c r="I70" s="7"/>
      <c r="J70" s="7"/>
    </row>
  </sheetData>
  <mergeCells count="1">
    <mergeCell ref="A1:J1"/>
  </mergeCells>
  <printOptions gridLines="1"/>
  <pageMargins left="1" right="0.3" top="0.8" bottom="0.75" header="0.3" footer="0.3"/>
  <pageSetup paperSize="9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DATA!$B$3:$B$12</xm:f>
          </x14:formula1>
          <xm:sqref>C3</xm:sqref>
        </x14:dataValidation>
        <x14:dataValidation type="list" allowBlank="1" showInputMessage="1" showErrorMessage="1">
          <x14:formula1>
            <xm:f>DATA!$B$16:$B$23</xm:f>
          </x14:formula1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3"/>
  <sheetViews>
    <sheetView topLeftCell="A4" workbookViewId="0">
      <selection activeCell="I4" sqref="I4"/>
    </sheetView>
  </sheetViews>
  <sheetFormatPr defaultRowHeight="15"/>
  <sheetData>
    <row r="1" spans="1:7">
      <c r="A1" t="s">
        <v>48</v>
      </c>
    </row>
    <row r="2" spans="1:7" ht="30">
      <c r="A2" s="2" t="s">
        <v>49</v>
      </c>
      <c r="B2" s="2" t="s">
        <v>50</v>
      </c>
      <c r="C2" s="2" t="s">
        <v>73</v>
      </c>
      <c r="D2" s="2" t="s">
        <v>74</v>
      </c>
      <c r="E2" s="2" t="s">
        <v>51</v>
      </c>
      <c r="F2" s="2" t="s">
        <v>52</v>
      </c>
      <c r="G2" s="2" t="s">
        <v>53</v>
      </c>
    </row>
    <row r="3" spans="1:7">
      <c r="A3" s="3">
        <v>1</v>
      </c>
      <c r="B3" s="3" t="s">
        <v>54</v>
      </c>
      <c r="C3" s="3">
        <v>11</v>
      </c>
      <c r="D3" s="3">
        <v>1.1000000000000001</v>
      </c>
      <c r="E3" s="3">
        <v>8.5</v>
      </c>
      <c r="F3" s="3">
        <v>0.75</v>
      </c>
      <c r="G3" s="3">
        <v>24000</v>
      </c>
    </row>
    <row r="4" spans="1:7">
      <c r="A4" s="3">
        <v>2</v>
      </c>
      <c r="B4" s="3" t="s">
        <v>55</v>
      </c>
      <c r="C4" s="3">
        <v>15</v>
      </c>
      <c r="D4" s="3">
        <v>1.35</v>
      </c>
      <c r="E4" s="3">
        <v>11.5</v>
      </c>
      <c r="F4" s="3">
        <v>0.9</v>
      </c>
      <c r="G4" s="3">
        <v>27500</v>
      </c>
    </row>
    <row r="5" spans="1:7">
      <c r="A5" s="3">
        <v>3</v>
      </c>
      <c r="B5" s="3" t="s">
        <v>56</v>
      </c>
      <c r="C5" s="3">
        <f>(C6+C4)/2</f>
        <v>16.75</v>
      </c>
      <c r="D5" s="3">
        <f>(D6+D4)/2</f>
        <v>1.4500000000000002</v>
      </c>
      <c r="E5" s="3">
        <v>13</v>
      </c>
      <c r="F5" s="3">
        <v>1</v>
      </c>
      <c r="G5" s="3">
        <v>29000</v>
      </c>
    </row>
    <row r="6" spans="1:7">
      <c r="A6" s="3">
        <v>4</v>
      </c>
      <c r="B6" s="3" t="s">
        <v>46</v>
      </c>
      <c r="C6" s="3">
        <v>18.5</v>
      </c>
      <c r="D6" s="3">
        <v>1.55</v>
      </c>
      <c r="E6" s="3">
        <v>14.5</v>
      </c>
      <c r="F6" s="3">
        <v>1.05</v>
      </c>
      <c r="G6" s="3">
        <v>30000</v>
      </c>
    </row>
    <row r="7" spans="1:7">
      <c r="A7" s="3">
        <v>5</v>
      </c>
      <c r="B7" s="3" t="s">
        <v>2</v>
      </c>
      <c r="C7" s="3">
        <v>22</v>
      </c>
      <c r="D7" s="3">
        <v>1.75</v>
      </c>
      <c r="E7" s="3">
        <v>17</v>
      </c>
      <c r="F7" s="3">
        <v>1.1499999999999999</v>
      </c>
      <c r="G7" s="3">
        <v>32500</v>
      </c>
    </row>
    <row r="8" spans="1:7">
      <c r="A8" s="3">
        <v>6</v>
      </c>
      <c r="B8" s="3" t="s">
        <v>57</v>
      </c>
      <c r="C8" s="3">
        <v>25.5</v>
      </c>
      <c r="D8" s="3">
        <v>1.95</v>
      </c>
      <c r="E8" s="3">
        <v>19.5</v>
      </c>
      <c r="F8" s="3">
        <v>1.3</v>
      </c>
      <c r="G8" s="3">
        <v>34500</v>
      </c>
    </row>
    <row r="9" spans="1:7">
      <c r="A9" s="3">
        <v>7</v>
      </c>
      <c r="B9" s="3" t="s">
        <v>58</v>
      </c>
      <c r="C9" s="3">
        <v>29</v>
      </c>
      <c r="D9" s="3">
        <v>2.1</v>
      </c>
      <c r="E9" s="3">
        <v>22</v>
      </c>
      <c r="F9" s="3">
        <v>1.4</v>
      </c>
      <c r="G9" s="3">
        <v>36000</v>
      </c>
    </row>
    <row r="10" spans="1:7">
      <c r="A10" s="3">
        <v>8</v>
      </c>
      <c r="B10" s="3" t="s">
        <v>59</v>
      </c>
      <c r="C10" s="3">
        <v>32</v>
      </c>
      <c r="D10" s="3">
        <v>2.25</v>
      </c>
      <c r="E10" s="3">
        <v>25</v>
      </c>
      <c r="F10" s="3">
        <v>1.5</v>
      </c>
      <c r="G10" s="3">
        <v>37000</v>
      </c>
    </row>
    <row r="11" spans="1:7">
      <c r="A11" s="3">
        <v>9</v>
      </c>
      <c r="B11" s="3" t="s">
        <v>60</v>
      </c>
      <c r="C11" s="3">
        <v>36</v>
      </c>
      <c r="D11" s="3">
        <v>2.4500000000000002</v>
      </c>
      <c r="E11" s="3">
        <v>27.5</v>
      </c>
      <c r="F11" s="3">
        <v>1.6</v>
      </c>
      <c r="G11" s="3">
        <v>38000</v>
      </c>
    </row>
    <row r="12" spans="1:7">
      <c r="A12" s="3">
        <v>10</v>
      </c>
      <c r="B12" s="3" t="s">
        <v>61</v>
      </c>
      <c r="C12" s="3">
        <v>43</v>
      </c>
      <c r="D12" s="3">
        <v>2.6</v>
      </c>
      <c r="E12" s="3">
        <v>33</v>
      </c>
      <c r="F12" s="3">
        <v>1.8</v>
      </c>
      <c r="G12" s="3">
        <v>39500</v>
      </c>
    </row>
    <row r="14" spans="1:7">
      <c r="A14" t="s">
        <v>62</v>
      </c>
    </row>
    <row r="15" spans="1:7" ht="30">
      <c r="A15" s="2" t="s">
        <v>49</v>
      </c>
      <c r="B15" s="2" t="s">
        <v>50</v>
      </c>
      <c r="C15" s="2" t="s">
        <v>63</v>
      </c>
      <c r="D15" s="2" t="s">
        <v>64</v>
      </c>
      <c r="E15" s="2" t="s">
        <v>65</v>
      </c>
      <c r="F15" s="2" t="s">
        <v>66</v>
      </c>
    </row>
    <row r="16" spans="1:7">
      <c r="A16" s="3">
        <v>1</v>
      </c>
      <c r="B16" s="3" t="s">
        <v>67</v>
      </c>
      <c r="C16" s="3">
        <v>225</v>
      </c>
      <c r="D16" s="3">
        <v>225</v>
      </c>
      <c r="E16" s="3">
        <v>175</v>
      </c>
      <c r="F16" s="3">
        <v>200000</v>
      </c>
    </row>
    <row r="17" spans="1:6">
      <c r="A17" s="3">
        <v>2</v>
      </c>
      <c r="B17" s="3" t="s">
        <v>68</v>
      </c>
      <c r="C17" s="3">
        <v>280</v>
      </c>
      <c r="D17" s="3">
        <v>280</v>
      </c>
      <c r="E17" s="3">
        <v>225</v>
      </c>
      <c r="F17" s="3">
        <v>200000</v>
      </c>
    </row>
    <row r="18" spans="1:6">
      <c r="A18" s="3">
        <v>3</v>
      </c>
      <c r="B18" s="3" t="s">
        <v>69</v>
      </c>
      <c r="C18" s="3">
        <v>365</v>
      </c>
      <c r="D18" s="3">
        <v>365</v>
      </c>
      <c r="E18" s="3">
        <v>290</v>
      </c>
      <c r="F18" s="3">
        <v>200000</v>
      </c>
    </row>
    <row r="19" spans="1:6">
      <c r="A19" s="3">
        <v>4</v>
      </c>
      <c r="B19" s="3" t="s">
        <v>70</v>
      </c>
      <c r="C19" s="3">
        <v>510</v>
      </c>
      <c r="D19" s="3">
        <v>450</v>
      </c>
      <c r="E19" s="3">
        <v>405</v>
      </c>
      <c r="F19" s="3">
        <v>190000</v>
      </c>
    </row>
    <row r="20" spans="1:6">
      <c r="A20" s="3">
        <v>5</v>
      </c>
      <c r="B20" s="3" t="s">
        <v>71</v>
      </c>
      <c r="C20" s="3">
        <v>210</v>
      </c>
      <c r="D20" s="3">
        <v>210</v>
      </c>
      <c r="E20" s="3">
        <v>170</v>
      </c>
      <c r="F20" s="3">
        <v>200000</v>
      </c>
    </row>
    <row r="21" spans="1:6">
      <c r="A21" s="3">
        <v>6</v>
      </c>
      <c r="B21" s="3" t="s">
        <v>9</v>
      </c>
      <c r="C21" s="3">
        <v>260</v>
      </c>
      <c r="D21" s="3">
        <v>260</v>
      </c>
      <c r="E21" s="3">
        <v>210</v>
      </c>
      <c r="F21" s="3">
        <v>200000</v>
      </c>
    </row>
    <row r="22" spans="1:6">
      <c r="A22" s="3">
        <v>7</v>
      </c>
      <c r="B22" s="3" t="s">
        <v>47</v>
      </c>
      <c r="C22" s="3">
        <v>350</v>
      </c>
      <c r="D22" s="3">
        <v>350</v>
      </c>
      <c r="E22" s="3">
        <v>280</v>
      </c>
      <c r="F22" s="3">
        <v>200000</v>
      </c>
    </row>
    <row r="23" spans="1:6">
      <c r="A23" s="3">
        <v>8</v>
      </c>
      <c r="B23" s="3" t="s">
        <v>72</v>
      </c>
      <c r="C23" s="3">
        <v>435</v>
      </c>
      <c r="D23" s="3">
        <v>400</v>
      </c>
      <c r="E23" s="3">
        <v>300</v>
      </c>
      <c r="F23" s="3"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D1-1 (2)</vt:lpstr>
      <vt:lpstr>D1-1</vt:lpstr>
      <vt:lpstr>DATA</vt:lpstr>
      <vt:lpstr>'D1-1 (2)'!_a01</vt:lpstr>
      <vt:lpstr>_a01</vt:lpstr>
      <vt:lpstr>'D1-1 (2)'!_a02</vt:lpstr>
      <vt:lpstr>_a02</vt:lpstr>
      <vt:lpstr>'D1-1 (2)'!_As1</vt:lpstr>
      <vt:lpstr>_As1</vt:lpstr>
      <vt:lpstr>'D1-1 (2)'!_As2</vt:lpstr>
      <vt:lpstr>_As2</vt:lpstr>
      <vt:lpstr>'D1-1 (2)'!_b</vt:lpstr>
      <vt:lpstr>_b</vt:lpstr>
      <vt:lpstr>'D1-1 (2)'!_h</vt:lpstr>
      <vt:lpstr>_h</vt:lpstr>
      <vt:lpstr>'D1-1 (2)'!_h01</vt:lpstr>
      <vt:lpstr>_h01</vt:lpstr>
      <vt:lpstr>'D1-1 (2)'!_h02</vt:lpstr>
      <vt:lpstr>_h02</vt:lpstr>
      <vt:lpstr>'D1-1'!Print_Area</vt:lpstr>
      <vt:lpstr>'D1-1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Wefly structure</dc:creator>
  <cp:lastModifiedBy>Dell</cp:lastModifiedBy>
  <cp:lastPrinted>2021-04-17T01:46:09Z</cp:lastPrinted>
  <dcterms:created xsi:type="dcterms:W3CDTF">2020-09-20T08:12:31Z</dcterms:created>
  <dcterms:modified xsi:type="dcterms:W3CDTF">2022-04-08T08:51:59Z</dcterms:modified>
</cp:coreProperties>
</file>